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085" windowHeight="7530" activeTab="2"/>
  </bookViews>
  <sheets>
    <sheet name="세입세출총괄표" sheetId="1" r:id="rId1"/>
    <sheet name="세입" sheetId="2" r:id="rId2"/>
    <sheet name="세출" sheetId="3" r:id="rId3"/>
  </sheets>
  <externalReferences>
    <externalReference r:id="rId6"/>
  </externalReferences>
  <definedNames>
    <definedName name="_xlnm.Print_Area" localSheetId="1">'세입'!$A$1:$X$89</definedName>
    <definedName name="_xlnm.Print_Titles" localSheetId="1">'세입'!$2:$3</definedName>
    <definedName name="_xlnm.Print_Titles" localSheetId="2">'세출'!$2:$3</definedName>
    <definedName name="가계보조비" localSheetId="1">'세입'!#REF!</definedName>
    <definedName name="가계보조수당" localSheetId="1">'세입'!#REF!</definedName>
    <definedName name="가계보조수당" localSheetId="0">'[1]세입'!#REF!</definedName>
    <definedName name="가계보조수당">'세입'!#REF!</definedName>
    <definedName name="가족수당" localSheetId="2">'세출'!#REF!</definedName>
    <definedName name="가족수당1" localSheetId="1">'세입'!#REF!</definedName>
    <definedName name="급식비" localSheetId="1">'세입'!#REF!</definedName>
    <definedName name="급식비1" localSheetId="0">'[1]세입'!#REF!</definedName>
    <definedName name="급식비1">'세입'!#REF!</definedName>
    <definedName name="급여총액" localSheetId="1">'세입'!#REF!</definedName>
    <definedName name="급여총액" localSheetId="0">'[1]세입'!#REF!</definedName>
    <definedName name="급여총액">'세입'!#REF!</definedName>
    <definedName name="기말수당" localSheetId="1">'세입'!#REF!</definedName>
    <definedName name="기본급" localSheetId="1">'세입'!#REF!</definedName>
    <definedName name="기본급" localSheetId="0">'[1]세입'!#REF!</definedName>
    <definedName name="기본급" localSheetId="2">'세출'!#REF!</definedName>
    <definedName name="기본급">'세입'!#REF!</definedName>
    <definedName name="기본급1" localSheetId="1">'세입'!#REF!</definedName>
    <definedName name="기본급1" localSheetId="2">'세출'!#REF!</definedName>
    <definedName name="기본급7종" localSheetId="2">'세출'!#REF!</definedName>
    <definedName name="기본급법인" localSheetId="2">'세출'!#REF!</definedName>
    <definedName name="기본급총액" localSheetId="1">'세입'!#REF!</definedName>
    <definedName name="기본급총액" localSheetId="2">'세출'!#REF!</definedName>
    <definedName name="명절휴가비" localSheetId="2">'세출'!$AD$15</definedName>
    <definedName name="명절휴가비1" localSheetId="1">'세입'!#REF!</definedName>
    <definedName name="사회보험" localSheetId="0">'[1]세입'!#REF!</definedName>
    <definedName name="사회보험">'세입'!#REF!</definedName>
    <definedName name="사회보험1" localSheetId="1">'세입'!#REF!</definedName>
    <definedName name="사회보험부담금" localSheetId="1">'세입'!#REF!</definedName>
    <definedName name="상여금" localSheetId="1">'세입'!#REF!</definedName>
    <definedName name="상여금" localSheetId="0">'[1]세입'!#REF!</definedName>
    <definedName name="상여금">'세입'!#REF!</definedName>
    <definedName name="상여금총액" localSheetId="1">'세입'!#REF!</definedName>
    <definedName name="상여금총액" localSheetId="2">'세출'!#REF!</definedName>
    <definedName name="수정제수당총액" localSheetId="0">'[1]세입'!#REF!</definedName>
    <definedName name="수정제수당총액">'세입'!#REF!</definedName>
    <definedName name="연장근로수당" localSheetId="2">'세출'!$AD$19</definedName>
    <definedName name="연장근로수당1" localSheetId="1">'세입'!#REF!</definedName>
    <definedName name="운영비지원금" localSheetId="1">'세입'!#REF!</definedName>
    <definedName name="운전조리급식비" localSheetId="1">'세입'!#REF!</definedName>
    <definedName name="인건비지원금" localSheetId="1">'세입'!#REF!</definedName>
    <definedName name="입소자지원금" localSheetId="1">'세입'!#REF!</definedName>
    <definedName name="정근수당" localSheetId="1">'세입'!#REF!</definedName>
    <definedName name="제수당" localSheetId="1">'세입'!#REF!</definedName>
    <definedName name="제수당" localSheetId="0">'[1]세입'!#REF!</definedName>
    <definedName name="제수당">'세입'!#REF!</definedName>
    <definedName name="제수당1" localSheetId="1">'세입'!#REF!</definedName>
    <definedName name="제수당1" localSheetId="2">'세출'!#REF!</definedName>
    <definedName name="제수당총액" localSheetId="1">'세입'!#REF!</definedName>
    <definedName name="제수당총액" localSheetId="2">'세출'!#REF!</definedName>
    <definedName name="증감사유1">'[1]세입'!#REF!</definedName>
    <definedName name="직원급식비" localSheetId="0">'[1]세입'!#REF!</definedName>
    <definedName name="직원급식비">'세입'!#REF!</definedName>
    <definedName name="직책보조비" localSheetId="1">'세입'!#REF!</definedName>
    <definedName name="퇴직금" localSheetId="0">'[1]세입'!#REF!</definedName>
    <definedName name="퇴직금">'세입'!#REF!</definedName>
    <definedName name="퇴직금적립금" localSheetId="1">'세입'!#REF!</definedName>
    <definedName name="퇴직적립금1" localSheetId="1">'세입'!#REF!</definedName>
    <definedName name="특수근무수당" localSheetId="1">'세입'!#REF!</definedName>
    <definedName name="특수근무수당" localSheetId="0">'[1]세입'!#REF!</definedName>
    <definedName name="특수근무수당">'세입'!#REF!</definedName>
    <definedName name="특수근무수당1" localSheetId="1">'세입'!#REF!</definedName>
    <definedName name="특수근무수당1" localSheetId="0">'[1]세입'!#REF!</definedName>
    <definedName name="특수근무수당1">'세입'!#REF!</definedName>
    <definedName name="특수근무수당2" localSheetId="1">'세입'!#REF!</definedName>
    <definedName name="특수근무수당2" localSheetId="0">'[1]세입'!#REF!</definedName>
    <definedName name="특수근무수당2">'세입'!#REF!</definedName>
    <definedName name="특수근무수당3" localSheetId="1">'세입'!#REF!</definedName>
    <definedName name="특수근무수당3" localSheetId="0">'[1]세입'!#REF!</definedName>
    <definedName name="특수근무수당3">'세입'!#REF!</definedName>
    <definedName name="특수근무수당6">'세입'!#REF!</definedName>
    <definedName name="프로그램지원금" localSheetId="1">'세입'!#REF!</definedName>
  </definedNames>
  <calcPr fullCalcOnLoad="1"/>
</workbook>
</file>

<file path=xl/comments3.xml><?xml version="1.0" encoding="utf-8"?>
<comments xmlns="http://schemas.openxmlformats.org/spreadsheetml/2006/main">
  <authors>
    <author>ADMIN</author>
  </authors>
  <commentList>
    <comment ref="AB12" authorId="0">
      <text>
        <r>
          <rPr>
            <b/>
            <sz val="9"/>
            <color indexed="8"/>
            <rFont val="Tahoma"/>
            <family val="2"/>
          </rPr>
          <t>ADMIN: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돋움"/>
            <family val="3"/>
          </rPr>
          <t>기타</t>
        </r>
        <r>
          <rPr>
            <sz val="9"/>
            <color indexed="8"/>
            <rFont val="Tahoma"/>
            <family val="2"/>
          </rPr>
          <t xml:space="preserve"> </t>
        </r>
        <r>
          <rPr>
            <sz val="9"/>
            <color indexed="8"/>
            <rFont val="돋움"/>
            <family val="3"/>
          </rPr>
          <t>보조금</t>
        </r>
        <r>
          <rPr>
            <sz val="9"/>
            <color indexed="8"/>
            <rFont val="Tahoma"/>
            <family val="2"/>
          </rPr>
          <t>(</t>
        </r>
        <r>
          <rPr>
            <sz val="9"/>
            <color indexed="8"/>
            <rFont val="돋움"/>
            <family val="3"/>
          </rPr>
          <t>경장연</t>
        </r>
        <r>
          <rPr>
            <sz val="9"/>
            <color indexed="8"/>
            <rFont val="Tahoma"/>
            <family val="2"/>
          </rPr>
          <t xml:space="preserve"> </t>
        </r>
        <r>
          <rPr>
            <sz val="9"/>
            <color indexed="8"/>
            <rFont val="돋움"/>
            <family val="3"/>
          </rPr>
          <t>대체인력지원금</t>
        </r>
        <r>
          <rPr>
            <sz val="9"/>
            <color indexed="8"/>
            <rFont val="Tahoma"/>
            <family val="2"/>
          </rPr>
          <t>)</t>
        </r>
      </text>
    </comment>
  </commentList>
</comments>
</file>

<file path=xl/sharedStrings.xml><?xml version="1.0" encoding="utf-8"?>
<sst xmlns="http://schemas.openxmlformats.org/spreadsheetml/2006/main" count="1119" uniqueCount="367">
  <si>
    <t xml:space="preserve">                                                                                    </t>
  </si>
  <si>
    <t>산              출               기              초</t>
  </si>
  <si>
    <t>월</t>
  </si>
  <si>
    <t>목</t>
  </si>
  <si>
    <t>계</t>
  </si>
  <si>
    <t>잡수입</t>
  </si>
  <si>
    <t>=</t>
  </si>
  <si>
    <t>예비비</t>
  </si>
  <si>
    <t>항</t>
  </si>
  <si>
    <t>원</t>
  </si>
  <si>
    <t>운영비</t>
  </si>
  <si>
    <t>제수당</t>
  </si>
  <si>
    <t>보조</t>
  </si>
  <si>
    <t>×</t>
  </si>
  <si>
    <t>회</t>
  </si>
  <si>
    <t>관</t>
  </si>
  <si>
    <t>÷</t>
  </si>
  <si>
    <t>급여</t>
  </si>
  <si>
    <t>연료비</t>
  </si>
  <si>
    <t>이월금</t>
  </si>
  <si>
    <t>시설비</t>
  </si>
  <si>
    <t>전입금</t>
  </si>
  <si>
    <t>사업비</t>
  </si>
  <si>
    <t>후원금</t>
  </si>
  <si>
    <t>사무비</t>
  </si>
  <si>
    <t>인건비</t>
  </si>
  <si>
    <t>명</t>
  </si>
  <si>
    <t>소계:</t>
  </si>
  <si>
    <t>지 정</t>
  </si>
  <si>
    <t>피복비</t>
  </si>
  <si>
    <t>유지비</t>
  </si>
  <si>
    <t>국 고</t>
  </si>
  <si>
    <t>생계비</t>
  </si>
  <si>
    <t>조성비</t>
  </si>
  <si>
    <t>잡지출</t>
  </si>
  <si>
    <t>일</t>
  </si>
  <si>
    <t>의료비</t>
  </si>
  <si>
    <t>수수료</t>
  </si>
  <si>
    <t>추진비</t>
  </si>
  <si>
    <t>부담금</t>
  </si>
  <si>
    <t>반환금</t>
  </si>
  <si>
    <t>과년도</t>
  </si>
  <si>
    <t>증감</t>
  </si>
  <si>
    <t>시 도</t>
  </si>
  <si>
    <t>불용품</t>
  </si>
  <si>
    <t>사 업</t>
  </si>
  <si>
    <t>법 인</t>
  </si>
  <si>
    <t>보조금</t>
  </si>
  <si>
    <t>법인</t>
  </si>
  <si>
    <t>계:</t>
  </si>
  <si>
    <t>기타</t>
  </si>
  <si>
    <t>매각대</t>
  </si>
  <si>
    <t>기관</t>
  </si>
  <si>
    <t>기타예</t>
  </si>
  <si>
    <t>경비</t>
  </si>
  <si>
    <t>기 타</t>
  </si>
  <si>
    <t xml:space="preserve"> </t>
  </si>
  <si>
    <t>수 입</t>
  </si>
  <si>
    <t>금이자</t>
  </si>
  <si>
    <t>금융</t>
  </si>
  <si>
    <t>잡수</t>
  </si>
  <si>
    <t>후원</t>
  </si>
  <si>
    <t>비지정</t>
  </si>
  <si>
    <t>소계</t>
  </si>
  <si>
    <t>전년도</t>
  </si>
  <si>
    <t>이 월</t>
  </si>
  <si>
    <t>차입금</t>
  </si>
  <si>
    <t>입소</t>
  </si>
  <si>
    <t>시군구</t>
  </si>
  <si>
    <t>합계:</t>
  </si>
  <si>
    <t>시비</t>
  </si>
  <si>
    <t>7종</t>
  </si>
  <si>
    <t>※ 입소비용수입</t>
  </si>
  <si>
    <t>※ 수용비및수수료</t>
  </si>
  <si>
    <t>합        계</t>
  </si>
  <si>
    <t>세       입</t>
  </si>
  <si>
    <t>업 무   추 진 비</t>
  </si>
  <si>
    <t>증      감</t>
  </si>
  <si>
    <t>※ 시설장비유지비</t>
  </si>
  <si>
    <t>※ 사회보험부담금</t>
  </si>
  <si>
    <t>구        분</t>
  </si>
  <si>
    <t>세       출</t>
  </si>
  <si>
    <t>소      계</t>
  </si>
  <si>
    <t>입소비용   수입</t>
  </si>
  <si>
    <t>총         계</t>
  </si>
  <si>
    <t>사   무   비</t>
  </si>
  <si>
    <t>법인      전입금</t>
  </si>
  <si>
    <t>사   업   비</t>
  </si>
  <si>
    <t>보조금   반납금</t>
  </si>
  <si>
    <t>지정      후원금</t>
  </si>
  <si>
    <t>비지정   후원금</t>
  </si>
  <si>
    <t>예   비   비</t>
  </si>
  <si>
    <t>전    입    금</t>
  </si>
  <si>
    <t>※ 기타후생경비</t>
  </si>
  <si>
    <t>전년도   이월금</t>
  </si>
  <si>
    <t>잡    수    입</t>
  </si>
  <si>
    <t>잡   지   출</t>
  </si>
  <si>
    <t>경      비</t>
  </si>
  <si>
    <t>수용기관   경비</t>
  </si>
  <si>
    <t xml:space="preserve">  *후원금 수입</t>
  </si>
  <si>
    <t>※ 수용기관경비</t>
  </si>
  <si>
    <t>이    월    금</t>
  </si>
  <si>
    <t>자 산   취 득 비</t>
  </si>
  <si>
    <t xml:space="preserve"> &lt;기타예금이자수입&gt;</t>
  </si>
  <si>
    <t>금액
(B-A)</t>
  </si>
  <si>
    <t xml:space="preserve"> &lt;기타잡수입&gt;</t>
  </si>
  <si>
    <t xml:space="preserve"> &lt;금융기관 차입금&gt;</t>
  </si>
  <si>
    <t xml:space="preserve"> &lt;법인 전입금&gt;</t>
  </si>
  <si>
    <t>※ 직원 교육훈련비</t>
  </si>
  <si>
    <t>* 입소비용수입</t>
  </si>
  <si>
    <t xml:space="preserve"> &lt;이월 사업비&gt;</t>
  </si>
  <si>
    <t>* 회의 다과비</t>
  </si>
  <si>
    <t xml:space="preserve"> &lt;불용품매각대&gt;</t>
  </si>
  <si>
    <t>※ 보조금수입 합계</t>
  </si>
  <si>
    <t>3.장기요양보험부담금</t>
  </si>
  <si>
    <t>합    계 :</t>
  </si>
  <si>
    <t xml:space="preserve"> &lt;보조금이월금&gt;</t>
  </si>
  <si>
    <t xml:space="preserve"> &lt;잡수입이월금&gt;</t>
  </si>
  <si>
    <t xml:space="preserve"> &lt;기타 차입금&gt;</t>
  </si>
  <si>
    <t xml:space="preserve"> &lt;후원금이월금&gt;</t>
  </si>
  <si>
    <t xml:space="preserve"> &lt;법인전입금이월금&gt;</t>
  </si>
  <si>
    <t>* 기타 수용기관경비</t>
  </si>
  <si>
    <t xml:space="preserve"> &lt;전년도 이월금&gt;</t>
  </si>
  <si>
    <t xml:space="preserve"> * 법인전입금이월액</t>
  </si>
  <si>
    <t xml:space="preserve">  *결연후원금</t>
  </si>
  <si>
    <t xml:space="preserve"> * 입소비용이월액</t>
  </si>
  <si>
    <t>* 입소자 건강진단비</t>
  </si>
  <si>
    <t>1.국민연금부담금</t>
  </si>
  <si>
    <t>2.국민건강보험부담금</t>
  </si>
  <si>
    <t>※ 예금이자수입</t>
  </si>
  <si>
    <t>* 신원보증보험갱신</t>
  </si>
  <si>
    <t>* 가스안전점검비</t>
  </si>
  <si>
    <t>4.고용보험부담금</t>
  </si>
  <si>
    <t xml:space="preserve"> * 후원금이월액</t>
  </si>
  <si>
    <t xml:space="preserve"> &lt;입소비용이월금&gt;</t>
  </si>
  <si>
    <t xml:space="preserve"> * 잡수입이월액</t>
  </si>
  <si>
    <t>* 이용인 생일</t>
  </si>
  <si>
    <t>※ 과년도 수입</t>
  </si>
  <si>
    <t>* 특수건강검진</t>
  </si>
  <si>
    <t>* 등산프로그램</t>
  </si>
  <si>
    <t>* 7종 보조금 잔액</t>
  </si>
  <si>
    <t>* 월동대책비(김장)</t>
  </si>
  <si>
    <t>1. 보조금 이자수입</t>
  </si>
  <si>
    <t xml:space="preserve"> * 직원 건강진단비</t>
  </si>
  <si>
    <t>* 사회재활교사</t>
  </si>
  <si>
    <t>5.산업재해보험부담금</t>
  </si>
  <si>
    <t>&lt;비지정후원금&gt;</t>
  </si>
  <si>
    <t>* 아파트관리비</t>
  </si>
  <si>
    <t>4. 잡수입 이자수입</t>
  </si>
  <si>
    <t>* 전기안전점검비</t>
  </si>
  <si>
    <t>* 취사용 연료비</t>
  </si>
  <si>
    <t>* 마라톤프로그램</t>
  </si>
  <si>
    <t>* 찜질방 이용</t>
  </si>
  <si>
    <t>5. 후원금 이자수입</t>
  </si>
  <si>
    <t>* 후원금 예금이자</t>
  </si>
  <si>
    <t>* 잡수입 예금이자</t>
  </si>
  <si>
    <t>보조금
(시비)</t>
  </si>
  <si>
    <t>* 입소비용 예금이자</t>
  </si>
  <si>
    <t>보조금
(도비)</t>
  </si>
  <si>
    <t>2.연장근로수당</t>
  </si>
  <si>
    <t>* 시설당 기본지원</t>
  </si>
  <si>
    <t>* 인건비 지원금</t>
  </si>
  <si>
    <t>* 정수기 임대료 및 수질검사 등</t>
  </si>
  <si>
    <t xml:space="preserve">* 소규모수선비/집기구입 등 </t>
  </si>
  <si>
    <t>* 결연후원금 지급(지정후원금)</t>
  </si>
  <si>
    <t>6. 사회보험부담금(정산보험)</t>
  </si>
  <si>
    <t>* 우편물발송료 등 기타 공공요금</t>
  </si>
  <si>
    <t>* 운영위원회 참석수당</t>
  </si>
  <si>
    <t>* 직원건강검진비(순수시비)</t>
  </si>
  <si>
    <t>3. 입소비용 이자수입</t>
  </si>
  <si>
    <t>* 주민세 등 기타 공과금</t>
  </si>
  <si>
    <t xml:space="preserve"> &lt;기타 보조금 합계&gt;</t>
  </si>
  <si>
    <t>* 보조금(시비) 예금이자</t>
  </si>
  <si>
    <t>* 법인전입금 예금이자</t>
  </si>
  <si>
    <t>2. 법인전입금 이자수입</t>
  </si>
  <si>
    <t>* 보조금 운영비 잔액</t>
  </si>
  <si>
    <t>* 보조금 운영비 예금이자</t>
  </si>
  <si>
    <t>* 보조금(시비) 잔액</t>
  </si>
  <si>
    <t>* 7종 보조금 예금이자</t>
  </si>
  <si>
    <t>* 전화료 및 인터넷 요금</t>
  </si>
  <si>
    <t xml:space="preserve"> &lt;시군구 보조금 합계&gt;</t>
  </si>
  <si>
    <t>* 환경개선사업(7종)</t>
  </si>
  <si>
    <t>과            목</t>
  </si>
  <si>
    <t xml:space="preserve"> &lt;국고 보조금 합계&gt;</t>
  </si>
  <si>
    <t>* 외래 진료비 및 의약품비</t>
  </si>
  <si>
    <t>* 보조금 체크카드 환급액</t>
  </si>
  <si>
    <t>* 주방식기류 및 그릇 보강</t>
  </si>
  <si>
    <t>피      복      비</t>
  </si>
  <si>
    <t>* 차량 점검 및 정비비 등</t>
  </si>
  <si>
    <t>* 사무용품비(문구류 )</t>
  </si>
  <si>
    <t>잡      지      출</t>
  </si>
  <si>
    <t xml:space="preserve"> * 운영비보조금이월액</t>
  </si>
  <si>
    <t>총          계</t>
  </si>
  <si>
    <t>인      건      비</t>
  </si>
  <si>
    <t xml:space="preserve"> &lt;지정 후원금 합계&gt;</t>
  </si>
  <si>
    <t>* 환경개선사업비(7종)</t>
  </si>
  <si>
    <t xml:space="preserve"> * 교육 및 출장여비</t>
  </si>
  <si>
    <t>※ 보조금 반환금(수원시)</t>
  </si>
  <si>
    <t xml:space="preserve"> &lt;전년도이월금(후원금)&gt;</t>
  </si>
  <si>
    <t xml:space="preserve"> &lt;시도 보조금 합계&gt;</t>
  </si>
  <si>
    <t>생      계      비</t>
  </si>
  <si>
    <t xml:space="preserve"> &lt;비지정 후원금 합계&gt;</t>
  </si>
  <si>
    <t>잡      수      입</t>
  </si>
  <si>
    <t>예      비      비</t>
  </si>
  <si>
    <t>시      설      비</t>
  </si>
  <si>
    <t>연      료      비</t>
  </si>
  <si>
    <t>운      영      비</t>
  </si>
  <si>
    <t>* 기타 수용비 및 수수료</t>
  </si>
  <si>
    <t xml:space="preserve"> &lt;법인 전입금(후원금)&gt;</t>
  </si>
  <si>
    <t>의      료      비</t>
  </si>
  <si>
    <t>* 대체인건비 인건비(직원 연차, 교육 등)</t>
  </si>
  <si>
    <t>산               출                기               초</t>
  </si>
  <si>
    <t>※ 기관운영비</t>
  </si>
  <si>
    <t>※ 생계비</t>
  </si>
  <si>
    <t>※ 차량비</t>
  </si>
  <si>
    <t>기타운영비</t>
  </si>
  <si>
    <t>회  의  비</t>
  </si>
  <si>
    <t>※ 제수당</t>
  </si>
  <si>
    <t>※ 회의비</t>
  </si>
  <si>
    <t>공공요금</t>
  </si>
  <si>
    <t>차  량  비</t>
  </si>
  <si>
    <t>※ 총 계</t>
  </si>
  <si>
    <t>교육지원</t>
  </si>
  <si>
    <t>※ 예비비</t>
  </si>
  <si>
    <t>소  계</t>
  </si>
  <si>
    <t>입  소</t>
  </si>
  <si>
    <t>※ 공공요금</t>
  </si>
  <si>
    <t>자산취득비</t>
  </si>
  <si>
    <t>비율(%)</t>
  </si>
  <si>
    <t>소     계</t>
  </si>
  <si>
    <t>퇴직적립금</t>
  </si>
  <si>
    <t>수  입</t>
  </si>
  <si>
    <t>제세공과금</t>
  </si>
  <si>
    <t>※기본급</t>
  </si>
  <si>
    <t>1.명절휴가비</t>
  </si>
  <si>
    <t>직책보조비</t>
  </si>
  <si>
    <t>소  계 :</t>
  </si>
  <si>
    <t>시설장비</t>
  </si>
  <si>
    <t>프로그램사업비</t>
  </si>
  <si>
    <t>사회보험</t>
  </si>
  <si>
    <t>※ 여비</t>
  </si>
  <si>
    <t>여    비</t>
  </si>
  <si>
    <t>※ 시설비</t>
  </si>
  <si>
    <t>※ 일용잡급</t>
  </si>
  <si>
    <t xml:space="preserve">총  괄 : </t>
  </si>
  <si>
    <t>세출총계</t>
  </si>
  <si>
    <t>비  용</t>
  </si>
  <si>
    <t>프로그램</t>
  </si>
  <si>
    <t>※ 자산취득비</t>
  </si>
  <si>
    <t>소계 :</t>
  </si>
  <si>
    <t>재   산</t>
  </si>
  <si>
    <t>※ 제세공과금</t>
  </si>
  <si>
    <t>※ 연료비</t>
  </si>
  <si>
    <t>※ 잡지출</t>
  </si>
  <si>
    <t>운동지원</t>
  </si>
  <si>
    <t>업   무</t>
  </si>
  <si>
    <t>시설장비유지비</t>
  </si>
  <si>
    <t>총  계 :</t>
  </si>
  <si>
    <t>※ 퇴직적립금</t>
  </si>
  <si>
    <t>수용비및</t>
  </si>
  <si>
    <t>수용기관</t>
  </si>
  <si>
    <t>&lt;운영비&gt;</t>
  </si>
  <si>
    <t>(후원)</t>
  </si>
  <si>
    <t>일용잡급</t>
  </si>
  <si>
    <t>일상생활</t>
  </si>
  <si>
    <t>※이 월 금</t>
  </si>
  <si>
    <t>* 차량보험료</t>
  </si>
  <si>
    <t>(단위:원)</t>
  </si>
  <si>
    <t>※후원금수입</t>
  </si>
  <si>
    <t>합  계 :</t>
  </si>
  <si>
    <t>보조금 반환금</t>
  </si>
  <si>
    <t>기관운영비</t>
  </si>
  <si>
    <t>자치회의</t>
  </si>
  <si>
    <t>* 피복비</t>
  </si>
  <si>
    <t>지원사업비</t>
  </si>
  <si>
    <t>보조금반환</t>
  </si>
  <si>
    <t>국고보조금</t>
  </si>
  <si>
    <t>시도보조금</t>
  </si>
  <si>
    <t>후원금  수입</t>
  </si>
  <si>
    <t>* 여름캠프</t>
  </si>
  <si>
    <t>※ 잡 수 입</t>
  </si>
  <si>
    <t>보조금  수입</t>
  </si>
  <si>
    <t>입소비용수입</t>
  </si>
  <si>
    <t>&lt;지정후원금&gt;</t>
  </si>
  <si>
    <t>시군구보조금</t>
  </si>
  <si>
    <t>※ 사업수입</t>
  </si>
  <si>
    <t>기타후생</t>
  </si>
  <si>
    <t>※ 의료비</t>
  </si>
  <si>
    <t>※ 직책보조비</t>
  </si>
  <si>
    <t>재산조성비</t>
  </si>
  <si>
    <t>※ 차 입 금</t>
  </si>
  <si>
    <t>※ 피복비</t>
  </si>
  <si>
    <t>입   소</t>
  </si>
  <si>
    <t>* 겨울</t>
  </si>
  <si>
    <t>법인
전입금</t>
  </si>
  <si>
    <t>※법인 전입금</t>
  </si>
  <si>
    <t>후원/자원</t>
  </si>
  <si>
    <t>기타 보조금</t>
  </si>
  <si>
    <t>* 자치회의</t>
  </si>
  <si>
    <t>* 인권교육</t>
  </si>
  <si>
    <t>보조금(7종)</t>
  </si>
  <si>
    <t>업무추진비</t>
  </si>
  <si>
    <t>문화생활</t>
  </si>
  <si>
    <t>* 차량유류대</t>
  </si>
  <si>
    <t>계
(B)</t>
  </si>
  <si>
    <t>입소자
부담금</t>
  </si>
  <si>
    <t>* 송년회</t>
  </si>
  <si>
    <t>* 스포츠관람</t>
  </si>
  <si>
    <t>* 생활용품구입비(치약,치솔,화장지 등)</t>
  </si>
  <si>
    <t>* 직원 축일 및 생일 축하 문화상품권</t>
  </si>
  <si>
    <t>6호봉</t>
  </si>
  <si>
    <t>7호봉</t>
  </si>
  <si>
    <t>6호봉</t>
  </si>
  <si>
    <t>7호봉</t>
  </si>
  <si>
    <t>6호봉</t>
  </si>
  <si>
    <t>7호봉</t>
  </si>
  <si>
    <t>* 부활나눔</t>
  </si>
  <si>
    <t>원</t>
  </si>
  <si>
    <t>회</t>
  </si>
  <si>
    <t>명</t>
  </si>
  <si>
    <t>* 영화 관람</t>
  </si>
  <si>
    <t>명</t>
  </si>
  <si>
    <t>* 코엑스 수족관</t>
  </si>
  <si>
    <t>나들이</t>
  </si>
  <si>
    <t>※ 직원 급식비</t>
  </si>
  <si>
    <t>1. 직원급식비</t>
  </si>
  <si>
    <t>* 주부식비(부식)</t>
  </si>
  <si>
    <t>월</t>
  </si>
  <si>
    <t>* 주부식비(직원급식)</t>
  </si>
  <si>
    <t>월</t>
  </si>
  <si>
    <t>후원</t>
  </si>
  <si>
    <t>후원</t>
  </si>
  <si>
    <t>법인</t>
  </si>
  <si>
    <t>2019년 
1차추경예산</t>
  </si>
  <si>
    <t>* 명절선물</t>
  </si>
  <si>
    <t>후원</t>
  </si>
  <si>
    <t>입소</t>
  </si>
  <si>
    <t>잡수</t>
  </si>
  <si>
    <t>잡수</t>
  </si>
  <si>
    <t>잡수</t>
  </si>
  <si>
    <t>후원</t>
  </si>
  <si>
    <t>원</t>
  </si>
  <si>
    <t>* 기타 시설물 관리유지비(세탁실단열공사, 전기공사 등)</t>
  </si>
  <si>
    <t>* 이용인 직장 방문</t>
  </si>
  <si>
    <t>□ 2019년도 2차추경예산 세 입 · 세 출 총  괄  표</t>
  </si>
  <si>
    <t>2019년 
2차추경예산</t>
  </si>
  <si>
    <t>2019년 
2차추경예산</t>
  </si>
  <si>
    <t>&lt;바르나바의 집 2019년도 2차추경예산 세입내역&gt;</t>
  </si>
  <si>
    <t>2019년
 1차추경예산 (B)
(단위:천원)</t>
  </si>
  <si>
    <t>2019년
 2차추경예산 (B)
(단위:천원)</t>
  </si>
  <si>
    <t>2019년
1차추경예산액(A)
(단위:천원)</t>
  </si>
  <si>
    <t>2019년 2차추경예산액(B)(단위:천원)</t>
  </si>
  <si>
    <t>&lt;바르나바의 집 2019년도 2차추경예산 세출내역&gt;</t>
  </si>
  <si>
    <t>* 직원 연수</t>
  </si>
  <si>
    <t>* 오토캠핑</t>
  </si>
  <si>
    <t>원</t>
  </si>
  <si>
    <t>* 주부식비(간식)</t>
  </si>
  <si>
    <t>월</t>
  </si>
  <si>
    <t>보조</t>
  </si>
  <si>
    <t>* 당직자(종사자) 이불</t>
  </si>
  <si>
    <t>* 직원 독감예방접종</t>
  </si>
  <si>
    <t>* 스승의날 감사선물</t>
  </si>
  <si>
    <t>원</t>
  </si>
  <si>
    <t>잡수</t>
  </si>
  <si>
    <t>* 사무용의자 비품구입</t>
  </si>
  <si>
    <t>* 가스렌지, 밥솥, 블랙박스, 소독기 등 비품구입</t>
  </si>
  <si>
    <t>* 환경개선사업(7종) 소파, 의류건조기 구입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</si>
</sst>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#,##0_);[Red]\(#,##0\)"/>
    <numFmt numFmtId="179" formatCode="0_ "/>
    <numFmt numFmtId="180" formatCode="_-* #,##0.0_-;\-* #,##0.0_-;_-* &quot;-&quot;_-;_-@_-"/>
    <numFmt numFmtId="181" formatCode="0_);[Red]\(0\)"/>
    <numFmt numFmtId="182" formatCode="_-* #,##0_-;&quot;▼&quot;* #,##0_-;_-* &quot;-&quot;_-;_-@_-"/>
    <numFmt numFmtId="183" formatCode="#,##0&quot;명&quot;;[Red]#,##0\ &quot;명&quot;"/>
    <numFmt numFmtId="184" formatCode="&quot;×&quot;General"/>
    <numFmt numFmtId="185" formatCode="&quot;×&quot;0%"/>
    <numFmt numFmtId="186" formatCode="0.000%"/>
    <numFmt numFmtId="187" formatCode="0.0%"/>
    <numFmt numFmtId="188" formatCode="#,##0;&quot;△&quot;#,##0"/>
    <numFmt numFmtId="189" formatCode="#,##0&quot;원×&quot;;\-#,##0&quot;원×&quot;"/>
    <numFmt numFmtId="190" formatCode="#,##0&quot;명×&quot;;\-#,##0"/>
    <numFmt numFmtId="191" formatCode="#,##0&quot;월=&quot;;&quot;△&quot;#,##0"/>
    <numFmt numFmtId="192" formatCode="#,##0_ ;[Red]\-#,##0\ "/>
    <numFmt numFmtId="193" formatCode="#,##0.0;[Red]#,##0.0"/>
    <numFmt numFmtId="194" formatCode="#,##0&quot;×&quot;;\-#,##0&quot;원×&quot;"/>
    <numFmt numFmtId="195" formatCode="#,##0&quot;월&quot;;\-#,##0&quot;월&quot;"/>
    <numFmt numFmtId="196" formatCode="#,##0&quot;h×&quot;;\-#,##0&quot;h×&quot;"/>
    <numFmt numFmtId="197" formatCode="#,##0&quot;회&quot;;[Red]#,##0"/>
    <numFmt numFmtId="198" formatCode="#,##0&quot;명&quot;;[Red]#,##0"/>
    <numFmt numFmtId="199" formatCode="[$-412]yyyy&quot;년&quot;\ m&quot;월&quot;\ d&quot;일&quot;\ dddd"/>
    <numFmt numFmtId="200" formatCode="[$-412]AM/PM\ h:mm:ss"/>
  </numFmts>
  <fonts count="54">
    <font>
      <sz val="11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바탕체"/>
      <family val="1"/>
    </font>
    <font>
      <sz val="10"/>
      <color indexed="60"/>
      <name val="바탕체"/>
      <family val="1"/>
    </font>
    <font>
      <sz val="10"/>
      <color indexed="10"/>
      <name val="바탕체"/>
      <family val="1"/>
    </font>
    <font>
      <sz val="10"/>
      <color indexed="8"/>
      <name val="맑은 고딕"/>
      <family val="3"/>
    </font>
    <font>
      <sz val="9"/>
      <color indexed="8"/>
      <name val="맑은 고딕"/>
      <family val="3"/>
    </font>
    <font>
      <b/>
      <sz val="10"/>
      <color indexed="60"/>
      <name val="맑은 고딕"/>
      <family val="3"/>
    </font>
    <font>
      <b/>
      <sz val="10"/>
      <color indexed="8"/>
      <name val="맑은 고딕"/>
      <family val="3"/>
    </font>
    <font>
      <sz val="10"/>
      <color indexed="60"/>
      <name val="맑은 고딕"/>
      <family val="3"/>
    </font>
    <font>
      <sz val="10"/>
      <color indexed="12"/>
      <name val="맑은 고딕"/>
      <family val="3"/>
    </font>
    <font>
      <b/>
      <sz val="18"/>
      <color indexed="8"/>
      <name val="맑은 고딕"/>
      <family val="3"/>
    </font>
    <font>
      <b/>
      <sz val="10"/>
      <color indexed="30"/>
      <name val="맑은 고딕"/>
      <family val="3"/>
    </font>
    <font>
      <sz val="10"/>
      <color indexed="30"/>
      <name val="맑은 고딕"/>
      <family val="3"/>
    </font>
    <font>
      <sz val="10"/>
      <color indexed="18"/>
      <name val="맑은 고딕"/>
      <family val="3"/>
    </font>
    <font>
      <b/>
      <sz val="10"/>
      <color indexed="12"/>
      <name val="맑은 고딕"/>
      <family val="3"/>
    </font>
    <font>
      <sz val="10"/>
      <color indexed="10"/>
      <name val="맑은 고딕"/>
      <family val="3"/>
    </font>
    <font>
      <b/>
      <sz val="10"/>
      <color indexed="10"/>
      <name val="맑은 고딕"/>
      <family val="3"/>
    </font>
    <font>
      <sz val="9"/>
      <color indexed="10"/>
      <name val="맑은 고딕"/>
      <family val="3"/>
    </font>
    <font>
      <b/>
      <sz val="11"/>
      <color indexed="10"/>
      <name val="돋움"/>
      <family val="3"/>
    </font>
    <font>
      <b/>
      <sz val="11"/>
      <color indexed="18"/>
      <name val="맑은 고딕"/>
      <family val="3"/>
    </font>
    <font>
      <b/>
      <sz val="11"/>
      <color indexed="18"/>
      <name val="돋움"/>
      <family val="3"/>
    </font>
    <font>
      <b/>
      <sz val="11"/>
      <color indexed="10"/>
      <name val="맑은 고딕"/>
      <family val="3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9"/>
      <color indexed="8"/>
      <name val="돋움"/>
      <family val="3"/>
    </font>
    <font>
      <sz val="8"/>
      <name val="돋움"/>
      <family val="3"/>
    </font>
    <font>
      <sz val="10"/>
      <name val="맑은 고딕"/>
      <family val="3"/>
    </font>
    <font>
      <b/>
      <sz val="10"/>
      <name val="맑은 고딕"/>
      <family val="3"/>
    </font>
    <font>
      <sz val="9"/>
      <name val="맑은 고딕"/>
      <family val="3"/>
    </font>
    <font>
      <sz val="10"/>
      <color rgb="FFFF0000"/>
      <name val="맑은 고딕"/>
      <family val="3"/>
    </font>
    <font>
      <sz val="11"/>
      <color rgb="FFFF0000"/>
      <name val="맑은 고딕"/>
      <family val="3"/>
    </font>
    <font>
      <sz val="10"/>
      <color theme="1"/>
      <name val="맑은 고딕"/>
      <family val="3"/>
    </font>
    <font>
      <sz val="11"/>
      <color theme="1"/>
      <name val="맑은 고딕"/>
      <family val="3"/>
    </font>
    <font>
      <sz val="9"/>
      <color theme="1"/>
      <name val="맑은 고딕"/>
      <family val="3"/>
    </font>
    <font>
      <sz val="10"/>
      <color rgb="FFFF0000"/>
      <name val="바탕체"/>
      <family val="1"/>
    </font>
    <font>
      <b/>
      <sz val="10"/>
      <color theme="1"/>
      <name val="맑은 고딕"/>
      <family val="3"/>
    </font>
    <font>
      <b/>
      <sz val="8"/>
      <name val="돋움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double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70">
    <xf numFmtId="0" fontId="0" fillId="0" borderId="0" applyFill="0" applyAlignment="0"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44" fontId="0" fillId="0" borderId="0" applyFont="0" applyFill="0" applyBorder="0" applyAlignment="0" applyProtection="0"/>
    <xf numFmtId="0" fontId="0" fillId="0" borderId="0" applyFill="0" applyAlignment="0"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</cellStyleXfs>
  <cellXfs count="467">
    <xf numFmtId="0" fontId="0" fillId="0" borderId="0" xfId="0" applyNumberFormat="1" applyFill="1" applyAlignment="1">
      <alignment vertical="center"/>
    </xf>
    <xf numFmtId="0" fontId="18" fillId="0" borderId="0" xfId="64" applyNumberFormat="1" applyFont="1" applyFill="1" applyAlignment="1">
      <alignment vertical="center"/>
      <protection/>
    </xf>
    <xf numFmtId="176" fontId="18" fillId="0" borderId="0" xfId="64" applyNumberFormat="1" applyFont="1" applyFill="1" applyAlignment="1">
      <alignment vertical="center"/>
      <protection/>
    </xf>
    <xf numFmtId="0" fontId="18" fillId="0" borderId="0" xfId="64" applyNumberFormat="1" applyFont="1" applyFill="1" applyAlignment="1">
      <alignment horizontal="center" vertical="center"/>
      <protection/>
    </xf>
    <xf numFmtId="0" fontId="18" fillId="0" borderId="0" xfId="64" applyNumberFormat="1" applyFont="1" applyFill="1" applyBorder="1" applyAlignment="1">
      <alignment vertical="center"/>
      <protection/>
    </xf>
    <xf numFmtId="176" fontId="18" fillId="0" borderId="0" xfId="64" applyNumberFormat="1" applyFont="1" applyFill="1" applyBorder="1" applyAlignment="1">
      <alignment vertical="center"/>
      <protection/>
    </xf>
    <xf numFmtId="41" fontId="18" fillId="0" borderId="0" xfId="48" applyNumberFormat="1" applyFont="1" applyFill="1" applyAlignment="1">
      <alignment vertical="center"/>
    </xf>
    <xf numFmtId="0" fontId="18" fillId="0" borderId="0" xfId="64" applyNumberFormat="1" applyFont="1" applyFill="1" applyAlignment="1">
      <alignment horizontal="center" vertical="center" wrapText="1"/>
      <protection/>
    </xf>
    <xf numFmtId="41" fontId="18" fillId="0" borderId="0" xfId="48" applyNumberFormat="1" applyFont="1" applyFill="1" applyAlignment="1">
      <alignment horizontal="center" vertical="center"/>
    </xf>
    <xf numFmtId="178" fontId="18" fillId="0" borderId="0" xfId="64" applyNumberFormat="1" applyFont="1" applyFill="1" applyAlignment="1">
      <alignment vertical="center"/>
      <protection/>
    </xf>
    <xf numFmtId="177" fontId="18" fillId="0" borderId="0" xfId="64" applyNumberFormat="1" applyFont="1" applyFill="1" applyAlignment="1">
      <alignment vertical="center"/>
      <protection/>
    </xf>
    <xf numFmtId="0" fontId="18" fillId="0" borderId="0" xfId="0" applyNumberFormat="1" applyFont="1" applyFill="1" applyAlignment="1">
      <alignment vertical="center"/>
    </xf>
    <xf numFmtId="9" fontId="18" fillId="0" borderId="0" xfId="64" applyNumberFormat="1" applyFont="1" applyFill="1" applyAlignment="1">
      <alignment horizontal="center" vertical="center"/>
      <protection/>
    </xf>
    <xf numFmtId="176" fontId="18" fillId="0" borderId="0" xfId="0" applyNumberFormat="1" applyFont="1" applyFill="1" applyAlignment="1">
      <alignment vertical="center"/>
    </xf>
    <xf numFmtId="0" fontId="18" fillId="0" borderId="0" xfId="0" applyNumberFormat="1" applyFont="1" applyFill="1" applyBorder="1" applyAlignment="1">
      <alignment vertical="center"/>
    </xf>
    <xf numFmtId="0" fontId="18" fillId="0" borderId="0" xfId="0" applyNumberFormat="1" applyFont="1" applyFill="1" applyAlignment="1">
      <alignment vertical="center"/>
    </xf>
    <xf numFmtId="176" fontId="18" fillId="0" borderId="0" xfId="0" applyNumberFormat="1" applyFont="1" applyFill="1" applyAlignment="1">
      <alignment vertical="center"/>
    </xf>
    <xf numFmtId="176" fontId="19" fillId="0" borderId="0" xfId="64" applyNumberFormat="1" applyFont="1" applyFill="1" applyAlignment="1">
      <alignment vertical="center"/>
      <protection/>
    </xf>
    <xf numFmtId="38" fontId="18" fillId="0" borderId="0" xfId="64" applyNumberFormat="1" applyFont="1" applyFill="1" applyBorder="1" applyAlignment="1">
      <alignment vertical="center"/>
      <protection/>
    </xf>
    <xf numFmtId="0" fontId="19" fillId="0" borderId="0" xfId="0" applyNumberFormat="1" applyFont="1" applyFill="1" applyAlignment="1">
      <alignment vertical="center"/>
    </xf>
    <xf numFmtId="0" fontId="19" fillId="0" borderId="0" xfId="64" applyNumberFormat="1" applyFont="1" applyFill="1" applyAlignment="1">
      <alignment vertical="center"/>
      <protection/>
    </xf>
    <xf numFmtId="0" fontId="20" fillId="0" borderId="0" xfId="64" applyNumberFormat="1" applyFont="1" applyFill="1" applyAlignment="1">
      <alignment vertical="center"/>
      <protection/>
    </xf>
    <xf numFmtId="0" fontId="18" fillId="0" borderId="0" xfId="64" applyNumberFormat="1" applyFont="1" applyFill="1" applyBorder="1" applyAlignment="1">
      <alignment horizontal="center" vertical="center" wrapText="1"/>
      <protection/>
    </xf>
    <xf numFmtId="41" fontId="20" fillId="0" borderId="0" xfId="48" applyNumberFormat="1" applyFont="1" applyFill="1" applyAlignment="1">
      <alignment vertical="center"/>
    </xf>
    <xf numFmtId="0" fontId="21" fillId="0" borderId="10" xfId="64" applyNumberFormat="1" applyFont="1" applyFill="1" applyBorder="1" applyAlignment="1">
      <alignment horizontal="center" vertical="center" wrapText="1"/>
      <protection/>
    </xf>
    <xf numFmtId="0" fontId="21" fillId="0" borderId="11" xfId="64" applyNumberFormat="1" applyFont="1" applyFill="1" applyBorder="1" applyAlignment="1">
      <alignment horizontal="center" vertical="center" wrapText="1"/>
      <protection/>
    </xf>
    <xf numFmtId="9" fontId="22" fillId="0" borderId="11" xfId="64" applyNumberFormat="1" applyFont="1" applyFill="1" applyBorder="1" applyAlignment="1">
      <alignment horizontal="center" vertical="center"/>
      <protection/>
    </xf>
    <xf numFmtId="0" fontId="23" fillId="0" borderId="12" xfId="64" applyNumberFormat="1" applyFont="1" applyFill="1" applyBorder="1" applyAlignment="1">
      <alignment vertical="center"/>
      <protection/>
    </xf>
    <xf numFmtId="176" fontId="23" fillId="0" borderId="12" xfId="64" applyNumberFormat="1" applyFont="1" applyFill="1" applyBorder="1" applyAlignment="1">
      <alignment horizontal="center" vertical="center"/>
      <protection/>
    </xf>
    <xf numFmtId="176" fontId="23" fillId="0" borderId="13" xfId="64" applyNumberFormat="1" applyFont="1" applyFill="1" applyBorder="1" applyAlignment="1">
      <alignment vertical="center"/>
      <protection/>
    </xf>
    <xf numFmtId="9" fontId="21" fillId="0" borderId="14" xfId="64" applyNumberFormat="1" applyFont="1" applyFill="1" applyBorder="1" applyAlignment="1">
      <alignment horizontal="center" vertical="center"/>
      <protection/>
    </xf>
    <xf numFmtId="0" fontId="24" fillId="0" borderId="0" xfId="64" applyNumberFormat="1" applyFont="1" applyFill="1" applyBorder="1" applyAlignment="1">
      <alignment vertical="center"/>
      <protection/>
    </xf>
    <xf numFmtId="176" fontId="24" fillId="0" borderId="0" xfId="64" applyNumberFormat="1" applyFont="1" applyFill="1" applyBorder="1" applyAlignment="1">
      <alignment vertical="center"/>
      <protection/>
    </xf>
    <xf numFmtId="176" fontId="24" fillId="0" borderId="15" xfId="64" applyNumberFormat="1" applyFont="1" applyFill="1" applyBorder="1" applyAlignment="1">
      <alignment vertical="center"/>
      <protection/>
    </xf>
    <xf numFmtId="0" fontId="21" fillId="0" borderId="16" xfId="64" applyNumberFormat="1" applyFont="1" applyFill="1" applyBorder="1" applyAlignment="1">
      <alignment horizontal="center" vertical="center" wrapText="1"/>
      <protection/>
    </xf>
    <xf numFmtId="0" fontId="21" fillId="0" borderId="17" xfId="64" applyNumberFormat="1" applyFont="1" applyFill="1" applyBorder="1" applyAlignment="1">
      <alignment horizontal="center" vertical="center" wrapText="1"/>
      <protection/>
    </xf>
    <xf numFmtId="178" fontId="21" fillId="0" borderId="17" xfId="64" applyNumberFormat="1" applyFont="1" applyFill="1" applyBorder="1" applyAlignment="1">
      <alignment vertical="center"/>
      <protection/>
    </xf>
    <xf numFmtId="177" fontId="21" fillId="0" borderId="17" xfId="64" applyNumberFormat="1" applyFont="1" applyFill="1" applyBorder="1" applyAlignment="1">
      <alignment vertical="center"/>
      <protection/>
    </xf>
    <xf numFmtId="9" fontId="21" fillId="0" borderId="17" xfId="64" applyNumberFormat="1" applyFont="1" applyFill="1" applyBorder="1" applyAlignment="1">
      <alignment horizontal="center" vertical="center"/>
      <protection/>
    </xf>
    <xf numFmtId="0" fontId="23" fillId="0" borderId="18" xfId="64" applyNumberFormat="1" applyFont="1" applyFill="1" applyBorder="1" applyAlignment="1">
      <alignment vertical="center"/>
      <protection/>
    </xf>
    <xf numFmtId="176" fontId="25" fillId="0" borderId="19" xfId="64" applyNumberFormat="1" applyFont="1" applyFill="1" applyBorder="1" applyAlignment="1">
      <alignment vertical="center"/>
      <protection/>
    </xf>
    <xf numFmtId="176" fontId="23" fillId="0" borderId="19" xfId="64" applyNumberFormat="1" applyFont="1" applyFill="1" applyBorder="1" applyAlignment="1">
      <alignment vertical="center"/>
      <protection/>
    </xf>
    <xf numFmtId="176" fontId="23" fillId="0" borderId="19" xfId="64" applyNumberFormat="1" applyFont="1" applyFill="1" applyBorder="1" applyAlignment="1">
      <alignment horizontal="right" vertical="center"/>
      <protection/>
    </xf>
    <xf numFmtId="176" fontId="23" fillId="0" borderId="20" xfId="64" applyNumberFormat="1" applyFont="1" applyFill="1" applyBorder="1" applyAlignment="1">
      <alignment vertical="center"/>
      <protection/>
    </xf>
    <xf numFmtId="0" fontId="21" fillId="0" borderId="21" xfId="64" applyNumberFormat="1" applyFont="1" applyFill="1" applyBorder="1" applyAlignment="1">
      <alignment horizontal="center" vertical="center" wrapText="1"/>
      <protection/>
    </xf>
    <xf numFmtId="0" fontId="21" fillId="0" borderId="14" xfId="64" applyNumberFormat="1" applyFont="1" applyFill="1" applyBorder="1" applyAlignment="1">
      <alignment horizontal="center" vertical="center" wrapText="1"/>
      <protection/>
    </xf>
    <xf numFmtId="0" fontId="21" fillId="0" borderId="22" xfId="64" applyNumberFormat="1" applyFont="1" applyFill="1" applyBorder="1" applyAlignment="1">
      <alignment horizontal="center" vertical="center" wrapText="1"/>
      <protection/>
    </xf>
    <xf numFmtId="178" fontId="21" fillId="0" borderId="14" xfId="64" applyNumberFormat="1" applyFont="1" applyFill="1" applyBorder="1" applyAlignment="1">
      <alignment vertical="center"/>
      <protection/>
    </xf>
    <xf numFmtId="177" fontId="21" fillId="0" borderId="14" xfId="64" applyNumberFormat="1" applyFont="1" applyFill="1" applyBorder="1" applyAlignment="1">
      <alignment vertical="center"/>
      <protection/>
    </xf>
    <xf numFmtId="0" fontId="21" fillId="0" borderId="0" xfId="64" applyNumberFormat="1" applyFont="1" applyFill="1" applyBorder="1" applyAlignment="1">
      <alignment vertical="center"/>
      <protection/>
    </xf>
    <xf numFmtId="176" fontId="21" fillId="0" borderId="0" xfId="64" applyNumberFormat="1" applyFont="1" applyFill="1" applyBorder="1" applyAlignment="1">
      <alignment vertical="center"/>
      <protection/>
    </xf>
    <xf numFmtId="176" fontId="24" fillId="0" borderId="0" xfId="64" applyNumberFormat="1" applyFont="1" applyFill="1" applyBorder="1" applyAlignment="1">
      <alignment horizontal="right" vertical="center"/>
      <protection/>
    </xf>
    <xf numFmtId="0" fontId="21" fillId="0" borderId="23" xfId="64" applyNumberFormat="1" applyFont="1" applyFill="1" applyBorder="1" applyAlignment="1">
      <alignment horizontal="left" vertical="center"/>
      <protection/>
    </xf>
    <xf numFmtId="176" fontId="21" fillId="0" borderId="0" xfId="64" applyNumberFormat="1" applyFont="1" applyFill="1" applyBorder="1" applyAlignment="1">
      <alignment horizontal="left" vertical="center"/>
      <protection/>
    </xf>
    <xf numFmtId="0" fontId="21" fillId="0" borderId="0" xfId="64" applyNumberFormat="1" applyFont="1" applyFill="1" applyBorder="1" applyAlignment="1">
      <alignment horizontal="center" vertical="center"/>
      <protection/>
    </xf>
    <xf numFmtId="41" fontId="21" fillId="0" borderId="0" xfId="48" applyNumberFormat="1" applyFont="1" applyFill="1" applyBorder="1" applyAlignment="1">
      <alignment vertical="center"/>
    </xf>
    <xf numFmtId="176" fontId="21" fillId="0" borderId="15" xfId="64" applyNumberFormat="1" applyFont="1" applyFill="1" applyBorder="1" applyAlignment="1">
      <alignment vertical="center"/>
      <protection/>
    </xf>
    <xf numFmtId="0" fontId="21" fillId="0" borderId="24" xfId="64" applyNumberFormat="1" applyFont="1" applyFill="1" applyBorder="1" applyAlignment="1">
      <alignment horizontal="center" vertical="center" wrapText="1"/>
      <protection/>
    </xf>
    <xf numFmtId="0" fontId="21" fillId="0" borderId="25" xfId="64" applyNumberFormat="1" applyFont="1" applyFill="1" applyBorder="1" applyAlignment="1">
      <alignment horizontal="center" vertical="center" wrapText="1"/>
      <protection/>
    </xf>
    <xf numFmtId="0" fontId="21" fillId="0" borderId="21" xfId="64" applyNumberFormat="1" applyFont="1" applyFill="1" applyBorder="1" applyAlignment="1">
      <alignment vertical="center" wrapText="1"/>
      <protection/>
    </xf>
    <xf numFmtId="178" fontId="21" fillId="0" borderId="25" xfId="64" applyNumberFormat="1" applyFont="1" applyFill="1" applyBorder="1" applyAlignment="1">
      <alignment vertical="center"/>
      <protection/>
    </xf>
    <xf numFmtId="177" fontId="21" fillId="0" borderId="25" xfId="64" applyNumberFormat="1" applyFont="1" applyFill="1" applyBorder="1" applyAlignment="1">
      <alignment vertical="center"/>
      <protection/>
    </xf>
    <xf numFmtId="0" fontId="21" fillId="0" borderId="26" xfId="64" applyNumberFormat="1" applyFont="1" applyFill="1" applyBorder="1" applyAlignment="1">
      <alignment vertical="center"/>
      <protection/>
    </xf>
    <xf numFmtId="0" fontId="21" fillId="0" borderId="27" xfId="64" applyNumberFormat="1" applyFont="1" applyFill="1" applyBorder="1" applyAlignment="1">
      <alignment vertical="center"/>
      <protection/>
    </xf>
    <xf numFmtId="176" fontId="21" fillId="0" borderId="27" xfId="64" applyNumberFormat="1" applyFont="1" applyFill="1" applyBorder="1" applyAlignment="1">
      <alignment vertical="center"/>
      <protection/>
    </xf>
    <xf numFmtId="176" fontId="21" fillId="0" borderId="28" xfId="64" applyNumberFormat="1" applyFont="1" applyFill="1" applyBorder="1" applyAlignment="1">
      <alignment vertical="center"/>
      <protection/>
    </xf>
    <xf numFmtId="0" fontId="21" fillId="0" borderId="23" xfId="64" applyNumberFormat="1" applyFont="1" applyFill="1" applyBorder="1" applyAlignment="1">
      <alignment vertical="center"/>
      <protection/>
    </xf>
    <xf numFmtId="176" fontId="21" fillId="0" borderId="0" xfId="64" applyNumberFormat="1" applyFont="1" applyFill="1" applyBorder="1" applyAlignment="1">
      <alignment horizontal="right" vertical="center"/>
      <protection/>
    </xf>
    <xf numFmtId="178" fontId="21" fillId="0" borderId="0" xfId="64" applyNumberFormat="1" applyFont="1" applyFill="1" applyBorder="1" applyAlignment="1">
      <alignment horizontal="center" vertical="center"/>
      <protection/>
    </xf>
    <xf numFmtId="9" fontId="21" fillId="0" borderId="14" xfId="43" applyNumberFormat="1" applyFont="1" applyFill="1" applyBorder="1" applyAlignment="1">
      <alignment horizontal="center" vertical="center"/>
    </xf>
    <xf numFmtId="0" fontId="21" fillId="0" borderId="29" xfId="64" applyNumberFormat="1" applyFont="1" applyFill="1" applyBorder="1" applyAlignment="1">
      <alignment vertical="center"/>
      <protection/>
    </xf>
    <xf numFmtId="176" fontId="21" fillId="0" borderId="30" xfId="64" applyNumberFormat="1" applyFont="1" applyFill="1" applyBorder="1" applyAlignment="1">
      <alignment horizontal="right" vertical="center"/>
      <protection/>
    </xf>
    <xf numFmtId="176" fontId="21" fillId="0" borderId="31" xfId="64" applyNumberFormat="1" applyFont="1" applyFill="1" applyBorder="1" applyAlignment="1">
      <alignment vertical="center"/>
      <protection/>
    </xf>
    <xf numFmtId="42" fontId="21" fillId="0" borderId="0" xfId="64" applyNumberFormat="1" applyFont="1" applyFill="1" applyBorder="1" applyAlignment="1">
      <alignment horizontal="center" vertical="center"/>
      <protection/>
    </xf>
    <xf numFmtId="0" fontId="21" fillId="0" borderId="0" xfId="0" applyNumberFormat="1" applyFont="1" applyFill="1" applyBorder="1" applyAlignment="1">
      <alignment vertical="center"/>
    </xf>
    <xf numFmtId="178" fontId="1" fillId="0" borderId="0" xfId="0" applyNumberFormat="1" applyFont="1" applyBorder="1" applyAlignment="1">
      <alignment vertical="center"/>
    </xf>
    <xf numFmtId="9" fontId="21" fillId="0" borderId="0" xfId="43" applyNumberFormat="1" applyFont="1" applyFill="1" applyBorder="1" applyAlignment="1">
      <alignment horizontal="center" vertical="center"/>
    </xf>
    <xf numFmtId="10" fontId="21" fillId="0" borderId="0" xfId="43" applyNumberFormat="1" applyFont="1" applyFill="1" applyBorder="1" applyAlignment="1">
      <alignment horizontal="center" vertical="center"/>
    </xf>
    <xf numFmtId="180" fontId="21" fillId="0" borderId="0" xfId="48" applyNumberFormat="1" applyFont="1" applyFill="1" applyBorder="1" applyAlignment="1">
      <alignment horizontal="center" vertical="center"/>
    </xf>
    <xf numFmtId="176" fontId="21" fillId="0" borderId="30" xfId="64" applyNumberFormat="1" applyFont="1" applyFill="1" applyBorder="1" applyAlignment="1">
      <alignment vertical="center"/>
      <protection/>
    </xf>
    <xf numFmtId="0" fontId="21" fillId="0" borderId="30" xfId="64" applyNumberFormat="1" applyFont="1" applyFill="1" applyBorder="1" applyAlignment="1">
      <alignment vertical="center"/>
      <protection/>
    </xf>
    <xf numFmtId="0" fontId="21" fillId="0" borderId="14" xfId="64" applyNumberFormat="1" applyFont="1" applyFill="1" applyBorder="1" applyAlignment="1">
      <alignment vertical="center" wrapText="1"/>
      <protection/>
    </xf>
    <xf numFmtId="0" fontId="21" fillId="0" borderId="25" xfId="64" applyNumberFormat="1" applyFont="1" applyFill="1" applyBorder="1" applyAlignment="1">
      <alignment vertical="center" wrapText="1"/>
      <protection/>
    </xf>
    <xf numFmtId="9" fontId="21" fillId="0" borderId="25" xfId="43" applyNumberFormat="1" applyFont="1" applyFill="1" applyBorder="1" applyAlignment="1">
      <alignment horizontal="center" vertical="center"/>
    </xf>
    <xf numFmtId="0" fontId="21" fillId="0" borderId="30" xfId="64" applyNumberFormat="1" applyFont="1" applyFill="1" applyBorder="1" applyAlignment="1">
      <alignment horizontal="center" vertical="center"/>
      <protection/>
    </xf>
    <xf numFmtId="0" fontId="21" fillId="0" borderId="30" xfId="0" applyNumberFormat="1" applyFont="1" applyFill="1" applyBorder="1" applyAlignment="1">
      <alignment vertical="center"/>
    </xf>
    <xf numFmtId="0" fontId="21" fillId="0" borderId="17" xfId="64" applyNumberFormat="1" applyFont="1" applyFill="1" applyBorder="1" applyAlignment="1">
      <alignment horizontal="center" vertical="center"/>
      <protection/>
    </xf>
    <xf numFmtId="176" fontId="21" fillId="0" borderId="19" xfId="64" applyNumberFormat="1" applyFont="1" applyFill="1" applyBorder="1" applyAlignment="1">
      <alignment vertical="center"/>
      <protection/>
    </xf>
    <xf numFmtId="176" fontId="24" fillId="0" borderId="19" xfId="64" applyNumberFormat="1" applyFont="1" applyFill="1" applyBorder="1" applyAlignment="1">
      <alignment vertical="center"/>
      <protection/>
    </xf>
    <xf numFmtId="0" fontId="21" fillId="0" borderId="14" xfId="64" applyNumberFormat="1" applyFont="1" applyFill="1" applyBorder="1" applyAlignment="1">
      <alignment horizontal="center" vertical="center"/>
      <protection/>
    </xf>
    <xf numFmtId="176" fontId="21" fillId="0" borderId="0" xfId="64" applyNumberFormat="1" applyFont="1" applyFill="1" applyBorder="1" applyAlignment="1">
      <alignment horizontal="center" vertical="center"/>
      <protection/>
    </xf>
    <xf numFmtId="179" fontId="21" fillId="0" borderId="0" xfId="43" applyNumberFormat="1" applyFont="1" applyFill="1" applyBorder="1" applyAlignment="1">
      <alignment vertical="center"/>
    </xf>
    <xf numFmtId="0" fontId="24" fillId="0" borderId="19" xfId="64" applyNumberFormat="1" applyFont="1" applyFill="1" applyBorder="1" applyAlignment="1">
      <alignment vertical="center"/>
      <protection/>
    </xf>
    <xf numFmtId="176" fontId="24" fillId="0" borderId="19" xfId="64" applyNumberFormat="1" applyFont="1" applyFill="1" applyBorder="1" applyAlignment="1">
      <alignment horizontal="right" vertical="center"/>
      <protection/>
    </xf>
    <xf numFmtId="176" fontId="24" fillId="0" borderId="20" xfId="64" applyNumberFormat="1" applyFont="1" applyFill="1" applyBorder="1" applyAlignment="1">
      <alignment vertical="center"/>
      <protection/>
    </xf>
    <xf numFmtId="0" fontId="21" fillId="0" borderId="22" xfId="64" applyNumberFormat="1" applyFont="1" applyFill="1" applyBorder="1" applyAlignment="1">
      <alignment horizontal="center" vertical="center"/>
      <protection/>
    </xf>
    <xf numFmtId="0" fontId="24" fillId="0" borderId="32" xfId="64" applyNumberFormat="1" applyFont="1" applyFill="1" applyBorder="1" applyAlignment="1">
      <alignment vertical="center"/>
      <protection/>
    </xf>
    <xf numFmtId="0" fontId="21" fillId="0" borderId="22" xfId="64" applyNumberFormat="1" applyFont="1" applyFill="1" applyBorder="1" applyAlignment="1">
      <alignment vertical="center"/>
      <protection/>
    </xf>
    <xf numFmtId="176" fontId="24" fillId="0" borderId="30" xfId="64" applyNumberFormat="1" applyFont="1" applyFill="1" applyBorder="1" applyAlignment="1">
      <alignment vertical="center"/>
      <protection/>
    </xf>
    <xf numFmtId="0" fontId="21" fillId="0" borderId="33" xfId="64" applyNumberFormat="1" applyFont="1" applyFill="1" applyBorder="1" applyAlignment="1">
      <alignment vertical="center" wrapText="1"/>
      <protection/>
    </xf>
    <xf numFmtId="0" fontId="21" fillId="0" borderId="34" xfId="64" applyNumberFormat="1" applyFont="1" applyFill="1" applyBorder="1" applyAlignment="1">
      <alignment horizontal="center" vertical="center"/>
      <protection/>
    </xf>
    <xf numFmtId="0" fontId="21" fillId="0" borderId="34" xfId="64" applyNumberFormat="1" applyFont="1" applyFill="1" applyBorder="1" applyAlignment="1">
      <alignment horizontal="center" vertical="center" wrapText="1"/>
      <protection/>
    </xf>
    <xf numFmtId="178" fontId="21" fillId="0" borderId="34" xfId="64" applyNumberFormat="1" applyFont="1" applyFill="1" applyBorder="1" applyAlignment="1">
      <alignment vertical="center"/>
      <protection/>
    </xf>
    <xf numFmtId="177" fontId="21" fillId="0" borderId="34" xfId="64" applyNumberFormat="1" applyFont="1" applyFill="1" applyBorder="1" applyAlignment="1">
      <alignment vertical="center"/>
      <protection/>
    </xf>
    <xf numFmtId="9" fontId="21" fillId="0" borderId="34" xfId="64" applyNumberFormat="1" applyFont="1" applyFill="1" applyBorder="1" applyAlignment="1">
      <alignment horizontal="center" vertical="center"/>
      <protection/>
    </xf>
    <xf numFmtId="176" fontId="21" fillId="0" borderId="27" xfId="64" applyNumberFormat="1" applyFont="1" applyFill="1" applyBorder="1" applyAlignment="1">
      <alignment horizontal="center" vertical="center"/>
      <protection/>
    </xf>
    <xf numFmtId="38" fontId="21" fillId="0" borderId="27" xfId="64" applyNumberFormat="1" applyFont="1" applyFill="1" applyBorder="1" applyAlignment="1">
      <alignment vertical="center"/>
      <protection/>
    </xf>
    <xf numFmtId="9" fontId="21" fillId="0" borderId="11" xfId="43" applyNumberFormat="1" applyFont="1" applyFill="1" applyBorder="1" applyAlignment="1">
      <alignment horizontal="center" vertical="center"/>
    </xf>
    <xf numFmtId="38" fontId="21" fillId="0" borderId="14" xfId="64" applyNumberFormat="1" applyFont="1" applyFill="1" applyBorder="1" applyAlignment="1">
      <alignment vertical="center"/>
      <protection/>
    </xf>
    <xf numFmtId="38" fontId="21" fillId="0" borderId="25" xfId="64" applyNumberFormat="1" applyFont="1" applyFill="1" applyBorder="1" applyAlignment="1">
      <alignment vertical="center"/>
      <protection/>
    </xf>
    <xf numFmtId="0" fontId="24" fillId="0" borderId="16" xfId="64" applyNumberFormat="1" applyFont="1" applyFill="1" applyBorder="1" applyAlignment="1">
      <alignment horizontal="center" vertical="center" wrapText="1"/>
      <protection/>
    </xf>
    <xf numFmtId="38" fontId="21" fillId="0" borderId="17" xfId="64" applyNumberFormat="1" applyFont="1" applyFill="1" applyBorder="1" applyAlignment="1">
      <alignment vertical="center"/>
      <protection/>
    </xf>
    <xf numFmtId="176" fontId="21" fillId="0" borderId="17" xfId="0" applyNumberFormat="1" applyFont="1" applyFill="1" applyBorder="1" applyAlignment="1">
      <alignment vertical="center"/>
    </xf>
    <xf numFmtId="38" fontId="26" fillId="0" borderId="14" xfId="64" applyNumberFormat="1" applyFont="1" applyFill="1" applyBorder="1" applyAlignment="1">
      <alignment vertical="center"/>
      <protection/>
    </xf>
    <xf numFmtId="0" fontId="24" fillId="0" borderId="30" xfId="64" applyNumberFormat="1" applyFont="1" applyFill="1" applyBorder="1" applyAlignment="1">
      <alignment vertical="center"/>
      <protection/>
    </xf>
    <xf numFmtId="0" fontId="21" fillId="0" borderId="0" xfId="0" applyNumberFormat="1" applyFont="1" applyFill="1" applyAlignment="1">
      <alignment vertical="center"/>
    </xf>
    <xf numFmtId="176" fontId="24" fillId="0" borderId="30" xfId="64" applyNumberFormat="1" applyFont="1" applyFill="1" applyBorder="1" applyAlignment="1">
      <alignment horizontal="right" vertical="center"/>
      <protection/>
    </xf>
    <xf numFmtId="176" fontId="24" fillId="0" borderId="31" xfId="64" applyNumberFormat="1" applyFont="1" applyFill="1" applyBorder="1" applyAlignment="1">
      <alignment vertical="center"/>
      <protection/>
    </xf>
    <xf numFmtId="0" fontId="21" fillId="0" borderId="0" xfId="64" applyNumberFormat="1" applyFont="1" applyFill="1" applyBorder="1" applyAlignment="1">
      <alignment horizontal="left" vertical="center"/>
      <protection/>
    </xf>
    <xf numFmtId="9" fontId="21" fillId="0" borderId="17" xfId="43" applyNumberFormat="1" applyFont="1" applyFill="1" applyBorder="1" applyAlignment="1">
      <alignment horizontal="center" vertical="center"/>
    </xf>
    <xf numFmtId="0" fontId="21" fillId="0" borderId="31" xfId="0" applyNumberFormat="1" applyFont="1" applyFill="1" applyBorder="1" applyAlignment="1">
      <alignment vertical="center"/>
    </xf>
    <xf numFmtId="0" fontId="21" fillId="0" borderId="0" xfId="64" applyNumberFormat="1" applyFont="1" applyFill="1" applyBorder="1" applyAlignment="1">
      <alignment horizontal="left" vertical="center" wrapText="1"/>
      <protection/>
    </xf>
    <xf numFmtId="176" fontId="21" fillId="0" borderId="30" xfId="64" applyNumberFormat="1" applyFont="1" applyFill="1" applyBorder="1" applyAlignment="1">
      <alignment horizontal="left" vertical="center"/>
      <protection/>
    </xf>
    <xf numFmtId="3" fontId="21" fillId="0" borderId="0" xfId="0" applyNumberFormat="1" applyFont="1" applyFill="1" applyAlignment="1">
      <alignment vertical="center"/>
    </xf>
    <xf numFmtId="38" fontId="21" fillId="0" borderId="25" xfId="69" applyNumberFormat="1" applyFont="1" applyFill="1" applyBorder="1" applyAlignment="1">
      <alignment vertical="center"/>
      <protection/>
    </xf>
    <xf numFmtId="0" fontId="21" fillId="0" borderId="0" xfId="69" applyNumberFormat="1" applyFont="1" applyFill="1" applyBorder="1" applyAlignment="1">
      <alignment horizontal="center" vertical="center"/>
      <protection/>
    </xf>
    <xf numFmtId="0" fontId="21" fillId="0" borderId="33" xfId="64" applyNumberFormat="1" applyFont="1" applyFill="1" applyBorder="1" applyAlignment="1">
      <alignment horizontal="center" vertical="center" wrapText="1"/>
      <protection/>
    </xf>
    <xf numFmtId="38" fontId="21" fillId="0" borderId="34" xfId="64" applyNumberFormat="1" applyFont="1" applyFill="1" applyBorder="1" applyAlignment="1">
      <alignment vertical="center"/>
      <protection/>
    </xf>
    <xf numFmtId="9" fontId="21" fillId="0" borderId="34" xfId="43" applyNumberFormat="1" applyFont="1" applyFill="1" applyBorder="1" applyAlignment="1">
      <alignment horizontal="center" vertical="center"/>
    </xf>
    <xf numFmtId="0" fontId="21" fillId="0" borderId="28" xfId="64" applyNumberFormat="1" applyFont="1" applyFill="1" applyBorder="1" applyAlignment="1">
      <alignment vertical="center"/>
      <protection/>
    </xf>
    <xf numFmtId="0" fontId="25" fillId="0" borderId="19" xfId="64" applyNumberFormat="1" applyFont="1" applyFill="1" applyBorder="1" applyAlignment="1">
      <alignment vertical="center"/>
      <protection/>
    </xf>
    <xf numFmtId="0" fontId="21" fillId="0" borderId="32" xfId="64" applyNumberFormat="1" applyFont="1" applyFill="1" applyBorder="1" applyAlignment="1">
      <alignment vertical="center"/>
      <protection/>
    </xf>
    <xf numFmtId="176" fontId="21" fillId="0" borderId="35" xfId="64" applyNumberFormat="1" applyFont="1" applyFill="1" applyBorder="1" applyAlignment="1">
      <alignment vertical="center"/>
      <protection/>
    </xf>
    <xf numFmtId="176" fontId="21" fillId="0" borderId="35" xfId="64" applyNumberFormat="1" applyFont="1" applyFill="1" applyBorder="1" applyAlignment="1">
      <alignment horizontal="right" vertical="center"/>
      <protection/>
    </xf>
    <xf numFmtId="176" fontId="21" fillId="0" borderId="36" xfId="64" applyNumberFormat="1" applyFont="1" applyFill="1" applyBorder="1" applyAlignment="1">
      <alignment vertical="center"/>
      <protection/>
    </xf>
    <xf numFmtId="0" fontId="21" fillId="0" borderId="35" xfId="64" applyNumberFormat="1" applyFont="1" applyFill="1" applyBorder="1" applyAlignment="1">
      <alignment vertical="center"/>
      <protection/>
    </xf>
    <xf numFmtId="177" fontId="21" fillId="0" borderId="11" xfId="64" applyNumberFormat="1" applyFont="1" applyFill="1" applyBorder="1" applyAlignment="1">
      <alignment horizontal="center" vertical="center" wrapText="1"/>
      <protection/>
    </xf>
    <xf numFmtId="0" fontId="21" fillId="0" borderId="19" xfId="64" applyNumberFormat="1" applyFont="1" applyFill="1" applyBorder="1" applyAlignment="1">
      <alignment vertical="center"/>
      <protection/>
    </xf>
    <xf numFmtId="38" fontId="21" fillId="0" borderId="25" xfId="69" applyNumberFormat="1" applyFont="1" applyFill="1" applyBorder="1" applyAlignment="1">
      <alignment horizontal="center" vertical="center" wrapText="1"/>
      <protection/>
    </xf>
    <xf numFmtId="0" fontId="24" fillId="0" borderId="37" xfId="64" applyNumberFormat="1" applyFont="1" applyFill="1" applyBorder="1" applyAlignment="1">
      <alignment vertical="center"/>
      <protection/>
    </xf>
    <xf numFmtId="0" fontId="24" fillId="0" borderId="38" xfId="64" applyNumberFormat="1" applyFont="1" applyFill="1" applyBorder="1" applyAlignment="1">
      <alignment vertical="center"/>
      <protection/>
    </xf>
    <xf numFmtId="176" fontId="24" fillId="0" borderId="38" xfId="64" applyNumberFormat="1" applyFont="1" applyFill="1" applyBorder="1" applyAlignment="1">
      <alignment vertical="center"/>
      <protection/>
    </xf>
    <xf numFmtId="176" fontId="24" fillId="0" borderId="39" xfId="64" applyNumberFormat="1" applyFont="1" applyFill="1" applyBorder="1" applyAlignment="1">
      <alignment vertical="center"/>
      <protection/>
    </xf>
    <xf numFmtId="9" fontId="24" fillId="0" borderId="40" xfId="43" applyNumberFormat="1" applyFont="1" applyFill="1" applyBorder="1" applyAlignment="1">
      <alignment horizontal="center" vertical="center"/>
    </xf>
    <xf numFmtId="9" fontId="21" fillId="0" borderId="27" xfId="43" applyNumberFormat="1" applyFont="1" applyFill="1" applyBorder="1" applyAlignment="1">
      <alignment horizontal="center" vertical="center"/>
    </xf>
    <xf numFmtId="0" fontId="21" fillId="0" borderId="40" xfId="64" applyNumberFormat="1" applyFont="1" applyFill="1" applyBorder="1" applyAlignment="1">
      <alignment horizontal="center" vertical="center" wrapText="1"/>
      <protection/>
    </xf>
    <xf numFmtId="38" fontId="21" fillId="0" borderId="40" xfId="64" applyNumberFormat="1" applyFont="1" applyFill="1" applyBorder="1" applyAlignment="1">
      <alignment vertical="center"/>
      <protection/>
    </xf>
    <xf numFmtId="9" fontId="21" fillId="0" borderId="40" xfId="43" applyNumberFormat="1" applyFont="1" applyFill="1" applyBorder="1" applyAlignment="1">
      <alignment horizontal="center" vertical="center"/>
    </xf>
    <xf numFmtId="0" fontId="24" fillId="0" borderId="35" xfId="64" applyNumberFormat="1" applyFont="1" applyFill="1" applyBorder="1" applyAlignment="1">
      <alignment vertical="center"/>
      <protection/>
    </xf>
    <xf numFmtId="176" fontId="24" fillId="0" borderId="35" xfId="64" applyNumberFormat="1" applyFont="1" applyFill="1" applyBorder="1" applyAlignment="1">
      <alignment vertical="center"/>
      <protection/>
    </xf>
    <xf numFmtId="176" fontId="24" fillId="0" borderId="36" xfId="64" applyNumberFormat="1" applyFont="1" applyFill="1" applyBorder="1" applyAlignment="1">
      <alignment vertical="center"/>
      <protection/>
    </xf>
    <xf numFmtId="176" fontId="24" fillId="0" borderId="35" xfId="64" applyNumberFormat="1" applyFont="1" applyFill="1" applyBorder="1" applyAlignment="1">
      <alignment horizontal="right" vertical="center"/>
      <protection/>
    </xf>
    <xf numFmtId="9" fontId="18" fillId="0" borderId="0" xfId="43" applyNumberFormat="1" applyFont="1" applyFill="1" applyBorder="1" applyAlignment="1">
      <alignment horizontal="center" vertical="center"/>
    </xf>
    <xf numFmtId="178" fontId="22" fillId="0" borderId="11" xfId="64" applyNumberFormat="1" applyFont="1" applyFill="1" applyBorder="1" applyAlignment="1">
      <alignment horizontal="center" vertical="center" wrapText="1"/>
      <protection/>
    </xf>
    <xf numFmtId="0" fontId="24" fillId="0" borderId="35" xfId="64" applyNumberFormat="1" applyFont="1" applyFill="1" applyBorder="1" applyAlignment="1">
      <alignment horizontal="center" vertical="center"/>
      <protection/>
    </xf>
    <xf numFmtId="0" fontId="24" fillId="0" borderId="21" xfId="64" applyNumberFormat="1" applyFont="1" applyFill="1" applyBorder="1" applyAlignment="1">
      <alignment horizontal="center" vertical="center" wrapText="1"/>
      <protection/>
    </xf>
    <xf numFmtId="38" fontId="24" fillId="0" borderId="40" xfId="64" applyNumberFormat="1" applyFont="1" applyFill="1" applyBorder="1" applyAlignment="1">
      <alignment vertical="center"/>
      <protection/>
    </xf>
    <xf numFmtId="0" fontId="24" fillId="0" borderId="17" xfId="64" applyNumberFormat="1" applyFont="1" applyFill="1" applyBorder="1" applyAlignment="1">
      <alignment horizontal="center" vertical="center" wrapText="1"/>
      <protection/>
    </xf>
    <xf numFmtId="38" fontId="24" fillId="0" borderId="17" xfId="64" applyNumberFormat="1" applyFont="1" applyFill="1" applyBorder="1" applyAlignment="1">
      <alignment vertical="center"/>
      <protection/>
    </xf>
    <xf numFmtId="9" fontId="24" fillId="0" borderId="17" xfId="43" applyNumberFormat="1" applyFont="1" applyFill="1" applyBorder="1" applyAlignment="1">
      <alignment horizontal="center" vertical="center"/>
    </xf>
    <xf numFmtId="38" fontId="21" fillId="0" borderId="41" xfId="64" applyNumberFormat="1" applyFont="1" applyFill="1" applyBorder="1" applyAlignment="1">
      <alignment vertical="center"/>
      <protection/>
    </xf>
    <xf numFmtId="9" fontId="21" fillId="0" borderId="41" xfId="43" applyNumberFormat="1" applyFont="1" applyFill="1" applyBorder="1" applyAlignment="1">
      <alignment horizontal="center" vertical="center"/>
    </xf>
    <xf numFmtId="0" fontId="1" fillId="0" borderId="0" xfId="66" applyNumberFormat="1">
      <alignment vertical="center"/>
      <protection/>
    </xf>
    <xf numFmtId="0" fontId="27" fillId="0" borderId="0" xfId="66" applyNumberFormat="1" applyFont="1">
      <alignment vertical="center"/>
      <protection/>
    </xf>
    <xf numFmtId="0" fontId="22" fillId="0" borderId="0" xfId="66" applyNumberFormat="1" applyFont="1" applyAlignment="1">
      <alignment horizontal="right"/>
      <protection/>
    </xf>
    <xf numFmtId="0" fontId="1" fillId="0" borderId="40" xfId="66" applyNumberFormat="1" applyBorder="1" applyAlignment="1">
      <alignment horizontal="center" vertical="center"/>
      <protection/>
    </xf>
    <xf numFmtId="41" fontId="0" fillId="0" borderId="40" xfId="50" applyNumberFormat="1" applyFont="1" applyBorder="1" applyAlignment="1">
      <alignment vertical="center"/>
    </xf>
    <xf numFmtId="182" fontId="0" fillId="0" borderId="32" xfId="50" applyNumberFormat="1" applyFont="1" applyBorder="1" applyAlignment="1">
      <alignment vertical="center"/>
    </xf>
    <xf numFmtId="182" fontId="0" fillId="0" borderId="42" xfId="50" applyNumberFormat="1" applyFont="1" applyBorder="1" applyAlignment="1">
      <alignment vertical="center"/>
    </xf>
    <xf numFmtId="0" fontId="1" fillId="0" borderId="11" xfId="66" applyNumberFormat="1" applyBorder="1" applyAlignment="1">
      <alignment horizontal="center" vertical="center"/>
      <protection/>
    </xf>
    <xf numFmtId="41" fontId="0" fillId="0" borderId="11" xfId="50" applyNumberFormat="1" applyFont="1" applyBorder="1" applyAlignment="1">
      <alignment vertical="center"/>
    </xf>
    <xf numFmtId="182" fontId="0" fillId="0" borderId="43" xfId="50" applyNumberFormat="1" applyFont="1" applyBorder="1" applyAlignment="1">
      <alignment vertical="center"/>
    </xf>
    <xf numFmtId="176" fontId="21" fillId="0" borderId="30" xfId="64" applyNumberFormat="1" applyFont="1" applyFill="1" applyBorder="1" applyAlignment="1">
      <alignment horizontal="center" vertical="center"/>
      <protection/>
    </xf>
    <xf numFmtId="0" fontId="21" fillId="0" borderId="44" xfId="64" applyNumberFormat="1" applyFont="1" applyFill="1" applyBorder="1" applyAlignment="1">
      <alignment horizontal="center" vertical="center" wrapText="1"/>
      <protection/>
    </xf>
    <xf numFmtId="9" fontId="21" fillId="0" borderId="25" xfId="64" applyNumberFormat="1" applyFont="1" applyFill="1" applyBorder="1" applyAlignment="1">
      <alignment horizontal="center" vertical="center"/>
      <protection/>
    </xf>
    <xf numFmtId="0" fontId="28" fillId="0" borderId="32" xfId="64" applyNumberFormat="1" applyFont="1" applyFill="1" applyBorder="1" applyAlignment="1">
      <alignment vertical="center"/>
      <protection/>
    </xf>
    <xf numFmtId="0" fontId="29" fillId="0" borderId="35" xfId="64" applyNumberFormat="1" applyFont="1" applyFill="1" applyBorder="1" applyAlignment="1">
      <alignment vertical="center"/>
      <protection/>
    </xf>
    <xf numFmtId="176" fontId="29" fillId="0" borderId="35" xfId="64" applyNumberFormat="1" applyFont="1" applyFill="1" applyBorder="1" applyAlignment="1">
      <alignment vertical="center"/>
      <protection/>
    </xf>
    <xf numFmtId="176" fontId="28" fillId="0" borderId="35" xfId="64" applyNumberFormat="1" applyFont="1" applyFill="1" applyBorder="1" applyAlignment="1">
      <alignment vertical="center"/>
      <protection/>
    </xf>
    <xf numFmtId="42" fontId="21" fillId="0" borderId="30" xfId="64" applyNumberFormat="1" applyFont="1" applyFill="1" applyBorder="1" applyAlignment="1">
      <alignment horizontal="center" vertical="center"/>
      <protection/>
    </xf>
    <xf numFmtId="178" fontId="21" fillId="0" borderId="30" xfId="64" applyNumberFormat="1" applyFont="1" applyFill="1" applyBorder="1" applyAlignment="1">
      <alignment horizontal="center" vertical="center"/>
      <protection/>
    </xf>
    <xf numFmtId="180" fontId="21" fillId="0" borderId="30" xfId="48" applyNumberFormat="1" applyFont="1" applyFill="1" applyBorder="1" applyAlignment="1">
      <alignment horizontal="center" vertical="center"/>
    </xf>
    <xf numFmtId="178" fontId="1" fillId="0" borderId="30" xfId="0" applyNumberFormat="1" applyFont="1" applyBorder="1" applyAlignment="1">
      <alignment vertical="center"/>
    </xf>
    <xf numFmtId="178" fontId="25" fillId="0" borderId="17" xfId="64" applyNumberFormat="1" applyFont="1" applyFill="1" applyBorder="1" applyAlignment="1">
      <alignment vertical="center"/>
      <protection/>
    </xf>
    <xf numFmtId="177" fontId="25" fillId="0" borderId="17" xfId="64" applyNumberFormat="1" applyFont="1" applyFill="1" applyBorder="1" applyAlignment="1">
      <alignment vertical="center"/>
      <protection/>
    </xf>
    <xf numFmtId="9" fontId="25" fillId="0" borderId="17" xfId="64" applyNumberFormat="1" applyFont="1" applyFill="1" applyBorder="1" applyAlignment="1">
      <alignment horizontal="center" vertical="center"/>
      <protection/>
    </xf>
    <xf numFmtId="178" fontId="30" fillId="0" borderId="40" xfId="64" applyNumberFormat="1" applyFont="1" applyFill="1" applyBorder="1" applyAlignment="1">
      <alignment vertical="center"/>
      <protection/>
    </xf>
    <xf numFmtId="177" fontId="30" fillId="0" borderId="40" xfId="64" applyNumberFormat="1" applyFont="1" applyFill="1" applyBorder="1" applyAlignment="1">
      <alignment vertical="center"/>
      <protection/>
    </xf>
    <xf numFmtId="9" fontId="30" fillId="0" borderId="40" xfId="43" applyNumberFormat="1" applyFont="1" applyFill="1" applyBorder="1" applyAlignment="1">
      <alignment horizontal="center" vertical="center"/>
    </xf>
    <xf numFmtId="178" fontId="23" fillId="0" borderId="45" xfId="64" applyNumberFormat="1" applyFont="1" applyFill="1" applyBorder="1" applyAlignment="1">
      <alignment vertical="center"/>
      <protection/>
    </xf>
    <xf numFmtId="9" fontId="23" fillId="0" borderId="45" xfId="64" applyNumberFormat="1" applyFont="1" applyFill="1" applyBorder="1" applyAlignment="1">
      <alignment horizontal="center" vertical="center"/>
      <protection/>
    </xf>
    <xf numFmtId="178" fontId="25" fillId="0" borderId="25" xfId="64" applyNumberFormat="1" applyFont="1" applyFill="1" applyBorder="1" applyAlignment="1">
      <alignment vertical="center"/>
      <protection/>
    </xf>
    <xf numFmtId="177" fontId="25" fillId="0" borderId="25" xfId="64" applyNumberFormat="1" applyFont="1" applyFill="1" applyBorder="1" applyAlignment="1">
      <alignment vertical="center"/>
      <protection/>
    </xf>
    <xf numFmtId="9" fontId="25" fillId="0" borderId="25" xfId="64" applyNumberFormat="1" applyFont="1" applyFill="1" applyBorder="1" applyAlignment="1">
      <alignment horizontal="center" vertical="center"/>
      <protection/>
    </xf>
    <xf numFmtId="0" fontId="23" fillId="0" borderId="29" xfId="64" applyNumberFormat="1" applyFont="1" applyFill="1" applyBorder="1" applyAlignment="1">
      <alignment vertical="center"/>
      <protection/>
    </xf>
    <xf numFmtId="0" fontId="25" fillId="0" borderId="30" xfId="64" applyNumberFormat="1" applyFont="1" applyFill="1" applyBorder="1" applyAlignment="1">
      <alignment vertical="center"/>
      <protection/>
    </xf>
    <xf numFmtId="176" fontId="25" fillId="0" borderId="30" xfId="64" applyNumberFormat="1" applyFont="1" applyFill="1" applyBorder="1" applyAlignment="1">
      <alignment vertical="center"/>
      <protection/>
    </xf>
    <xf numFmtId="176" fontId="23" fillId="0" borderId="30" xfId="64" applyNumberFormat="1" applyFont="1" applyFill="1" applyBorder="1" applyAlignment="1">
      <alignment vertical="center"/>
      <protection/>
    </xf>
    <xf numFmtId="176" fontId="23" fillId="0" borderId="30" xfId="64" applyNumberFormat="1" applyFont="1" applyFill="1" applyBorder="1" applyAlignment="1">
      <alignment horizontal="right" vertical="center"/>
      <protection/>
    </xf>
    <xf numFmtId="176" fontId="31" fillId="0" borderId="35" xfId="64" applyNumberFormat="1" applyFont="1" applyFill="1" applyBorder="1" applyAlignment="1">
      <alignment vertical="center"/>
      <protection/>
    </xf>
    <xf numFmtId="176" fontId="31" fillId="0" borderId="35" xfId="64" applyNumberFormat="1" applyFont="1" applyFill="1" applyBorder="1" applyAlignment="1">
      <alignment horizontal="right" vertical="center"/>
      <protection/>
    </xf>
    <xf numFmtId="176" fontId="31" fillId="0" borderId="30" xfId="64" applyNumberFormat="1" applyFont="1" applyFill="1" applyBorder="1" applyAlignment="1">
      <alignment horizontal="right" vertical="center"/>
      <protection/>
    </xf>
    <xf numFmtId="42" fontId="21" fillId="0" borderId="19" xfId="64" applyNumberFormat="1" applyFont="1" applyFill="1" applyBorder="1" applyAlignment="1">
      <alignment horizontal="left" vertical="center"/>
      <protection/>
    </xf>
    <xf numFmtId="176" fontId="21" fillId="0" borderId="19" xfId="64" applyNumberFormat="1" applyFont="1" applyFill="1" applyBorder="1" applyAlignment="1">
      <alignment horizontal="left" vertical="center"/>
      <protection/>
    </xf>
    <xf numFmtId="180" fontId="21" fillId="0" borderId="19" xfId="48" applyNumberFormat="1" applyFont="1" applyFill="1" applyBorder="1" applyAlignment="1">
      <alignment vertical="center"/>
    </xf>
    <xf numFmtId="41" fontId="21" fillId="0" borderId="19" xfId="48" applyNumberFormat="1" applyFont="1" applyFill="1" applyBorder="1" applyAlignment="1">
      <alignment vertical="center"/>
    </xf>
    <xf numFmtId="176" fontId="21" fillId="0" borderId="19" xfId="64" applyNumberFormat="1" applyFont="1" applyFill="1" applyBorder="1" applyAlignment="1">
      <alignment horizontal="right" vertical="center"/>
      <protection/>
    </xf>
    <xf numFmtId="0" fontId="21" fillId="0" borderId="18" xfId="64" applyNumberFormat="1" applyFont="1" applyFill="1" applyBorder="1" applyAlignment="1">
      <alignment vertical="center"/>
      <protection/>
    </xf>
    <xf numFmtId="9" fontId="21" fillId="0" borderId="46" xfId="43" applyNumberFormat="1" applyFont="1" applyFill="1" applyBorder="1" applyAlignment="1">
      <alignment vertical="center"/>
    </xf>
    <xf numFmtId="176" fontId="21" fillId="0" borderId="46" xfId="64" applyNumberFormat="1" applyFont="1" applyFill="1" applyBorder="1" applyAlignment="1">
      <alignment horizontal="right" vertical="center"/>
      <protection/>
    </xf>
    <xf numFmtId="176" fontId="21" fillId="0" borderId="19" xfId="64" applyNumberFormat="1" applyFont="1" applyFill="1" applyBorder="1" applyAlignment="1">
      <alignment horizontal="center" vertical="center"/>
      <protection/>
    </xf>
    <xf numFmtId="177" fontId="21" fillId="0" borderId="19" xfId="64" applyNumberFormat="1" applyFont="1" applyFill="1" applyBorder="1" applyAlignment="1">
      <alignment vertical="center"/>
      <protection/>
    </xf>
    <xf numFmtId="178" fontId="32" fillId="0" borderId="40" xfId="64" applyNumberFormat="1" applyFont="1" applyFill="1" applyBorder="1" applyAlignment="1">
      <alignment vertical="center"/>
      <protection/>
    </xf>
    <xf numFmtId="177" fontId="32" fillId="0" borderId="40" xfId="64" applyNumberFormat="1" applyFont="1" applyFill="1" applyBorder="1" applyAlignment="1">
      <alignment vertical="center"/>
      <protection/>
    </xf>
    <xf numFmtId="9" fontId="32" fillId="0" borderId="40" xfId="43" applyNumberFormat="1" applyFont="1" applyFill="1" applyBorder="1" applyAlignment="1">
      <alignment horizontal="center" vertical="center"/>
    </xf>
    <xf numFmtId="0" fontId="33" fillId="0" borderId="32" xfId="64" applyNumberFormat="1" applyFont="1" applyFill="1" applyBorder="1" applyAlignment="1">
      <alignment vertical="center"/>
      <protection/>
    </xf>
    <xf numFmtId="176" fontId="33" fillId="0" borderId="35" xfId="64" applyNumberFormat="1" applyFont="1" applyFill="1" applyBorder="1" applyAlignment="1">
      <alignment vertical="center"/>
      <protection/>
    </xf>
    <xf numFmtId="0" fontId="33" fillId="0" borderId="35" xfId="64" applyNumberFormat="1" applyFont="1" applyFill="1" applyBorder="1" applyAlignment="1">
      <alignment horizontal="center" vertical="center"/>
      <protection/>
    </xf>
    <xf numFmtId="0" fontId="33" fillId="0" borderId="35" xfId="64" applyNumberFormat="1" applyFont="1" applyFill="1" applyBorder="1" applyAlignment="1">
      <alignment vertical="center"/>
      <protection/>
    </xf>
    <xf numFmtId="176" fontId="33" fillId="0" borderId="30" xfId="64" applyNumberFormat="1" applyFont="1" applyFill="1" applyBorder="1" applyAlignment="1">
      <alignment horizontal="right" vertical="center"/>
      <protection/>
    </xf>
    <xf numFmtId="0" fontId="32" fillId="0" borderId="0" xfId="64" applyNumberFormat="1" applyFont="1" applyFill="1" applyBorder="1" applyAlignment="1">
      <alignment vertical="center" wrapText="1"/>
      <protection/>
    </xf>
    <xf numFmtId="178" fontId="32" fillId="0" borderId="0" xfId="64" applyNumberFormat="1" applyFont="1" applyFill="1" applyBorder="1" applyAlignment="1">
      <alignment vertical="center"/>
      <protection/>
    </xf>
    <xf numFmtId="177" fontId="32" fillId="0" borderId="0" xfId="64" applyNumberFormat="1" applyFont="1" applyFill="1" applyBorder="1" applyAlignment="1">
      <alignment vertical="center"/>
      <protection/>
    </xf>
    <xf numFmtId="9" fontId="32" fillId="0" borderId="0" xfId="43" applyNumberFormat="1" applyFont="1" applyFill="1" applyBorder="1" applyAlignment="1">
      <alignment horizontal="center" vertical="center"/>
    </xf>
    <xf numFmtId="0" fontId="33" fillId="0" borderId="0" xfId="64" applyNumberFormat="1" applyFont="1" applyFill="1" applyBorder="1" applyAlignment="1">
      <alignment vertical="center"/>
      <protection/>
    </xf>
    <xf numFmtId="176" fontId="33" fillId="0" borderId="0" xfId="64" applyNumberFormat="1" applyFont="1" applyFill="1" applyBorder="1" applyAlignment="1">
      <alignment vertical="center"/>
      <protection/>
    </xf>
    <xf numFmtId="0" fontId="33" fillId="0" borderId="0" xfId="64" applyNumberFormat="1" applyFont="1" applyFill="1" applyBorder="1" applyAlignment="1">
      <alignment horizontal="center" vertical="center"/>
      <protection/>
    </xf>
    <xf numFmtId="176" fontId="33" fillId="0" borderId="0" xfId="64" applyNumberFormat="1" applyFont="1" applyFill="1" applyBorder="1" applyAlignment="1">
      <alignment horizontal="right" vertical="center"/>
      <protection/>
    </xf>
    <xf numFmtId="176" fontId="33" fillId="0" borderId="35" xfId="64" applyNumberFormat="1" applyFont="1" applyFill="1" applyBorder="1" applyAlignment="1">
      <alignment horizontal="right" vertical="center"/>
      <protection/>
    </xf>
    <xf numFmtId="176" fontId="23" fillId="0" borderId="31" xfId="64" applyNumberFormat="1" applyFont="1" applyFill="1" applyBorder="1" applyAlignment="1">
      <alignment vertical="center"/>
      <protection/>
    </xf>
    <xf numFmtId="176" fontId="33" fillId="0" borderId="36" xfId="64" applyNumberFormat="1" applyFont="1" applyFill="1" applyBorder="1" applyAlignment="1">
      <alignment vertical="center"/>
      <protection/>
    </xf>
    <xf numFmtId="176" fontId="31" fillId="0" borderId="36" xfId="64" applyNumberFormat="1" applyFont="1" applyFill="1" applyBorder="1" applyAlignment="1">
      <alignment vertical="center"/>
      <protection/>
    </xf>
    <xf numFmtId="176" fontId="21" fillId="0" borderId="47" xfId="64" applyNumberFormat="1" applyFont="1" applyFill="1" applyBorder="1" applyAlignment="1">
      <alignment vertical="center"/>
      <protection/>
    </xf>
    <xf numFmtId="0" fontId="21" fillId="0" borderId="24" xfId="64" applyNumberFormat="1" applyFont="1" applyFill="1" applyBorder="1" applyAlignment="1">
      <alignment vertical="center" wrapText="1"/>
      <protection/>
    </xf>
    <xf numFmtId="0" fontId="32" fillId="0" borderId="36" xfId="64" applyNumberFormat="1" applyFont="1" applyFill="1" applyBorder="1" applyAlignment="1">
      <alignment vertical="center" wrapText="1"/>
      <protection/>
    </xf>
    <xf numFmtId="178" fontId="23" fillId="0" borderId="38" xfId="64" applyNumberFormat="1" applyFont="1" applyFill="1" applyBorder="1" applyAlignment="1">
      <alignment vertical="center"/>
      <protection/>
    </xf>
    <xf numFmtId="0" fontId="1" fillId="0" borderId="40" xfId="66" applyNumberFormat="1" applyFont="1" applyBorder="1" applyAlignment="1">
      <alignment horizontal="center" vertical="center"/>
      <protection/>
    </xf>
    <xf numFmtId="9" fontId="21" fillId="0" borderId="23" xfId="43" applyNumberFormat="1" applyFont="1" applyFill="1" applyBorder="1" applyAlignment="1">
      <alignment horizontal="center" vertical="center"/>
    </xf>
    <xf numFmtId="0" fontId="32" fillId="0" borderId="30" xfId="64" applyNumberFormat="1" applyFont="1" applyFill="1" applyBorder="1" applyAlignment="1">
      <alignment vertical="center"/>
      <protection/>
    </xf>
    <xf numFmtId="0" fontId="32" fillId="0" borderId="0" xfId="64" applyNumberFormat="1" applyFont="1" applyFill="1" applyBorder="1" applyAlignment="1">
      <alignment horizontal="center" vertical="center"/>
      <protection/>
    </xf>
    <xf numFmtId="0" fontId="21" fillId="0" borderId="48" xfId="64" applyNumberFormat="1" applyFont="1" applyFill="1" applyBorder="1" applyAlignment="1">
      <alignment vertical="center"/>
      <protection/>
    </xf>
    <xf numFmtId="192" fontId="23" fillId="0" borderId="45" xfId="64" applyNumberFormat="1" applyFont="1" applyFill="1" applyBorder="1" applyAlignment="1">
      <alignment vertical="center"/>
      <protection/>
    </xf>
    <xf numFmtId="38" fontId="20" fillId="0" borderId="0" xfId="64" applyNumberFormat="1" applyFont="1" applyFill="1" applyBorder="1" applyAlignment="1">
      <alignment vertical="center"/>
      <protection/>
    </xf>
    <xf numFmtId="176" fontId="32" fillId="0" borderId="30" xfId="64" applyNumberFormat="1" applyFont="1" applyFill="1" applyBorder="1" applyAlignment="1">
      <alignment vertical="center"/>
      <protection/>
    </xf>
    <xf numFmtId="0" fontId="32" fillId="0" borderId="30" xfId="64" applyNumberFormat="1" applyFont="1" applyFill="1" applyBorder="1" applyAlignment="1">
      <alignment horizontal="center" vertical="center"/>
      <protection/>
    </xf>
    <xf numFmtId="176" fontId="32" fillId="0" borderId="30" xfId="64" applyNumberFormat="1" applyFont="1" applyFill="1" applyBorder="1" applyAlignment="1">
      <alignment horizontal="right" vertical="center"/>
      <protection/>
    </xf>
    <xf numFmtId="176" fontId="32" fillId="0" borderId="31" xfId="64" applyNumberFormat="1" applyFont="1" applyFill="1" applyBorder="1" applyAlignment="1">
      <alignment vertical="center"/>
      <protection/>
    </xf>
    <xf numFmtId="176" fontId="22" fillId="0" borderId="0" xfId="64" applyNumberFormat="1" applyFont="1" applyFill="1" applyBorder="1" applyAlignment="1">
      <alignment vertical="center"/>
      <protection/>
    </xf>
    <xf numFmtId="0" fontId="22" fillId="0" borderId="0" xfId="64" applyNumberFormat="1" applyFont="1" applyFill="1" applyBorder="1" applyAlignment="1">
      <alignment horizontal="center" vertical="center"/>
      <protection/>
    </xf>
    <xf numFmtId="0" fontId="22" fillId="0" borderId="0" xfId="64" applyNumberFormat="1" applyFont="1" applyFill="1" applyBorder="1" applyAlignment="1">
      <alignment vertical="center"/>
      <protection/>
    </xf>
    <xf numFmtId="41" fontId="33" fillId="0" borderId="41" xfId="0" applyNumberFormat="1" applyFont="1" applyFill="1" applyBorder="1" applyAlignment="1">
      <alignment vertical="center"/>
    </xf>
    <xf numFmtId="38" fontId="33" fillId="0" borderId="41" xfId="64" applyNumberFormat="1" applyFont="1" applyFill="1" applyBorder="1" applyAlignment="1">
      <alignment vertical="center"/>
      <protection/>
    </xf>
    <xf numFmtId="9" fontId="33" fillId="0" borderId="41" xfId="64" applyNumberFormat="1" applyFont="1" applyFill="1" applyBorder="1" applyAlignment="1">
      <alignment horizontal="center" vertical="center"/>
      <protection/>
    </xf>
    <xf numFmtId="0" fontId="33" fillId="0" borderId="37" xfId="64" applyNumberFormat="1" applyFont="1" applyFill="1" applyBorder="1" applyAlignment="1">
      <alignment vertical="center"/>
      <protection/>
    </xf>
    <xf numFmtId="0" fontId="33" fillId="0" borderId="38" xfId="64" applyNumberFormat="1" applyFont="1" applyFill="1" applyBorder="1" applyAlignment="1">
      <alignment vertical="center"/>
      <protection/>
    </xf>
    <xf numFmtId="176" fontId="33" fillId="0" borderId="38" xfId="64" applyNumberFormat="1" applyFont="1" applyFill="1" applyBorder="1" applyAlignment="1">
      <alignment vertical="center"/>
      <protection/>
    </xf>
    <xf numFmtId="176" fontId="33" fillId="0" borderId="39" xfId="64" applyNumberFormat="1" applyFont="1" applyFill="1" applyBorder="1" applyAlignment="1">
      <alignment vertical="center"/>
      <protection/>
    </xf>
    <xf numFmtId="41" fontId="31" fillId="0" borderId="14" xfId="0" applyNumberFormat="1" applyFont="1" applyFill="1" applyBorder="1" applyAlignment="1">
      <alignment vertical="center"/>
    </xf>
    <xf numFmtId="38" fontId="31" fillId="0" borderId="14" xfId="64" applyNumberFormat="1" applyFont="1" applyFill="1" applyBorder="1" applyAlignment="1">
      <alignment vertical="center"/>
      <protection/>
    </xf>
    <xf numFmtId="9" fontId="31" fillId="0" borderId="40" xfId="43" applyNumberFormat="1" applyFont="1" applyFill="1" applyBorder="1" applyAlignment="1">
      <alignment horizontal="center" vertical="center"/>
    </xf>
    <xf numFmtId="0" fontId="31" fillId="0" borderId="0" xfId="64" applyNumberFormat="1" applyFont="1" applyFill="1" applyBorder="1" applyAlignment="1">
      <alignment vertical="center"/>
      <protection/>
    </xf>
    <xf numFmtId="176" fontId="31" fillId="0" borderId="0" xfId="64" applyNumberFormat="1" applyFont="1" applyFill="1" applyBorder="1" applyAlignment="1">
      <alignment vertical="center"/>
      <protection/>
    </xf>
    <xf numFmtId="176" fontId="31" fillId="0" borderId="15" xfId="64" applyNumberFormat="1" applyFont="1" applyFill="1" applyBorder="1" applyAlignment="1">
      <alignment vertical="center"/>
      <protection/>
    </xf>
    <xf numFmtId="0" fontId="32" fillId="0" borderId="40" xfId="64" applyNumberFormat="1" applyFont="1" applyFill="1" applyBorder="1" applyAlignment="1">
      <alignment horizontal="center" vertical="center" wrapText="1"/>
      <protection/>
    </xf>
    <xf numFmtId="176" fontId="32" fillId="0" borderId="40" xfId="0" applyNumberFormat="1" applyFont="1" applyFill="1" applyBorder="1" applyAlignment="1">
      <alignment vertical="center"/>
    </xf>
    <xf numFmtId="38" fontId="32" fillId="0" borderId="40" xfId="64" applyNumberFormat="1" applyFont="1" applyFill="1" applyBorder="1" applyAlignment="1">
      <alignment vertical="center"/>
      <protection/>
    </xf>
    <xf numFmtId="0" fontId="21" fillId="0" borderId="0" xfId="0" applyNumberFormat="1" applyFont="1" applyFill="1" applyBorder="1" applyAlignment="1">
      <alignment horizontal="right" vertical="center"/>
    </xf>
    <xf numFmtId="0" fontId="21" fillId="0" borderId="0" xfId="64" applyNumberFormat="1" applyFont="1" applyFill="1" applyBorder="1" applyAlignment="1">
      <alignment vertical="center" wrapText="1"/>
      <protection/>
    </xf>
    <xf numFmtId="177" fontId="21" fillId="0" borderId="30" xfId="64" applyNumberFormat="1" applyFont="1" applyFill="1" applyBorder="1" applyAlignment="1">
      <alignment vertical="center"/>
      <protection/>
    </xf>
    <xf numFmtId="42" fontId="21" fillId="0" borderId="30" xfId="64" applyNumberFormat="1" applyFont="1" applyFill="1" applyBorder="1" applyAlignment="1">
      <alignment horizontal="left" vertical="center"/>
      <protection/>
    </xf>
    <xf numFmtId="180" fontId="21" fillId="0" borderId="30" xfId="48" applyNumberFormat="1" applyFont="1" applyFill="1" applyBorder="1" applyAlignment="1">
      <alignment vertical="center"/>
    </xf>
    <xf numFmtId="41" fontId="21" fillId="0" borderId="30" xfId="48" applyNumberFormat="1" applyFont="1" applyFill="1" applyBorder="1" applyAlignment="1">
      <alignment vertical="center"/>
    </xf>
    <xf numFmtId="9" fontId="21" fillId="0" borderId="30" xfId="43" applyNumberFormat="1" applyFont="1" applyFill="1" applyBorder="1" applyAlignment="1">
      <alignment horizontal="left" vertical="center"/>
    </xf>
    <xf numFmtId="0" fontId="34" fillId="0" borderId="30" xfId="0" applyNumberFormat="1" applyFont="1" applyFill="1" applyBorder="1" applyAlignment="1">
      <alignment vertical="center"/>
    </xf>
    <xf numFmtId="3" fontId="32" fillId="0" borderId="30" xfId="0" applyNumberFormat="1" applyFont="1" applyFill="1" applyBorder="1" applyAlignment="1">
      <alignment vertical="center"/>
    </xf>
    <xf numFmtId="176" fontId="34" fillId="0" borderId="31" xfId="64" applyNumberFormat="1" applyFont="1" applyFill="1" applyBorder="1" applyAlignment="1">
      <alignment vertical="center"/>
      <protection/>
    </xf>
    <xf numFmtId="41" fontId="21" fillId="0" borderId="0" xfId="48" applyNumberFormat="1" applyFont="1" applyFill="1" applyBorder="1" applyAlignment="1">
      <alignment horizontal="left" vertical="center"/>
    </xf>
    <xf numFmtId="41" fontId="21" fillId="0" borderId="0" xfId="48" applyNumberFormat="1" applyFont="1" applyFill="1" applyBorder="1" applyAlignment="1">
      <alignment horizontal="center" vertical="center"/>
    </xf>
    <xf numFmtId="41" fontId="21" fillId="0" borderId="0" xfId="48" applyNumberFormat="1" applyFont="1" applyFill="1" applyAlignment="1">
      <alignment vertical="center"/>
    </xf>
    <xf numFmtId="186" fontId="21" fillId="0" borderId="0" xfId="43" applyNumberFormat="1" applyFont="1" applyFill="1" applyBorder="1" applyAlignment="1">
      <alignment horizontal="center" vertical="center"/>
    </xf>
    <xf numFmtId="176" fontId="21" fillId="0" borderId="20" xfId="64" applyNumberFormat="1" applyFont="1" applyFill="1" applyBorder="1" applyAlignment="1">
      <alignment vertical="center"/>
      <protection/>
    </xf>
    <xf numFmtId="176" fontId="21" fillId="0" borderId="0" xfId="69" applyNumberFormat="1" applyFont="1" applyFill="1" applyBorder="1" applyAlignment="1">
      <alignment vertical="center"/>
      <protection/>
    </xf>
    <xf numFmtId="176" fontId="21" fillId="0" borderId="0" xfId="69" applyNumberFormat="1" applyFont="1" applyFill="1" applyBorder="1" applyAlignment="1">
      <alignment horizontal="left" vertical="center"/>
      <protection/>
    </xf>
    <xf numFmtId="0" fontId="21" fillId="0" borderId="0" xfId="0" applyNumberFormat="1" applyFont="1" applyFill="1" applyBorder="1" applyAlignment="1">
      <alignment vertical="center"/>
    </xf>
    <xf numFmtId="0" fontId="21" fillId="0" borderId="0" xfId="0" applyNumberFormat="1" applyFont="1" applyFill="1" applyAlignment="1">
      <alignment vertical="center"/>
    </xf>
    <xf numFmtId="178" fontId="21" fillId="0" borderId="0" xfId="0" applyNumberFormat="1" applyFont="1" applyFill="1" applyAlignment="1">
      <alignment horizontal="right" vertical="center"/>
    </xf>
    <xf numFmtId="0" fontId="21" fillId="0" borderId="15" xfId="0" applyNumberFormat="1" applyFont="1" applyFill="1" applyBorder="1" applyAlignment="1">
      <alignment vertical="center"/>
    </xf>
    <xf numFmtId="41" fontId="35" fillId="0" borderId="25" xfId="50" applyNumberFormat="1" applyFont="1" applyBorder="1" applyAlignment="1">
      <alignment vertical="center"/>
    </xf>
    <xf numFmtId="182" fontId="35" fillId="0" borderId="29" xfId="50" applyNumberFormat="1" applyFont="1" applyBorder="1" applyAlignment="1">
      <alignment vertical="center"/>
    </xf>
    <xf numFmtId="182" fontId="35" fillId="0" borderId="49" xfId="50" applyNumberFormat="1" applyFont="1" applyBorder="1" applyAlignment="1">
      <alignment vertical="center"/>
    </xf>
    <xf numFmtId="0" fontId="36" fillId="0" borderId="25" xfId="66" applyNumberFormat="1" applyFont="1" applyBorder="1" applyAlignment="1">
      <alignment horizontal="center" vertical="center"/>
      <protection/>
    </xf>
    <xf numFmtId="41" fontId="37" fillId="0" borderId="25" xfId="50" applyNumberFormat="1" applyFont="1" applyBorder="1" applyAlignment="1">
      <alignment vertical="center"/>
    </xf>
    <xf numFmtId="182" fontId="37" fillId="0" borderId="29" xfId="50" applyNumberFormat="1" applyFont="1" applyBorder="1" applyAlignment="1">
      <alignment vertical="center"/>
    </xf>
    <xf numFmtId="0" fontId="36" fillId="0" borderId="40" xfId="66" applyNumberFormat="1" applyFont="1" applyBorder="1" applyAlignment="1">
      <alignment horizontal="center" vertical="center"/>
      <protection/>
    </xf>
    <xf numFmtId="41" fontId="37" fillId="0" borderId="40" xfId="50" applyNumberFormat="1" applyFont="1" applyBorder="1" applyAlignment="1">
      <alignment vertical="center"/>
    </xf>
    <xf numFmtId="182" fontId="37" fillId="0" borderId="32" xfId="50" applyNumberFormat="1" applyFont="1" applyBorder="1" applyAlignment="1">
      <alignment vertical="center"/>
    </xf>
    <xf numFmtId="182" fontId="37" fillId="0" borderId="49" xfId="50" applyNumberFormat="1" applyFont="1" applyBorder="1" applyAlignment="1">
      <alignment vertical="center"/>
    </xf>
    <xf numFmtId="182" fontId="37" fillId="0" borderId="42" xfId="50" applyNumberFormat="1" applyFont="1" applyBorder="1" applyAlignment="1">
      <alignment vertical="center"/>
    </xf>
    <xf numFmtId="178" fontId="21" fillId="0" borderId="0" xfId="0" applyNumberFormat="1" applyFont="1" applyFill="1" applyBorder="1" applyAlignment="1">
      <alignment horizontal="right" vertical="center"/>
    </xf>
    <xf numFmtId="0" fontId="21" fillId="0" borderId="30" xfId="0" applyNumberFormat="1" applyFont="1" applyFill="1" applyBorder="1" applyAlignment="1">
      <alignment vertical="center"/>
    </xf>
    <xf numFmtId="178" fontId="21" fillId="0" borderId="30" xfId="0" applyNumberFormat="1" applyFont="1" applyFill="1" applyBorder="1" applyAlignment="1">
      <alignment horizontal="right" vertical="center"/>
    </xf>
    <xf numFmtId="0" fontId="21" fillId="0" borderId="31" xfId="0" applyNumberFormat="1" applyFont="1" applyFill="1" applyBorder="1" applyAlignment="1">
      <alignment vertical="center"/>
    </xf>
    <xf numFmtId="0" fontId="21" fillId="0" borderId="19" xfId="64" applyNumberFormat="1" applyFont="1" applyFill="1" applyBorder="1" applyAlignment="1">
      <alignment vertical="center" wrapText="1"/>
      <protection/>
    </xf>
    <xf numFmtId="178" fontId="21" fillId="0" borderId="30" xfId="64" applyNumberFormat="1" applyFont="1" applyFill="1" applyBorder="1" applyAlignment="1">
      <alignment horizontal="right" vertical="center"/>
      <protection/>
    </xf>
    <xf numFmtId="0" fontId="32" fillId="0" borderId="0" xfId="0" applyNumberFormat="1" applyFont="1" applyFill="1" applyBorder="1" applyAlignment="1">
      <alignment vertical="center"/>
    </xf>
    <xf numFmtId="0" fontId="21" fillId="0" borderId="30" xfId="64" applyNumberFormat="1" applyFont="1" applyFill="1" applyBorder="1" applyAlignment="1">
      <alignment vertical="center" wrapText="1"/>
      <protection/>
    </xf>
    <xf numFmtId="0" fontId="32" fillId="0" borderId="32" xfId="64" applyNumberFormat="1" applyFont="1" applyFill="1" applyBorder="1" applyAlignment="1">
      <alignment horizontal="center" vertical="center" wrapText="1"/>
      <protection/>
    </xf>
    <xf numFmtId="178" fontId="30" fillId="0" borderId="17" xfId="64" applyNumberFormat="1" applyFont="1" applyFill="1" applyBorder="1" applyAlignment="1">
      <alignment vertical="center"/>
      <protection/>
    </xf>
    <xf numFmtId="177" fontId="30" fillId="0" borderId="17" xfId="64" applyNumberFormat="1" applyFont="1" applyFill="1" applyBorder="1" applyAlignment="1">
      <alignment vertical="center"/>
      <protection/>
    </xf>
    <xf numFmtId="9" fontId="30" fillId="0" borderId="17" xfId="43" applyNumberFormat="1" applyFont="1" applyFill="1" applyBorder="1" applyAlignment="1">
      <alignment horizontal="center" vertical="center"/>
    </xf>
    <xf numFmtId="0" fontId="28" fillId="0" borderId="48" xfId="64" applyNumberFormat="1" applyFont="1" applyFill="1" applyBorder="1" applyAlignment="1">
      <alignment vertical="center"/>
      <protection/>
    </xf>
    <xf numFmtId="0" fontId="29" fillId="0" borderId="19" xfId="64" applyNumberFormat="1" applyFont="1" applyFill="1" applyBorder="1" applyAlignment="1">
      <alignment vertical="center"/>
      <protection/>
    </xf>
    <xf numFmtId="176" fontId="29" fillId="0" borderId="19" xfId="64" applyNumberFormat="1" applyFont="1" applyFill="1" applyBorder="1" applyAlignment="1">
      <alignment vertical="center"/>
      <protection/>
    </xf>
    <xf numFmtId="176" fontId="28" fillId="0" borderId="19" xfId="64" applyNumberFormat="1" applyFont="1" applyFill="1" applyBorder="1" applyAlignment="1">
      <alignment vertical="center"/>
      <protection/>
    </xf>
    <xf numFmtId="176" fontId="31" fillId="0" borderId="19" xfId="64" applyNumberFormat="1" applyFont="1" applyFill="1" applyBorder="1" applyAlignment="1">
      <alignment vertical="center"/>
      <protection/>
    </xf>
    <xf numFmtId="176" fontId="31" fillId="0" borderId="19" xfId="64" applyNumberFormat="1" applyFont="1" applyFill="1" applyBorder="1" applyAlignment="1">
      <alignment horizontal="right" vertical="center"/>
      <protection/>
    </xf>
    <xf numFmtId="176" fontId="31" fillId="0" borderId="20" xfId="64" applyNumberFormat="1" applyFont="1" applyFill="1" applyBorder="1" applyAlignment="1">
      <alignment vertical="center"/>
      <protection/>
    </xf>
    <xf numFmtId="178" fontId="21" fillId="0" borderId="0" xfId="64" applyNumberFormat="1" applyFont="1" applyFill="1" applyBorder="1" applyAlignment="1">
      <alignment vertical="center"/>
      <protection/>
    </xf>
    <xf numFmtId="183" fontId="21" fillId="0" borderId="0" xfId="64" applyNumberFormat="1" applyFont="1" applyFill="1" applyBorder="1" applyAlignment="1">
      <alignment horizontal="center" vertical="center"/>
      <protection/>
    </xf>
    <xf numFmtId="184" fontId="21" fillId="0" borderId="0" xfId="64" applyNumberFormat="1" applyFont="1" applyFill="1" applyBorder="1" applyAlignment="1">
      <alignment vertical="center"/>
      <protection/>
    </xf>
    <xf numFmtId="185" fontId="21" fillId="0" borderId="0" xfId="43" applyNumberFormat="1" applyFont="1" applyFill="1" applyBorder="1" applyAlignment="1">
      <alignment horizontal="center" vertical="center"/>
    </xf>
    <xf numFmtId="0" fontId="24" fillId="0" borderId="29" xfId="64" applyNumberFormat="1" applyFont="1" applyFill="1" applyBorder="1" applyAlignment="1">
      <alignment vertical="center"/>
      <protection/>
    </xf>
    <xf numFmtId="194" fontId="21" fillId="0" borderId="0" xfId="64" applyNumberFormat="1" applyFont="1" applyFill="1" applyBorder="1" applyAlignment="1">
      <alignment horizontal="left" vertical="center"/>
      <protection/>
    </xf>
    <xf numFmtId="193" fontId="21" fillId="0" borderId="0" xfId="64" applyNumberFormat="1" applyFont="1" applyFill="1" applyBorder="1" applyAlignment="1">
      <alignment vertical="center"/>
      <protection/>
    </xf>
    <xf numFmtId="195" fontId="21" fillId="0" borderId="0" xfId="64" applyNumberFormat="1" applyFont="1" applyFill="1" applyBorder="1" applyAlignment="1">
      <alignment vertical="center"/>
      <protection/>
    </xf>
    <xf numFmtId="196" fontId="21" fillId="0" borderId="0" xfId="64" applyNumberFormat="1" applyFont="1" applyFill="1" applyBorder="1" applyAlignment="1">
      <alignment horizontal="left" vertical="center"/>
      <protection/>
    </xf>
    <xf numFmtId="0" fontId="1" fillId="0" borderId="21" xfId="66" applyNumberFormat="1" applyBorder="1" applyAlignment="1">
      <alignment vertical="center"/>
      <protection/>
    </xf>
    <xf numFmtId="0" fontId="1" fillId="0" borderId="24" xfId="66" applyNumberFormat="1" applyBorder="1" applyAlignment="1">
      <alignment vertical="center"/>
      <protection/>
    </xf>
    <xf numFmtId="0" fontId="1" fillId="0" borderId="50" xfId="66" applyNumberFormat="1" applyBorder="1" applyAlignment="1">
      <alignment vertical="center"/>
      <protection/>
    </xf>
    <xf numFmtId="0" fontId="1" fillId="0" borderId="19" xfId="66" applyNumberFormat="1" applyBorder="1" applyAlignment="1">
      <alignment vertical="center"/>
      <protection/>
    </xf>
    <xf numFmtId="0" fontId="1" fillId="0" borderId="51" xfId="66" applyNumberFormat="1" applyBorder="1" applyAlignment="1">
      <alignment vertical="center"/>
      <protection/>
    </xf>
    <xf numFmtId="0" fontId="1" fillId="0" borderId="0" xfId="66" applyNumberFormat="1" applyBorder="1" applyAlignment="1">
      <alignment vertical="center"/>
      <protection/>
    </xf>
    <xf numFmtId="0" fontId="1" fillId="0" borderId="52" xfId="66" applyNumberFormat="1" applyBorder="1" applyAlignment="1">
      <alignment vertical="center"/>
      <protection/>
    </xf>
    <xf numFmtId="0" fontId="1" fillId="0" borderId="27" xfId="66" applyNumberFormat="1" applyBorder="1" applyAlignment="1">
      <alignment vertical="center"/>
      <protection/>
    </xf>
    <xf numFmtId="176" fontId="21" fillId="0" borderId="14" xfId="0" applyNumberFormat="1" applyFont="1" applyFill="1" applyBorder="1" applyAlignment="1">
      <alignment vertical="center"/>
    </xf>
    <xf numFmtId="197" fontId="21" fillId="0" borderId="0" xfId="64" applyNumberFormat="1" applyFont="1" applyFill="1" applyBorder="1" applyAlignment="1">
      <alignment vertical="center"/>
      <protection/>
    </xf>
    <xf numFmtId="198" fontId="21" fillId="0" borderId="0" xfId="64" applyNumberFormat="1" applyFont="1" applyFill="1" applyBorder="1" applyAlignment="1">
      <alignment vertical="center"/>
      <protection/>
    </xf>
    <xf numFmtId="181" fontId="21" fillId="0" borderId="0" xfId="43" applyNumberFormat="1" applyFont="1" applyFill="1" applyBorder="1" applyAlignment="1">
      <alignment vertical="center"/>
    </xf>
    <xf numFmtId="177" fontId="21" fillId="0" borderId="0" xfId="64" applyNumberFormat="1" applyFont="1" applyFill="1" applyBorder="1" applyAlignment="1">
      <alignment vertical="center"/>
      <protection/>
    </xf>
    <xf numFmtId="42" fontId="21" fillId="0" borderId="0" xfId="64" applyNumberFormat="1" applyFont="1" applyFill="1" applyBorder="1" applyAlignment="1">
      <alignment horizontal="left" vertical="center"/>
      <protection/>
    </xf>
    <xf numFmtId="179" fontId="21" fillId="0" borderId="0" xfId="43" applyNumberFormat="1" applyFont="1" applyFill="1" applyBorder="1" applyAlignment="1">
      <alignment horizontal="right" vertical="center"/>
    </xf>
    <xf numFmtId="187" fontId="21" fillId="0" borderId="0" xfId="43" applyNumberFormat="1" applyFont="1" applyFill="1" applyBorder="1" applyAlignment="1">
      <alignment horizontal="center" vertical="center"/>
    </xf>
    <xf numFmtId="9" fontId="21" fillId="0" borderId="0" xfId="43" applyNumberFormat="1" applyFont="1" applyFill="1" applyBorder="1" applyAlignment="1">
      <alignment horizontal="left" vertical="center"/>
    </xf>
    <xf numFmtId="176" fontId="43" fillId="0" borderId="0" xfId="64" applyNumberFormat="1" applyFont="1" applyFill="1" applyBorder="1" applyAlignment="1">
      <alignment vertical="center"/>
      <protection/>
    </xf>
    <xf numFmtId="176" fontId="43" fillId="0" borderId="30" xfId="64" applyNumberFormat="1" applyFont="1" applyFill="1" applyBorder="1" applyAlignment="1">
      <alignment vertical="center"/>
      <protection/>
    </xf>
    <xf numFmtId="0" fontId="43" fillId="0" borderId="19" xfId="64" applyNumberFormat="1" applyFont="1" applyFill="1" applyBorder="1" applyAlignment="1">
      <alignment vertical="center" wrapText="1"/>
      <protection/>
    </xf>
    <xf numFmtId="0" fontId="43" fillId="0" borderId="30" xfId="64" applyNumberFormat="1" applyFont="1" applyFill="1" applyBorder="1" applyAlignment="1">
      <alignment vertical="center"/>
      <protection/>
    </xf>
    <xf numFmtId="0" fontId="43" fillId="0" borderId="19" xfId="64" applyNumberFormat="1" applyFont="1" applyFill="1" applyBorder="1" applyAlignment="1">
      <alignment vertical="center"/>
      <protection/>
    </xf>
    <xf numFmtId="0" fontId="43" fillId="0" borderId="30" xfId="0" applyNumberFormat="1" applyFont="1" applyFill="1" applyBorder="1" applyAlignment="1">
      <alignment vertical="center"/>
    </xf>
    <xf numFmtId="0" fontId="44" fillId="0" borderId="19" xfId="64" applyNumberFormat="1" applyFont="1" applyFill="1" applyBorder="1" applyAlignment="1">
      <alignment vertical="center"/>
      <protection/>
    </xf>
    <xf numFmtId="176" fontId="45" fillId="0" borderId="0" xfId="64" applyNumberFormat="1" applyFont="1" applyFill="1" applyBorder="1" applyAlignment="1">
      <alignment vertical="center"/>
      <protection/>
    </xf>
    <xf numFmtId="0" fontId="21" fillId="0" borderId="0" xfId="43" applyNumberFormat="1" applyFont="1" applyFill="1" applyBorder="1" applyAlignment="1">
      <alignment horizontal="center" vertical="center"/>
    </xf>
    <xf numFmtId="41" fontId="33" fillId="24" borderId="41" xfId="0" applyNumberFormat="1" applyFont="1" applyFill="1" applyBorder="1" applyAlignment="1">
      <alignment vertical="center"/>
    </xf>
    <xf numFmtId="0" fontId="43" fillId="0" borderId="0" xfId="64" applyNumberFormat="1" applyFont="1" applyFill="1" applyBorder="1" applyAlignment="1">
      <alignment vertical="center"/>
      <protection/>
    </xf>
    <xf numFmtId="0" fontId="43" fillId="0" borderId="0" xfId="64" applyNumberFormat="1" applyFont="1" applyFill="1" applyBorder="1" applyAlignment="1">
      <alignment horizontal="center" vertical="center"/>
      <protection/>
    </xf>
    <xf numFmtId="176" fontId="43" fillId="0" borderId="15" xfId="64" applyNumberFormat="1" applyFont="1" applyFill="1" applyBorder="1" applyAlignment="1">
      <alignment vertical="center"/>
      <protection/>
    </xf>
    <xf numFmtId="176" fontId="46" fillId="0" borderId="0" xfId="64" applyNumberFormat="1" applyFont="1" applyFill="1" applyBorder="1" applyAlignment="1">
      <alignment vertical="center"/>
      <protection/>
    </xf>
    <xf numFmtId="176" fontId="46" fillId="0" borderId="0" xfId="64" applyNumberFormat="1" applyFont="1" applyFill="1" applyBorder="1" applyAlignment="1">
      <alignment horizontal="center" vertical="center"/>
      <protection/>
    </xf>
    <xf numFmtId="42" fontId="46" fillId="0" borderId="0" xfId="64" applyNumberFormat="1" applyFont="1" applyFill="1" applyBorder="1" applyAlignment="1">
      <alignment horizontal="center" vertical="center"/>
      <protection/>
    </xf>
    <xf numFmtId="178" fontId="47" fillId="0" borderId="0" xfId="0" applyNumberFormat="1" applyFont="1" applyBorder="1" applyAlignment="1">
      <alignment vertical="center"/>
    </xf>
    <xf numFmtId="176" fontId="46" fillId="0" borderId="0" xfId="64" applyNumberFormat="1" applyFont="1" applyFill="1" applyBorder="1" applyAlignment="1">
      <alignment horizontal="right" vertical="center"/>
      <protection/>
    </xf>
    <xf numFmtId="177" fontId="46" fillId="0" borderId="0" xfId="64" applyNumberFormat="1" applyFont="1" applyFill="1" applyBorder="1" applyAlignment="1">
      <alignment vertical="center"/>
      <protection/>
    </xf>
    <xf numFmtId="42" fontId="46" fillId="0" borderId="0" xfId="64" applyNumberFormat="1" applyFont="1" applyFill="1" applyBorder="1" applyAlignment="1">
      <alignment horizontal="left" vertical="center"/>
      <protection/>
    </xf>
    <xf numFmtId="179" fontId="46" fillId="0" borderId="0" xfId="43" applyNumberFormat="1" applyFont="1" applyFill="1" applyBorder="1" applyAlignment="1">
      <alignment horizontal="right" vertical="center"/>
    </xf>
    <xf numFmtId="176" fontId="46" fillId="0" borderId="0" xfId="64" applyNumberFormat="1" applyFont="1" applyFill="1" applyBorder="1" applyAlignment="1">
      <alignment horizontal="left" vertical="center"/>
      <protection/>
    </xf>
    <xf numFmtId="187" fontId="46" fillId="0" borderId="0" xfId="43" applyNumberFormat="1" applyFont="1" applyFill="1" applyBorder="1" applyAlignment="1">
      <alignment horizontal="center" vertical="center"/>
    </xf>
    <xf numFmtId="0" fontId="48" fillId="0" borderId="30" xfId="64" applyNumberFormat="1" applyFont="1" applyFill="1" applyBorder="1" applyAlignment="1">
      <alignment vertical="center"/>
      <protection/>
    </xf>
    <xf numFmtId="0" fontId="48" fillId="0" borderId="0" xfId="64" applyNumberFormat="1" applyFont="1" applyFill="1" applyBorder="1" applyAlignment="1">
      <alignment vertical="center"/>
      <protection/>
    </xf>
    <xf numFmtId="176" fontId="48" fillId="0" borderId="0" xfId="64" applyNumberFormat="1" applyFont="1" applyFill="1" applyBorder="1" applyAlignment="1">
      <alignment vertical="center"/>
      <protection/>
    </xf>
    <xf numFmtId="176" fontId="48" fillId="0" borderId="30" xfId="64" applyNumberFormat="1" applyFont="1" applyFill="1" applyBorder="1" applyAlignment="1">
      <alignment vertical="center"/>
      <protection/>
    </xf>
    <xf numFmtId="176" fontId="48" fillId="0" borderId="30" xfId="64" applyNumberFormat="1" applyFont="1" applyFill="1" applyBorder="1" applyAlignment="1">
      <alignment horizontal="right" vertical="center"/>
      <protection/>
    </xf>
    <xf numFmtId="176" fontId="48" fillId="0" borderId="31" xfId="64" applyNumberFormat="1" applyFont="1" applyFill="1" applyBorder="1" applyAlignment="1">
      <alignment vertical="center"/>
      <protection/>
    </xf>
    <xf numFmtId="176" fontId="48" fillId="0" borderId="0" xfId="64" applyNumberFormat="1" applyFont="1" applyFill="1" applyBorder="1" applyAlignment="1">
      <alignment horizontal="center" vertical="center"/>
      <protection/>
    </xf>
    <xf numFmtId="42" fontId="48" fillId="0" borderId="0" xfId="64" applyNumberFormat="1" applyFont="1" applyFill="1" applyBorder="1" applyAlignment="1">
      <alignment horizontal="center" vertical="center"/>
      <protection/>
    </xf>
    <xf numFmtId="0" fontId="48" fillId="0" borderId="0" xfId="43" applyNumberFormat="1" applyFont="1" applyFill="1" applyBorder="1" applyAlignment="1">
      <alignment horizontal="center" vertical="center"/>
    </xf>
    <xf numFmtId="180" fontId="48" fillId="0" borderId="0" xfId="48" applyNumberFormat="1" applyFont="1" applyFill="1" applyBorder="1" applyAlignment="1">
      <alignment horizontal="center" vertical="center"/>
    </xf>
    <xf numFmtId="178" fontId="49" fillId="0" borderId="0" xfId="0" applyNumberFormat="1" applyFont="1" applyBorder="1" applyAlignment="1">
      <alignment vertical="center"/>
    </xf>
    <xf numFmtId="176" fontId="48" fillId="0" borderId="0" xfId="64" applyNumberFormat="1" applyFont="1" applyFill="1" applyBorder="1" applyAlignment="1">
      <alignment horizontal="right" vertical="center"/>
      <protection/>
    </xf>
    <xf numFmtId="176" fontId="48" fillId="0" borderId="15" xfId="64" applyNumberFormat="1" applyFont="1" applyFill="1" applyBorder="1" applyAlignment="1">
      <alignment vertical="center"/>
      <protection/>
    </xf>
    <xf numFmtId="178" fontId="50" fillId="0" borderId="11" xfId="64" applyNumberFormat="1" applyFont="1" applyFill="1" applyBorder="1" applyAlignment="1">
      <alignment horizontal="center" vertical="center" wrapText="1"/>
      <protection/>
    </xf>
    <xf numFmtId="0" fontId="1" fillId="0" borderId="16" xfId="66" applyNumberFormat="1" applyBorder="1" applyAlignment="1">
      <alignment horizontal="center" vertical="center"/>
      <protection/>
    </xf>
    <xf numFmtId="0" fontId="48" fillId="0" borderId="32" xfId="64" applyNumberFormat="1" applyFont="1" applyFill="1" applyBorder="1" applyAlignment="1">
      <alignment vertical="center"/>
      <protection/>
    </xf>
    <xf numFmtId="178" fontId="21" fillId="0" borderId="0" xfId="0" applyNumberFormat="1" applyFont="1" applyFill="1" applyBorder="1" applyAlignment="1">
      <alignment vertical="center"/>
    </xf>
    <xf numFmtId="176" fontId="51" fillId="0" borderId="0" xfId="64" applyNumberFormat="1" applyFont="1" applyFill="1" applyAlignment="1">
      <alignment vertical="center"/>
      <protection/>
    </xf>
    <xf numFmtId="10" fontId="48" fillId="0" borderId="0" xfId="43" applyNumberFormat="1" applyFont="1" applyFill="1" applyBorder="1" applyAlignment="1">
      <alignment horizontal="center" vertical="center"/>
    </xf>
    <xf numFmtId="178" fontId="50" fillId="24" borderId="11" xfId="64" applyNumberFormat="1" applyFont="1" applyFill="1" applyBorder="1" applyAlignment="1">
      <alignment horizontal="center" vertical="center" wrapText="1"/>
      <protection/>
    </xf>
    <xf numFmtId="176" fontId="50" fillId="0" borderId="0" xfId="64" applyNumberFormat="1" applyFont="1" applyFill="1" applyBorder="1" applyAlignment="1">
      <alignment vertical="center"/>
      <protection/>
    </xf>
    <xf numFmtId="0" fontId="48" fillId="0" borderId="0" xfId="0" applyNumberFormat="1" applyFont="1" applyFill="1" applyBorder="1" applyAlignment="1">
      <alignment vertical="center"/>
    </xf>
    <xf numFmtId="176" fontId="52" fillId="0" borderId="35" xfId="64" applyNumberFormat="1" applyFont="1" applyFill="1" applyBorder="1" applyAlignment="1">
      <alignment vertical="center"/>
      <protection/>
    </xf>
    <xf numFmtId="176" fontId="52" fillId="0" borderId="35" xfId="64" applyNumberFormat="1" applyFont="1" applyFill="1" applyBorder="1" applyAlignment="1">
      <alignment horizontal="right" vertical="center"/>
      <protection/>
    </xf>
    <xf numFmtId="176" fontId="52" fillId="0" borderId="36" xfId="64" applyNumberFormat="1" applyFont="1" applyFill="1" applyBorder="1" applyAlignment="1">
      <alignment vertical="center"/>
      <protection/>
    </xf>
    <xf numFmtId="0" fontId="43" fillId="0" borderId="17" xfId="64" applyNumberFormat="1" applyFont="1" applyFill="1" applyBorder="1" applyAlignment="1">
      <alignment horizontal="center" vertical="center" wrapText="1"/>
      <protection/>
    </xf>
    <xf numFmtId="176" fontId="43" fillId="0" borderId="17" xfId="0" applyNumberFormat="1" applyFont="1" applyFill="1" applyBorder="1" applyAlignment="1">
      <alignment vertical="center"/>
    </xf>
    <xf numFmtId="38" fontId="43" fillId="0" borderId="17" xfId="64" applyNumberFormat="1" applyFont="1" applyFill="1" applyBorder="1" applyAlignment="1">
      <alignment vertical="center"/>
      <protection/>
    </xf>
    <xf numFmtId="9" fontId="43" fillId="0" borderId="17" xfId="43" applyNumberFormat="1" applyFont="1" applyFill="1" applyBorder="1" applyAlignment="1">
      <alignment horizontal="center" vertical="center"/>
    </xf>
    <xf numFmtId="0" fontId="44" fillId="0" borderId="32" xfId="64" applyNumberFormat="1" applyFont="1" applyFill="1" applyBorder="1" applyAlignment="1">
      <alignment vertical="center"/>
      <protection/>
    </xf>
    <xf numFmtId="176" fontId="44" fillId="0" borderId="19" xfId="64" applyNumberFormat="1" applyFont="1" applyFill="1" applyBorder="1" applyAlignment="1">
      <alignment vertical="center"/>
      <protection/>
    </xf>
    <xf numFmtId="176" fontId="44" fillId="0" borderId="35" xfId="64" applyNumberFormat="1" applyFont="1" applyFill="1" applyBorder="1" applyAlignment="1">
      <alignment vertical="center"/>
      <protection/>
    </xf>
    <xf numFmtId="176" fontId="44" fillId="0" borderId="35" xfId="64" applyNumberFormat="1" applyFont="1" applyFill="1" applyBorder="1" applyAlignment="1">
      <alignment horizontal="right" vertical="center"/>
      <protection/>
    </xf>
    <xf numFmtId="176" fontId="44" fillId="0" borderId="36" xfId="64" applyNumberFormat="1" applyFont="1" applyFill="1" applyBorder="1" applyAlignment="1">
      <alignment vertical="center"/>
      <protection/>
    </xf>
    <xf numFmtId="0" fontId="43" fillId="0" borderId="14" xfId="64" applyNumberFormat="1" applyFont="1" applyFill="1" applyBorder="1" applyAlignment="1">
      <alignment horizontal="center" vertical="center" wrapText="1"/>
      <protection/>
    </xf>
    <xf numFmtId="38" fontId="43" fillId="0" borderId="14" xfId="64" applyNumberFormat="1" applyFont="1" applyFill="1" applyBorder="1" applyAlignment="1">
      <alignment vertical="center"/>
      <protection/>
    </xf>
    <xf numFmtId="9" fontId="43" fillId="0" borderId="14" xfId="43" applyNumberFormat="1" applyFont="1" applyFill="1" applyBorder="1" applyAlignment="1">
      <alignment horizontal="center" vertical="center"/>
    </xf>
    <xf numFmtId="178" fontId="25" fillId="0" borderId="14" xfId="64" applyNumberFormat="1" applyFont="1" applyFill="1" applyBorder="1" applyAlignment="1">
      <alignment vertical="center"/>
      <protection/>
    </xf>
    <xf numFmtId="177" fontId="25" fillId="0" borderId="14" xfId="64" applyNumberFormat="1" applyFont="1" applyFill="1" applyBorder="1" applyAlignment="1">
      <alignment vertical="center"/>
      <protection/>
    </xf>
    <xf numFmtId="9" fontId="25" fillId="0" borderId="14" xfId="64" applyNumberFormat="1" applyFont="1" applyFill="1" applyBorder="1" applyAlignment="1">
      <alignment horizontal="center" vertical="center"/>
      <protection/>
    </xf>
    <xf numFmtId="0" fontId="48" fillId="0" borderId="23" xfId="64" applyNumberFormat="1" applyFont="1" applyFill="1" applyBorder="1" applyAlignment="1">
      <alignment vertical="center"/>
      <protection/>
    </xf>
    <xf numFmtId="0" fontId="10" fillId="0" borderId="42" xfId="66" applyNumberFormat="1" applyFont="1" applyBorder="1" applyAlignment="1">
      <alignment horizontal="center" vertical="center"/>
      <protection/>
    </xf>
    <xf numFmtId="0" fontId="10" fillId="0" borderId="53" xfId="66" applyNumberFormat="1" applyFont="1" applyBorder="1" applyAlignment="1">
      <alignment horizontal="center" vertical="center"/>
      <protection/>
    </xf>
    <xf numFmtId="0" fontId="38" fillId="0" borderId="24" xfId="66" applyNumberFormat="1" applyFont="1" applyBorder="1" applyAlignment="1">
      <alignment horizontal="center" vertical="center"/>
      <protection/>
    </xf>
    <xf numFmtId="0" fontId="38" fillId="0" borderId="25" xfId="66" applyNumberFormat="1" applyFont="1" applyBorder="1" applyAlignment="1">
      <alignment horizontal="center" vertical="center"/>
      <protection/>
    </xf>
    <xf numFmtId="0" fontId="1" fillId="0" borderId="16" xfId="66" applyNumberFormat="1" applyBorder="1" applyAlignment="1">
      <alignment horizontal="center" vertical="center"/>
      <protection/>
    </xf>
    <xf numFmtId="0" fontId="1" fillId="0" borderId="24" xfId="66" applyNumberFormat="1" applyBorder="1" applyAlignment="1">
      <alignment horizontal="center" vertical="center"/>
      <protection/>
    </xf>
    <xf numFmtId="0" fontId="10" fillId="0" borderId="54" xfId="66" applyNumberFormat="1" applyFont="1" applyBorder="1" applyAlignment="1">
      <alignment horizontal="center" vertical="center"/>
      <protection/>
    </xf>
    <xf numFmtId="0" fontId="10" fillId="0" borderId="41" xfId="66" applyNumberFormat="1" applyFont="1" applyBorder="1" applyAlignment="1">
      <alignment horizontal="center" vertical="center"/>
      <protection/>
    </xf>
    <xf numFmtId="0" fontId="10" fillId="0" borderId="37" xfId="66" applyNumberFormat="1" applyFont="1" applyBorder="1" applyAlignment="1">
      <alignment horizontal="center" vertical="center"/>
      <protection/>
    </xf>
    <xf numFmtId="0" fontId="10" fillId="0" borderId="55" xfId="66" applyNumberFormat="1" applyFont="1" applyBorder="1" applyAlignment="1">
      <alignment horizontal="center" vertical="center"/>
      <protection/>
    </xf>
    <xf numFmtId="0" fontId="10" fillId="0" borderId="56" xfId="66" applyNumberFormat="1" applyFont="1" applyBorder="1" applyAlignment="1">
      <alignment horizontal="center" vertical="center"/>
      <protection/>
    </xf>
    <xf numFmtId="0" fontId="10" fillId="0" borderId="40" xfId="66" applyNumberFormat="1" applyFont="1" applyBorder="1" applyAlignment="1">
      <alignment horizontal="center" vertical="center"/>
      <protection/>
    </xf>
    <xf numFmtId="0" fontId="10" fillId="0" borderId="57" xfId="66" applyNumberFormat="1" applyFont="1" applyBorder="1" applyAlignment="1">
      <alignment horizontal="center" vertical="center"/>
      <protection/>
    </xf>
    <xf numFmtId="0" fontId="10" fillId="0" borderId="58" xfId="66" applyNumberFormat="1" applyFont="1" applyBorder="1" applyAlignment="1">
      <alignment horizontal="center" vertical="center"/>
      <protection/>
    </xf>
    <xf numFmtId="0" fontId="10" fillId="0" borderId="40" xfId="66" applyNumberFormat="1" applyFont="1" applyBorder="1" applyAlignment="1">
      <alignment horizontal="center" vertical="center" wrapText="1"/>
      <protection/>
    </xf>
    <xf numFmtId="0" fontId="10" fillId="0" borderId="58" xfId="66" applyNumberFormat="1" applyFont="1" applyBorder="1" applyAlignment="1">
      <alignment horizontal="center" vertical="center" wrapText="1"/>
      <protection/>
    </xf>
    <xf numFmtId="0" fontId="10" fillId="0" borderId="32" xfId="66" applyNumberFormat="1" applyFont="1" applyBorder="1" applyAlignment="1">
      <alignment horizontal="center" vertical="center"/>
      <protection/>
    </xf>
    <xf numFmtId="0" fontId="10" fillId="0" borderId="59" xfId="66" applyNumberFormat="1" applyFont="1" applyBorder="1" applyAlignment="1">
      <alignment horizontal="center" vertical="center"/>
      <protection/>
    </xf>
    <xf numFmtId="0" fontId="1" fillId="0" borderId="21" xfId="66" applyNumberFormat="1" applyBorder="1" applyAlignment="1">
      <alignment horizontal="center" vertical="center"/>
      <protection/>
    </xf>
    <xf numFmtId="0" fontId="1" fillId="0" borderId="33" xfId="66" applyNumberFormat="1" applyBorder="1" applyAlignment="1">
      <alignment horizontal="center" vertical="center"/>
      <protection/>
    </xf>
    <xf numFmtId="0" fontId="1" fillId="0" borderId="24" xfId="66" applyNumberFormat="1" applyFont="1" applyBorder="1" applyAlignment="1">
      <alignment horizontal="center" vertical="center"/>
      <protection/>
    </xf>
    <xf numFmtId="178" fontId="22" fillId="0" borderId="45" xfId="64" applyNumberFormat="1" applyFont="1" applyFill="1" applyBorder="1" applyAlignment="1">
      <alignment horizontal="center" vertical="center" wrapText="1"/>
      <protection/>
    </xf>
    <xf numFmtId="178" fontId="22" fillId="0" borderId="34" xfId="64" applyNumberFormat="1" applyFont="1" applyFill="1" applyBorder="1" applyAlignment="1">
      <alignment horizontal="center" vertical="center" wrapText="1"/>
      <protection/>
    </xf>
    <xf numFmtId="176" fontId="21" fillId="0" borderId="35" xfId="64" applyNumberFormat="1" applyFont="1" applyFill="1" applyBorder="1" applyAlignment="1">
      <alignment horizontal="center" vertical="center"/>
      <protection/>
    </xf>
    <xf numFmtId="0" fontId="21" fillId="0" borderId="41" xfId="64" applyNumberFormat="1" applyFont="1" applyFill="1" applyBorder="1" applyAlignment="1">
      <alignment horizontal="center" vertical="center"/>
      <protection/>
    </xf>
    <xf numFmtId="0" fontId="21" fillId="0" borderId="55" xfId="64" applyNumberFormat="1" applyFont="1" applyFill="1" applyBorder="1" applyAlignment="1">
      <alignment horizontal="center" vertical="center"/>
      <protection/>
    </xf>
    <xf numFmtId="0" fontId="21" fillId="0" borderId="11" xfId="64" applyNumberFormat="1" applyFont="1" applyFill="1" applyBorder="1" applyAlignment="1">
      <alignment horizontal="center" vertical="center"/>
      <protection/>
    </xf>
    <xf numFmtId="0" fontId="21" fillId="0" borderId="43" xfId="64" applyNumberFormat="1" applyFont="1" applyFill="1" applyBorder="1" applyAlignment="1">
      <alignment horizontal="center" vertical="center"/>
      <protection/>
    </xf>
    <xf numFmtId="0" fontId="21" fillId="0" borderId="27" xfId="64" applyNumberFormat="1" applyFont="1" applyFill="1" applyBorder="1" applyAlignment="1">
      <alignment horizontal="left" vertical="center" wrapText="1"/>
      <protection/>
    </xf>
    <xf numFmtId="176" fontId="21" fillId="0" borderId="0" xfId="64" applyNumberFormat="1" applyFont="1" applyFill="1" applyBorder="1" applyAlignment="1">
      <alignment horizontal="center" vertical="center"/>
      <protection/>
    </xf>
    <xf numFmtId="176" fontId="46" fillId="0" borderId="0" xfId="64" applyNumberFormat="1" applyFont="1" applyFill="1" applyBorder="1" applyAlignment="1">
      <alignment horizontal="center" vertical="center"/>
      <protection/>
    </xf>
    <xf numFmtId="0" fontId="21" fillId="0" borderId="54" xfId="64" applyNumberFormat="1" applyFont="1" applyFill="1" applyBorder="1" applyAlignment="1">
      <alignment horizontal="center" vertical="center" wrapText="1"/>
      <protection/>
    </xf>
    <xf numFmtId="0" fontId="21" fillId="0" borderId="41" xfId="64" applyNumberFormat="1" applyFont="1" applyFill="1" applyBorder="1" applyAlignment="1">
      <alignment horizontal="center" vertical="center" wrapText="1"/>
      <protection/>
    </xf>
    <xf numFmtId="0" fontId="23" fillId="0" borderId="60" xfId="64" applyNumberFormat="1" applyFont="1" applyFill="1" applyBorder="1" applyAlignment="1">
      <alignment horizontal="center" vertical="center" wrapText="1"/>
      <protection/>
    </xf>
    <xf numFmtId="0" fontId="23" fillId="0" borderId="12" xfId="64" applyNumberFormat="1" applyFont="1" applyFill="1" applyBorder="1" applyAlignment="1">
      <alignment horizontal="center" vertical="center" wrapText="1"/>
      <protection/>
    </xf>
    <xf numFmtId="0" fontId="21" fillId="0" borderId="37" xfId="64" applyNumberFormat="1" applyFont="1" applyFill="1" applyBorder="1" applyAlignment="1">
      <alignment horizontal="center" vertical="center" wrapText="1"/>
      <protection/>
    </xf>
    <xf numFmtId="0" fontId="21" fillId="0" borderId="61" xfId="64" applyNumberFormat="1" applyFont="1" applyFill="1" applyBorder="1" applyAlignment="1">
      <alignment horizontal="center" vertical="center" wrapText="1"/>
      <protection/>
    </xf>
    <xf numFmtId="0" fontId="21" fillId="0" borderId="32" xfId="64" applyNumberFormat="1" applyFont="1" applyFill="1" applyBorder="1" applyAlignment="1">
      <alignment horizontal="center" vertical="center" wrapText="1"/>
      <protection/>
    </xf>
    <xf numFmtId="0" fontId="21" fillId="0" borderId="62" xfId="64" applyNumberFormat="1" applyFont="1" applyFill="1" applyBorder="1" applyAlignment="1">
      <alignment horizontal="center" vertical="center" wrapText="1"/>
      <protection/>
    </xf>
    <xf numFmtId="0" fontId="24" fillId="0" borderId="48" xfId="64" applyNumberFormat="1" applyFont="1" applyFill="1" applyBorder="1" applyAlignment="1">
      <alignment horizontal="center" vertical="center" wrapText="1"/>
      <protection/>
    </xf>
    <xf numFmtId="0" fontId="24" fillId="0" borderId="44" xfId="64" applyNumberFormat="1" applyFont="1" applyFill="1" applyBorder="1" applyAlignment="1">
      <alignment horizontal="center" vertical="center" wrapText="1"/>
      <protection/>
    </xf>
    <xf numFmtId="0" fontId="24" fillId="0" borderId="40" xfId="64" applyNumberFormat="1" applyFont="1" applyFill="1" applyBorder="1" applyAlignment="1">
      <alignment horizontal="center" vertical="center" wrapText="1"/>
      <protection/>
    </xf>
    <xf numFmtId="0" fontId="21" fillId="0" borderId="63" xfId="64" applyNumberFormat="1" applyFont="1" applyFill="1" applyBorder="1" applyAlignment="1">
      <alignment horizontal="center" vertical="center"/>
      <protection/>
    </xf>
    <xf numFmtId="0" fontId="21" fillId="0" borderId="12" xfId="64" applyNumberFormat="1" applyFont="1" applyFill="1" applyBorder="1" applyAlignment="1">
      <alignment horizontal="center" vertical="center"/>
      <protection/>
    </xf>
    <xf numFmtId="0" fontId="21" fillId="0" borderId="13" xfId="64" applyNumberFormat="1" applyFont="1" applyFill="1" applyBorder="1" applyAlignment="1">
      <alignment horizontal="center" vertical="center"/>
      <protection/>
    </xf>
    <xf numFmtId="0" fontId="21" fillId="0" borderId="26" xfId="64" applyNumberFormat="1" applyFont="1" applyFill="1" applyBorder="1" applyAlignment="1">
      <alignment horizontal="center" vertical="center"/>
      <protection/>
    </xf>
    <xf numFmtId="0" fontId="21" fillId="0" borderId="27" xfId="64" applyNumberFormat="1" applyFont="1" applyFill="1" applyBorder="1" applyAlignment="1">
      <alignment horizontal="center" vertical="center"/>
      <protection/>
    </xf>
    <xf numFmtId="0" fontId="21" fillId="0" borderId="28" xfId="64" applyNumberFormat="1" applyFont="1" applyFill="1" applyBorder="1" applyAlignment="1">
      <alignment horizontal="center" vertical="center"/>
      <protection/>
    </xf>
    <xf numFmtId="176" fontId="21" fillId="0" borderId="30" xfId="64" applyNumberFormat="1" applyFont="1" applyFill="1" applyBorder="1" applyAlignment="1">
      <alignment vertical="center"/>
      <protection/>
    </xf>
    <xf numFmtId="0" fontId="21" fillId="0" borderId="30" xfId="64" applyNumberFormat="1" applyFont="1" applyFill="1" applyBorder="1" applyAlignment="1">
      <alignment vertical="center"/>
      <protection/>
    </xf>
    <xf numFmtId="176" fontId="24" fillId="0" borderId="35" xfId="64" applyNumberFormat="1" applyFont="1" applyFill="1" applyBorder="1" applyAlignment="1">
      <alignment vertical="center"/>
      <protection/>
    </xf>
    <xf numFmtId="0" fontId="24" fillId="0" borderId="35" xfId="64" applyNumberFormat="1" applyFont="1" applyFill="1" applyBorder="1" applyAlignment="1">
      <alignment vertical="center"/>
      <protection/>
    </xf>
    <xf numFmtId="0" fontId="31" fillId="0" borderId="23" xfId="64" applyNumberFormat="1" applyFont="1" applyFill="1" applyBorder="1" applyAlignment="1">
      <alignment horizontal="center" vertical="center" wrapText="1"/>
      <protection/>
    </xf>
    <xf numFmtId="0" fontId="31" fillId="0" borderId="22" xfId="64" applyNumberFormat="1" applyFont="1" applyFill="1" applyBorder="1" applyAlignment="1">
      <alignment horizontal="center" vertical="center" wrapText="1"/>
      <protection/>
    </xf>
    <xf numFmtId="0" fontId="33" fillId="0" borderId="54" xfId="64" applyNumberFormat="1" applyFont="1" applyFill="1" applyBorder="1" applyAlignment="1">
      <alignment horizontal="center" vertical="center" wrapText="1"/>
      <protection/>
    </xf>
    <xf numFmtId="0" fontId="33" fillId="0" borderId="41" xfId="64" applyNumberFormat="1" applyFont="1" applyFill="1" applyBorder="1" applyAlignment="1">
      <alignment horizontal="center" vertical="center" wrapText="1"/>
      <protection/>
    </xf>
    <xf numFmtId="178" fontId="22" fillId="0" borderId="37" xfId="64" applyNumberFormat="1" applyFont="1" applyFill="1" applyBorder="1" applyAlignment="1">
      <alignment horizontal="center" vertical="center" wrapText="1"/>
      <protection/>
    </xf>
    <xf numFmtId="178" fontId="22" fillId="0" borderId="18" xfId="64" applyNumberFormat="1" applyFont="1" applyFill="1" applyBorder="1" applyAlignment="1">
      <alignment horizontal="center" vertical="center" wrapText="1"/>
      <protection/>
    </xf>
    <xf numFmtId="178" fontId="22" fillId="0" borderId="38" xfId="64" applyNumberFormat="1" applyFont="1" applyFill="1" applyBorder="1" applyAlignment="1">
      <alignment horizontal="center" vertical="center" wrapText="1"/>
      <protection/>
    </xf>
    <xf numFmtId="178" fontId="22" fillId="0" borderId="61" xfId="64" applyNumberFormat="1" applyFont="1" applyFill="1" applyBorder="1" applyAlignment="1">
      <alignment horizontal="center" vertical="center" wrapText="1"/>
      <protection/>
    </xf>
  </cellXfs>
  <cellStyles count="56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2 2" xfId="50"/>
    <cellStyle name="쉼표 [0] 2 3" xfId="51"/>
    <cellStyle name="쉼표 [0] 3" xfId="52"/>
    <cellStyle name="연결된 셀" xfId="53"/>
    <cellStyle name="요약" xfId="54"/>
    <cellStyle name="입력" xfId="55"/>
    <cellStyle name="제목" xfId="56"/>
    <cellStyle name="제목 1" xfId="57"/>
    <cellStyle name="제목 2" xfId="58"/>
    <cellStyle name="제목 3" xfId="59"/>
    <cellStyle name="제목 4" xfId="60"/>
    <cellStyle name="좋음" xfId="61"/>
    <cellStyle name="출력" xfId="62"/>
    <cellStyle name="Currency" xfId="63"/>
    <cellStyle name="Currency [0]" xfId="64"/>
    <cellStyle name="표준 2" xfId="65"/>
    <cellStyle name="표준 2 2" xfId="66"/>
    <cellStyle name="표준 2 3" xfId="67"/>
    <cellStyle name="표준 3" xfId="68"/>
    <cellStyle name="표준_2003경기장복예산안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48148;&#53461;&#54868;&#47732;\2012&#45380;&#46020;%20&#50696;&#49328;&#49888;&#52397;\2012&#45380;%202&#52264;&#52628;&#44221;\2012&#45380;&#46020;%202&#52264;&#52628;&#44221;%20&#50696;&#49328;&#5050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세입세출총괄표"/>
      <sheetName val="세입"/>
      <sheetName val="세출"/>
      <sheetName val="증감사유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8"/>
  <sheetViews>
    <sheetView zoomScale="85" zoomScaleNormal="85" zoomScaleSheetLayoutView="75" zoomScalePageLayoutView="0" workbookViewId="0" topLeftCell="A1">
      <selection activeCell="Q11" sqref="Q11"/>
    </sheetView>
  </sheetViews>
  <sheetFormatPr defaultColWidth="8.88671875" defaultRowHeight="13.5"/>
  <cols>
    <col min="1" max="1" width="1.4375" style="162" customWidth="1"/>
    <col min="2" max="2" width="11.5546875" style="162" bestFit="1" customWidth="1"/>
    <col min="3" max="3" width="13.3359375" style="162" bestFit="1" customWidth="1"/>
    <col min="4" max="5" width="17.99609375" style="162" bestFit="1" customWidth="1"/>
    <col min="6" max="6" width="15.99609375" style="162" bestFit="1" customWidth="1"/>
    <col min="7" max="7" width="9.6640625" style="162" bestFit="1" customWidth="1"/>
    <col min="8" max="8" width="13.3359375" style="162" bestFit="1" customWidth="1"/>
    <col min="9" max="10" width="17.99609375" style="162" bestFit="1" customWidth="1"/>
    <col min="11" max="11" width="15.99609375" style="162" bestFit="1" customWidth="1"/>
    <col min="12" max="16384" width="8.88671875" style="162" customWidth="1"/>
  </cols>
  <sheetData>
    <row r="1" ht="9.75" customHeight="1"/>
    <row r="2" spans="2:11" ht="26.25">
      <c r="B2" s="163" t="s">
        <v>344</v>
      </c>
      <c r="K2" s="164" t="s">
        <v>267</v>
      </c>
    </row>
    <row r="3" ht="9.75" customHeight="1"/>
    <row r="4" spans="2:11" ht="30" customHeight="1">
      <c r="B4" s="413" t="s">
        <v>75</v>
      </c>
      <c r="C4" s="414"/>
      <c r="D4" s="414"/>
      <c r="E4" s="414"/>
      <c r="F4" s="415"/>
      <c r="G4" s="413" t="s">
        <v>81</v>
      </c>
      <c r="H4" s="414"/>
      <c r="I4" s="414"/>
      <c r="J4" s="414"/>
      <c r="K4" s="416"/>
    </row>
    <row r="5" spans="2:11" ht="16.5" customHeight="1">
      <c r="B5" s="417" t="s">
        <v>80</v>
      </c>
      <c r="C5" s="418"/>
      <c r="D5" s="421" t="s">
        <v>333</v>
      </c>
      <c r="E5" s="421" t="s">
        <v>345</v>
      </c>
      <c r="F5" s="423" t="s">
        <v>42</v>
      </c>
      <c r="G5" s="417" t="s">
        <v>80</v>
      </c>
      <c r="H5" s="418"/>
      <c r="I5" s="421" t="s">
        <v>333</v>
      </c>
      <c r="J5" s="421" t="s">
        <v>346</v>
      </c>
      <c r="K5" s="407" t="s">
        <v>42</v>
      </c>
    </row>
    <row r="6" spans="2:11" ht="22.5" customHeight="1">
      <c r="B6" s="419"/>
      <c r="C6" s="420"/>
      <c r="D6" s="422"/>
      <c r="E6" s="422"/>
      <c r="F6" s="424"/>
      <c r="G6" s="419"/>
      <c r="H6" s="420"/>
      <c r="I6" s="422"/>
      <c r="J6" s="422"/>
      <c r="K6" s="408"/>
    </row>
    <row r="7" spans="2:11" ht="24.75" customHeight="1">
      <c r="B7" s="409" t="s">
        <v>74</v>
      </c>
      <c r="C7" s="410"/>
      <c r="D7" s="287">
        <f>SUM(D8:D23)/2</f>
        <v>79595000</v>
      </c>
      <c r="E7" s="287">
        <f>SUM(E8:E23)/2</f>
        <v>77748000</v>
      </c>
      <c r="F7" s="288">
        <f>SUM(F8:F23)/2</f>
        <v>-1847000</v>
      </c>
      <c r="G7" s="409" t="s">
        <v>74</v>
      </c>
      <c r="H7" s="410"/>
      <c r="I7" s="287">
        <f>SUM(I8:I28)/2</f>
        <v>79595000</v>
      </c>
      <c r="J7" s="287">
        <f>SUM(J8:J28)/2</f>
        <v>77748000</v>
      </c>
      <c r="K7" s="289">
        <f>SUM(K8:K28)/2</f>
        <v>-1847000</v>
      </c>
    </row>
    <row r="8" spans="2:11" ht="24.75" customHeight="1">
      <c r="B8" s="411" t="s">
        <v>282</v>
      </c>
      <c r="C8" s="290" t="s">
        <v>63</v>
      </c>
      <c r="D8" s="291">
        <f>D9</f>
        <v>12000000</v>
      </c>
      <c r="E8" s="291">
        <f>E9</f>
        <v>10500000</v>
      </c>
      <c r="F8" s="292">
        <f>F9</f>
        <v>-1500000</v>
      </c>
      <c r="G8" s="411" t="s">
        <v>85</v>
      </c>
      <c r="H8" s="290" t="s">
        <v>63</v>
      </c>
      <c r="I8" s="291">
        <f>SUM(I9:I11)</f>
        <v>54271000</v>
      </c>
      <c r="J8" s="291">
        <f>SUM(J9:J11)</f>
        <v>53041000</v>
      </c>
      <c r="K8" s="296">
        <f>SUM(K9:K11)</f>
        <v>-1230000</v>
      </c>
    </row>
    <row r="9" spans="2:11" ht="24.75" customHeight="1">
      <c r="B9" s="412"/>
      <c r="C9" s="165" t="s">
        <v>83</v>
      </c>
      <c r="D9" s="166">
        <v>12000000</v>
      </c>
      <c r="E9" s="166">
        <v>10500000</v>
      </c>
      <c r="F9" s="167">
        <f>E9-D9</f>
        <v>-1500000</v>
      </c>
      <c r="G9" s="425"/>
      <c r="H9" s="165" t="s">
        <v>193</v>
      </c>
      <c r="I9" s="166">
        <v>43923000</v>
      </c>
      <c r="J9" s="166">
        <v>44215000</v>
      </c>
      <c r="K9" s="168">
        <f>J9-I9</f>
        <v>292000</v>
      </c>
    </row>
    <row r="10" spans="2:11" ht="24.75" customHeight="1">
      <c r="B10" s="380" t="s">
        <v>281</v>
      </c>
      <c r="C10" s="293" t="s">
        <v>63</v>
      </c>
      <c r="D10" s="294">
        <f>SUM(D11:D14)</f>
        <v>54869000</v>
      </c>
      <c r="E10" s="294">
        <f>SUM(E11:E14)</f>
        <v>54824000</v>
      </c>
      <c r="F10" s="295">
        <f>SUM(F11:F14)</f>
        <v>-45000</v>
      </c>
      <c r="G10" s="425"/>
      <c r="H10" s="165" t="s">
        <v>76</v>
      </c>
      <c r="I10" s="166">
        <v>240000</v>
      </c>
      <c r="J10" s="166">
        <v>240000</v>
      </c>
      <c r="K10" s="168">
        <f>J10-I10</f>
        <v>0</v>
      </c>
    </row>
    <row r="11" spans="2:11" ht="24.75" customHeight="1">
      <c r="B11" s="326"/>
      <c r="C11" s="236" t="s">
        <v>276</v>
      </c>
      <c r="D11" s="166">
        <v>0</v>
      </c>
      <c r="E11" s="166">
        <v>0</v>
      </c>
      <c r="F11" s="167">
        <f>E11-D11</f>
        <v>0</v>
      </c>
      <c r="G11" s="412"/>
      <c r="H11" s="165" t="s">
        <v>206</v>
      </c>
      <c r="I11" s="166">
        <v>10108000</v>
      </c>
      <c r="J11" s="166">
        <v>8586000</v>
      </c>
      <c r="K11" s="168">
        <f>J11-I11</f>
        <v>-1522000</v>
      </c>
    </row>
    <row r="12" spans="2:11" ht="24.75" customHeight="1">
      <c r="B12" s="326"/>
      <c r="C12" s="236" t="s">
        <v>277</v>
      </c>
      <c r="D12" s="166">
        <v>54869000</v>
      </c>
      <c r="E12" s="166">
        <v>54824000</v>
      </c>
      <c r="F12" s="167">
        <f>E12-D12</f>
        <v>-45000</v>
      </c>
      <c r="G12" s="411" t="s">
        <v>289</v>
      </c>
      <c r="H12" s="293" t="s">
        <v>63</v>
      </c>
      <c r="I12" s="294">
        <f>SUM(I13:I15)</f>
        <v>6848000</v>
      </c>
      <c r="J12" s="294">
        <f>SUM(J13:J15)</f>
        <v>6818000</v>
      </c>
      <c r="K12" s="297">
        <f>SUM(K13:K15)</f>
        <v>-30000</v>
      </c>
    </row>
    <row r="13" spans="2:11" ht="24.75" customHeight="1">
      <c r="B13" s="326"/>
      <c r="C13" s="236" t="s">
        <v>284</v>
      </c>
      <c r="D13" s="166">
        <v>0</v>
      </c>
      <c r="E13" s="166">
        <v>0</v>
      </c>
      <c r="F13" s="167">
        <f>E13-D13</f>
        <v>0</v>
      </c>
      <c r="G13" s="425"/>
      <c r="H13" s="165" t="s">
        <v>204</v>
      </c>
      <c r="I13" s="166">
        <v>0</v>
      </c>
      <c r="J13" s="166">
        <v>0</v>
      </c>
      <c r="K13" s="168">
        <f>J13-I13</f>
        <v>0</v>
      </c>
    </row>
    <row r="14" spans="2:11" ht="24.75" customHeight="1">
      <c r="B14" s="327"/>
      <c r="C14" s="236" t="s">
        <v>297</v>
      </c>
      <c r="D14" s="166">
        <v>0</v>
      </c>
      <c r="E14" s="166">
        <v>0</v>
      </c>
      <c r="F14" s="167">
        <f>E14-D14</f>
        <v>0</v>
      </c>
      <c r="G14" s="425"/>
      <c r="H14" s="165" t="s">
        <v>102</v>
      </c>
      <c r="I14" s="166">
        <v>3548000</v>
      </c>
      <c r="J14" s="166">
        <v>3618000</v>
      </c>
      <c r="K14" s="168">
        <f>J14-I14</f>
        <v>70000</v>
      </c>
    </row>
    <row r="15" spans="2:11" ht="24.75" customHeight="1">
      <c r="B15" s="411" t="s">
        <v>278</v>
      </c>
      <c r="C15" s="293" t="s">
        <v>63</v>
      </c>
      <c r="D15" s="294">
        <f>SUM(D16:D17)</f>
        <v>700000</v>
      </c>
      <c r="E15" s="294">
        <f>SUM(E16:E17)</f>
        <v>400000</v>
      </c>
      <c r="F15" s="295">
        <f>SUM(F16:F17)</f>
        <v>-300000</v>
      </c>
      <c r="G15" s="412"/>
      <c r="H15" s="165" t="s">
        <v>256</v>
      </c>
      <c r="I15" s="166">
        <v>3300000</v>
      </c>
      <c r="J15" s="166">
        <v>3200000</v>
      </c>
      <c r="K15" s="168">
        <f>J15-I15</f>
        <v>-100000</v>
      </c>
    </row>
    <row r="16" spans="2:11" ht="24.75" customHeight="1">
      <c r="B16" s="425"/>
      <c r="C16" s="165" t="s">
        <v>89</v>
      </c>
      <c r="D16" s="166">
        <v>200000</v>
      </c>
      <c r="E16" s="166">
        <v>0</v>
      </c>
      <c r="F16" s="167">
        <f>E16-D16</f>
        <v>-200000</v>
      </c>
      <c r="G16" s="411" t="s">
        <v>87</v>
      </c>
      <c r="H16" s="293" t="s">
        <v>63</v>
      </c>
      <c r="I16" s="294">
        <f>SUM(I17:I22)</f>
        <v>18455000</v>
      </c>
      <c r="J16" s="294">
        <f>SUM(J17:J22)</f>
        <v>17870000</v>
      </c>
      <c r="K16" s="297">
        <f>SUM(K17:K22)</f>
        <v>-585000</v>
      </c>
    </row>
    <row r="17" spans="2:11" ht="24.75" customHeight="1">
      <c r="B17" s="412"/>
      <c r="C17" s="165" t="s">
        <v>90</v>
      </c>
      <c r="D17" s="166">
        <v>500000</v>
      </c>
      <c r="E17" s="166">
        <v>400000</v>
      </c>
      <c r="F17" s="167">
        <f>E17-D17</f>
        <v>-100000</v>
      </c>
      <c r="G17" s="425"/>
      <c r="H17" s="165" t="s">
        <v>200</v>
      </c>
      <c r="I17" s="166">
        <v>12060000</v>
      </c>
      <c r="J17" s="166">
        <v>12460000</v>
      </c>
      <c r="K17" s="168">
        <f aca="true" t="shared" si="0" ref="K17:K22">J17-I17</f>
        <v>400000</v>
      </c>
    </row>
    <row r="18" spans="2:11" ht="24.75" customHeight="1">
      <c r="B18" s="411" t="s">
        <v>92</v>
      </c>
      <c r="C18" s="293" t="s">
        <v>63</v>
      </c>
      <c r="D18" s="294">
        <f>D19</f>
        <v>0</v>
      </c>
      <c r="E18" s="294">
        <f>E19</f>
        <v>0</v>
      </c>
      <c r="F18" s="295">
        <f>F19</f>
        <v>0</v>
      </c>
      <c r="G18" s="425"/>
      <c r="H18" s="165" t="s">
        <v>98</v>
      </c>
      <c r="I18" s="166">
        <v>1240000</v>
      </c>
      <c r="J18" s="166">
        <v>1040000</v>
      </c>
      <c r="K18" s="168">
        <f t="shared" si="0"/>
        <v>-200000</v>
      </c>
    </row>
    <row r="19" spans="2:11" ht="24.75" customHeight="1">
      <c r="B19" s="412"/>
      <c r="C19" s="165" t="s">
        <v>86</v>
      </c>
      <c r="D19" s="166">
        <v>0</v>
      </c>
      <c r="E19" s="166">
        <v>0</v>
      </c>
      <c r="F19" s="167">
        <f>E19-D19</f>
        <v>0</v>
      </c>
      <c r="G19" s="425"/>
      <c r="H19" s="165" t="s">
        <v>187</v>
      </c>
      <c r="I19" s="166">
        <v>800000</v>
      </c>
      <c r="J19" s="166">
        <v>800000</v>
      </c>
      <c r="K19" s="168">
        <f t="shared" si="0"/>
        <v>0</v>
      </c>
    </row>
    <row r="20" spans="2:11" ht="24.75" customHeight="1">
      <c r="B20" s="411" t="s">
        <v>101</v>
      </c>
      <c r="C20" s="293" t="s">
        <v>63</v>
      </c>
      <c r="D20" s="294">
        <f>D21</f>
        <v>11285000</v>
      </c>
      <c r="E20" s="294">
        <f>E21</f>
        <v>11285000</v>
      </c>
      <c r="F20" s="295">
        <f>F21</f>
        <v>0</v>
      </c>
      <c r="G20" s="425"/>
      <c r="H20" s="165" t="s">
        <v>209</v>
      </c>
      <c r="I20" s="166">
        <v>260000</v>
      </c>
      <c r="J20" s="166">
        <v>220000</v>
      </c>
      <c r="K20" s="168">
        <f t="shared" si="0"/>
        <v>-40000</v>
      </c>
    </row>
    <row r="21" spans="2:11" ht="24.75" customHeight="1">
      <c r="B21" s="412"/>
      <c r="C21" s="165" t="s">
        <v>94</v>
      </c>
      <c r="D21" s="166">
        <v>11285000</v>
      </c>
      <c r="E21" s="166">
        <v>11285000</v>
      </c>
      <c r="F21" s="167">
        <f>E21-D21</f>
        <v>0</v>
      </c>
      <c r="G21" s="425"/>
      <c r="H21" s="165" t="s">
        <v>205</v>
      </c>
      <c r="I21" s="166">
        <v>180000</v>
      </c>
      <c r="J21" s="166">
        <v>60000</v>
      </c>
      <c r="K21" s="168">
        <f t="shared" si="0"/>
        <v>-120000</v>
      </c>
    </row>
    <row r="22" spans="2:11" ht="24.75" customHeight="1">
      <c r="B22" s="411" t="s">
        <v>95</v>
      </c>
      <c r="C22" s="293" t="s">
        <v>63</v>
      </c>
      <c r="D22" s="294">
        <f>D23</f>
        <v>741000</v>
      </c>
      <c r="E22" s="294">
        <f>E23</f>
        <v>739000</v>
      </c>
      <c r="F22" s="295">
        <f>F23</f>
        <v>-2000</v>
      </c>
      <c r="G22" s="412"/>
      <c r="H22" s="165" t="s">
        <v>238</v>
      </c>
      <c r="I22" s="166">
        <v>3915000</v>
      </c>
      <c r="J22" s="166">
        <v>3290000</v>
      </c>
      <c r="K22" s="168">
        <f t="shared" si="0"/>
        <v>-625000</v>
      </c>
    </row>
    <row r="23" spans="2:11" ht="24.75" customHeight="1">
      <c r="B23" s="412"/>
      <c r="C23" s="165" t="s">
        <v>202</v>
      </c>
      <c r="D23" s="166">
        <v>741000</v>
      </c>
      <c r="E23" s="166">
        <v>739000</v>
      </c>
      <c r="F23" s="167">
        <f>E23-D23</f>
        <v>-2000</v>
      </c>
      <c r="G23" s="411" t="s">
        <v>275</v>
      </c>
      <c r="H23" s="293" t="s">
        <v>63</v>
      </c>
      <c r="I23" s="294">
        <f>I24</f>
        <v>7000</v>
      </c>
      <c r="J23" s="294">
        <f>J24</f>
        <v>7000</v>
      </c>
      <c r="K23" s="297">
        <f>K24</f>
        <v>0</v>
      </c>
    </row>
    <row r="24" spans="2:11" ht="24.75" customHeight="1">
      <c r="B24" s="328"/>
      <c r="C24" s="329"/>
      <c r="D24" s="329"/>
      <c r="E24" s="329"/>
      <c r="F24" s="329"/>
      <c r="G24" s="427"/>
      <c r="H24" s="165" t="s">
        <v>88</v>
      </c>
      <c r="I24" s="166">
        <v>7000</v>
      </c>
      <c r="J24" s="166">
        <v>7000</v>
      </c>
      <c r="K24" s="168">
        <f>J24-I24</f>
        <v>0</v>
      </c>
    </row>
    <row r="25" spans="2:11" ht="24.75" customHeight="1">
      <c r="B25" s="330"/>
      <c r="C25" s="331"/>
      <c r="D25" s="331"/>
      <c r="E25" s="331"/>
      <c r="F25" s="331"/>
      <c r="G25" s="411" t="s">
        <v>96</v>
      </c>
      <c r="H25" s="293" t="s">
        <v>63</v>
      </c>
      <c r="I25" s="294">
        <f>I26</f>
        <v>0</v>
      </c>
      <c r="J25" s="294">
        <f>J26</f>
        <v>0</v>
      </c>
      <c r="K25" s="297">
        <f>K26</f>
        <v>0</v>
      </c>
    </row>
    <row r="26" spans="2:11" ht="24.75" customHeight="1">
      <c r="B26" s="330"/>
      <c r="C26" s="331"/>
      <c r="D26" s="331"/>
      <c r="E26" s="331"/>
      <c r="F26" s="331"/>
      <c r="G26" s="412"/>
      <c r="H26" s="165" t="s">
        <v>190</v>
      </c>
      <c r="I26" s="166">
        <v>0</v>
      </c>
      <c r="J26" s="166">
        <v>0</v>
      </c>
      <c r="K26" s="168">
        <f>J26-I26</f>
        <v>0</v>
      </c>
    </row>
    <row r="27" spans="2:11" ht="24.75" customHeight="1">
      <c r="B27" s="330"/>
      <c r="C27" s="331"/>
      <c r="D27" s="331"/>
      <c r="E27" s="331"/>
      <c r="F27" s="331"/>
      <c r="G27" s="411" t="s">
        <v>91</v>
      </c>
      <c r="H27" s="293" t="s">
        <v>63</v>
      </c>
      <c r="I27" s="294">
        <f>I28</f>
        <v>14000</v>
      </c>
      <c r="J27" s="294">
        <f>J28</f>
        <v>12000</v>
      </c>
      <c r="K27" s="297">
        <f>K28</f>
        <v>-2000</v>
      </c>
    </row>
    <row r="28" spans="2:11" ht="24.75" customHeight="1">
      <c r="B28" s="332"/>
      <c r="C28" s="333"/>
      <c r="D28" s="333"/>
      <c r="E28" s="333"/>
      <c r="F28" s="333"/>
      <c r="G28" s="426"/>
      <c r="H28" s="169" t="s">
        <v>203</v>
      </c>
      <c r="I28" s="170">
        <v>14000</v>
      </c>
      <c r="J28" s="170">
        <v>12000</v>
      </c>
      <c r="K28" s="171">
        <f>J28-I28</f>
        <v>-2000</v>
      </c>
    </row>
  </sheetData>
  <sheetProtection/>
  <mergeCells count="23">
    <mergeCell ref="G27:G28"/>
    <mergeCell ref="G12:G15"/>
    <mergeCell ref="G16:G22"/>
    <mergeCell ref="G23:G24"/>
    <mergeCell ref="G25:G26"/>
    <mergeCell ref="B8:B9"/>
    <mergeCell ref="B15:B17"/>
    <mergeCell ref="F5:F6"/>
    <mergeCell ref="G5:H6"/>
    <mergeCell ref="J5:J6"/>
    <mergeCell ref="B20:B21"/>
    <mergeCell ref="B22:B23"/>
    <mergeCell ref="G8:G11"/>
    <mergeCell ref="K5:K6"/>
    <mergeCell ref="B7:C7"/>
    <mergeCell ref="G7:H7"/>
    <mergeCell ref="B18:B19"/>
    <mergeCell ref="B4:F4"/>
    <mergeCell ref="G4:K4"/>
    <mergeCell ref="B5:C6"/>
    <mergeCell ref="E5:E6"/>
    <mergeCell ref="D5:D6"/>
    <mergeCell ref="I5:I6"/>
  </mergeCells>
  <printOptions horizontalCentered="1" verticalCentered="1"/>
  <pageMargins left="0.31486111879348755" right="0.31486111879348755" top="0.5509722232818604" bottom="0.5509722232818604" header="0.31486111879348755" footer="0.31486111879348755"/>
  <pageSetup horizontalDpi="600" verticalDpi="600" orientation="landscape" paperSize="9" scale="75" r:id="rId1"/>
  <headerFooter alignWithMargins="0">
    <oddFooter>&amp;R&amp;"돋움,Regular"공동생활가정 바르나바의 집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T101"/>
  <sheetViews>
    <sheetView zoomScaleSheetLayoutView="75" zoomScalePageLayoutView="0" workbookViewId="0" topLeftCell="A1">
      <pane xSplit="3" ySplit="4" topLeftCell="D5" activePane="bottomRight" state="frozen"/>
      <selection pane="topLeft" activeCell="D5" sqref="D5"/>
      <selection pane="topRight" activeCell="A1" sqref="A1"/>
      <selection pane="bottomLeft" activeCell="A1" sqref="A1"/>
      <selection pane="bottomRight" activeCell="AB87" sqref="AB87"/>
    </sheetView>
  </sheetViews>
  <sheetFormatPr defaultColWidth="13.77734375" defaultRowHeight="19.5" customHeight="1"/>
  <cols>
    <col min="1" max="2" width="5.6640625" style="7" bestFit="1" customWidth="1"/>
    <col min="3" max="3" width="5.6640625" style="7" customWidth="1"/>
    <col min="4" max="4" width="8.77734375" style="9" customWidth="1"/>
    <col min="5" max="5" width="9.4453125" style="9" bestFit="1" customWidth="1"/>
    <col min="6" max="6" width="9.4453125" style="10" bestFit="1" customWidth="1"/>
    <col min="7" max="7" width="5.99609375" style="12" customWidth="1"/>
    <col min="8" max="8" width="16.10546875" style="1" customWidth="1"/>
    <col min="9" max="9" width="4.77734375" style="2" customWidth="1"/>
    <col min="10" max="10" width="2.21484375" style="2" customWidth="1"/>
    <col min="11" max="11" width="2.5546875" style="2" customWidth="1"/>
    <col min="12" max="12" width="10.4453125" style="2" bestFit="1" customWidth="1"/>
    <col min="13" max="13" width="3.10546875" style="2" customWidth="1"/>
    <col min="14" max="14" width="3.4453125" style="2" bestFit="1" customWidth="1"/>
    <col min="15" max="15" width="7.6640625" style="2" bestFit="1" customWidth="1"/>
    <col min="16" max="16" width="4.88671875" style="2" customWidth="1"/>
    <col min="17" max="17" width="3.4453125" style="2" bestFit="1" customWidth="1"/>
    <col min="18" max="18" width="6.77734375" style="2" bestFit="1" customWidth="1"/>
    <col min="19" max="19" width="2.77734375" style="2" bestFit="1" customWidth="1"/>
    <col min="20" max="20" width="2.10546875" style="2" bestFit="1" customWidth="1"/>
    <col min="21" max="21" width="5.77734375" style="2" bestFit="1" customWidth="1"/>
    <col min="22" max="22" width="2.5546875" style="2" customWidth="1"/>
    <col min="23" max="23" width="12.4453125" style="2" bestFit="1" customWidth="1"/>
    <col min="24" max="24" width="2.77734375" style="2" customWidth="1"/>
    <col min="25" max="25" width="5.99609375" style="6" customWidth="1"/>
    <col min="26" max="16384" width="13.77734375" style="1" customWidth="1"/>
  </cols>
  <sheetData>
    <row r="1" spans="1:25" s="11" customFormat="1" ht="33" customHeight="1">
      <c r="A1" s="435" t="s">
        <v>347</v>
      </c>
      <c r="B1" s="435"/>
      <c r="C1" s="435"/>
      <c r="D1" s="435"/>
      <c r="E1" s="435"/>
      <c r="F1" s="435"/>
      <c r="G1" s="12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6"/>
    </row>
    <row r="2" spans="1:25" s="3" customFormat="1" ht="27" customHeight="1">
      <c r="A2" s="438" t="s">
        <v>182</v>
      </c>
      <c r="B2" s="439"/>
      <c r="C2" s="439"/>
      <c r="D2" s="428" t="s">
        <v>348</v>
      </c>
      <c r="E2" s="428" t="s">
        <v>349</v>
      </c>
      <c r="F2" s="431" t="s">
        <v>77</v>
      </c>
      <c r="G2" s="431"/>
      <c r="H2" s="431" t="s">
        <v>211</v>
      </c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431"/>
      <c r="U2" s="431"/>
      <c r="V2" s="431"/>
      <c r="W2" s="431"/>
      <c r="X2" s="432"/>
      <c r="Y2" s="8"/>
    </row>
    <row r="3" spans="1:25" s="3" customFormat="1" ht="32.25" customHeight="1">
      <c r="A3" s="24" t="s">
        <v>15</v>
      </c>
      <c r="B3" s="25" t="s">
        <v>8</v>
      </c>
      <c r="C3" s="25" t="s">
        <v>3</v>
      </c>
      <c r="D3" s="429"/>
      <c r="E3" s="429"/>
      <c r="F3" s="136" t="s">
        <v>104</v>
      </c>
      <c r="G3" s="26" t="s">
        <v>228</v>
      </c>
      <c r="H3" s="433"/>
      <c r="I3" s="433"/>
      <c r="J3" s="433"/>
      <c r="K3" s="433"/>
      <c r="L3" s="433"/>
      <c r="M3" s="433"/>
      <c r="N3" s="433"/>
      <c r="O3" s="433"/>
      <c r="P3" s="433"/>
      <c r="Q3" s="433"/>
      <c r="R3" s="433"/>
      <c r="S3" s="433"/>
      <c r="T3" s="433"/>
      <c r="U3" s="433"/>
      <c r="V3" s="433"/>
      <c r="W3" s="433"/>
      <c r="X3" s="434"/>
      <c r="Y3" s="8"/>
    </row>
    <row r="4" spans="1:25" s="3" customFormat="1" ht="19.5" customHeight="1">
      <c r="A4" s="440" t="s">
        <v>192</v>
      </c>
      <c r="B4" s="441"/>
      <c r="C4" s="441"/>
      <c r="D4" s="189">
        <f>SUM(D5,D9,D11,D13,D29,D40,D46,D53,D74)</f>
        <v>79595</v>
      </c>
      <c r="E4" s="189">
        <f>SUM(E5,E9,E11,E13,E29,E40,E46,E53,E74)</f>
        <v>77748</v>
      </c>
      <c r="F4" s="241">
        <f>SUM(F5,F9,F11,F13,F29,F40,F46,F53,F74)</f>
        <v>-1847</v>
      </c>
      <c r="G4" s="190">
        <f>IF(D4=0,0,F4/D4)</f>
        <v>-0.023204975186883598</v>
      </c>
      <c r="H4" s="27" t="s">
        <v>221</v>
      </c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35">
        <f>SUM(W5,W9,W11,W13,W29,W40,W46,W53,W74)</f>
        <v>77748000</v>
      </c>
      <c r="X4" s="29" t="s">
        <v>9</v>
      </c>
      <c r="Y4" s="8"/>
    </row>
    <row r="5" spans="1:24" ht="21" customHeight="1">
      <c r="A5" s="34" t="s">
        <v>225</v>
      </c>
      <c r="B5" s="35" t="s">
        <v>225</v>
      </c>
      <c r="C5" s="173" t="s">
        <v>292</v>
      </c>
      <c r="D5" s="183">
        <v>12000</v>
      </c>
      <c r="E5" s="183">
        <f>ROUND(W5/1000,0)</f>
        <v>10500</v>
      </c>
      <c r="F5" s="184">
        <f>E5-D5</f>
        <v>-1500</v>
      </c>
      <c r="G5" s="185">
        <f>IF(D5=0,0,F5/D5)</f>
        <v>-0.125</v>
      </c>
      <c r="H5" s="39" t="s">
        <v>72</v>
      </c>
      <c r="I5" s="130"/>
      <c r="J5" s="40"/>
      <c r="K5" s="40"/>
      <c r="L5" s="40"/>
      <c r="M5" s="40"/>
      <c r="N5" s="40"/>
      <c r="O5" s="41"/>
      <c r="P5" s="41" t="s">
        <v>269</v>
      </c>
      <c r="Q5" s="41"/>
      <c r="R5" s="41"/>
      <c r="S5" s="41"/>
      <c r="T5" s="41"/>
      <c r="U5" s="41"/>
      <c r="V5" s="42"/>
      <c r="W5" s="42">
        <f>W6+W7</f>
        <v>10500000</v>
      </c>
      <c r="X5" s="43" t="s">
        <v>9</v>
      </c>
    </row>
    <row r="6" spans="1:24" ht="21" customHeight="1">
      <c r="A6" s="44" t="s">
        <v>246</v>
      </c>
      <c r="B6" s="45" t="s">
        <v>246</v>
      </c>
      <c r="C6" s="46" t="s">
        <v>246</v>
      </c>
      <c r="D6" s="403"/>
      <c r="E6" s="403"/>
      <c r="F6" s="404"/>
      <c r="G6" s="405"/>
      <c r="H6" s="52" t="s">
        <v>109</v>
      </c>
      <c r="I6" s="367"/>
      <c r="J6" s="368"/>
      <c r="K6" s="368"/>
      <c r="L6" s="50">
        <v>250000</v>
      </c>
      <c r="M6" s="50" t="s">
        <v>9</v>
      </c>
      <c r="N6" s="49" t="s">
        <v>13</v>
      </c>
      <c r="O6" s="50">
        <v>3</v>
      </c>
      <c r="P6" s="50" t="s">
        <v>26</v>
      </c>
      <c r="Q6" s="49" t="s">
        <v>13</v>
      </c>
      <c r="R6" s="55">
        <v>12</v>
      </c>
      <c r="S6" s="90" t="s">
        <v>2</v>
      </c>
      <c r="T6" s="90" t="s">
        <v>6</v>
      </c>
      <c r="U6" s="90"/>
      <c r="V6" s="50"/>
      <c r="W6" s="50">
        <f>L6*O6*R6</f>
        <v>9000000</v>
      </c>
      <c r="X6" s="56" t="s">
        <v>9</v>
      </c>
    </row>
    <row r="7" spans="1:24" ht="21" customHeight="1">
      <c r="A7" s="44"/>
      <c r="B7" s="45"/>
      <c r="C7" s="46"/>
      <c r="D7" s="403"/>
      <c r="E7" s="403"/>
      <c r="F7" s="404"/>
      <c r="G7" s="405"/>
      <c r="H7" s="406"/>
      <c r="I7" s="367"/>
      <c r="J7" s="368"/>
      <c r="K7" s="368"/>
      <c r="L7" s="368">
        <v>250000</v>
      </c>
      <c r="M7" s="368" t="s">
        <v>9</v>
      </c>
      <c r="N7" s="368" t="s">
        <v>13</v>
      </c>
      <c r="O7" s="368">
        <v>1</v>
      </c>
      <c r="P7" s="368" t="s">
        <v>26</v>
      </c>
      <c r="Q7" s="368" t="s">
        <v>13</v>
      </c>
      <c r="R7" s="368">
        <v>6</v>
      </c>
      <c r="S7" s="368" t="s">
        <v>2</v>
      </c>
      <c r="T7" s="368" t="s">
        <v>6</v>
      </c>
      <c r="U7" s="368"/>
      <c r="V7" s="377"/>
      <c r="W7" s="377">
        <f>L7*O7*R7</f>
        <v>1500000</v>
      </c>
      <c r="X7" s="378" t="s">
        <v>9</v>
      </c>
    </row>
    <row r="8" spans="1:24" ht="21" customHeight="1">
      <c r="A8" s="44"/>
      <c r="B8" s="45"/>
      <c r="C8" s="46"/>
      <c r="D8" s="47"/>
      <c r="E8" s="47"/>
      <c r="F8" s="48"/>
      <c r="G8" s="30"/>
      <c r="H8" s="52"/>
      <c r="I8" s="53"/>
      <c r="J8" s="54"/>
      <c r="K8" s="54"/>
      <c r="L8" s="50"/>
      <c r="M8" s="50"/>
      <c r="N8" s="49"/>
      <c r="O8" s="50"/>
      <c r="P8" s="50"/>
      <c r="Q8" s="49"/>
      <c r="R8" s="55"/>
      <c r="S8" s="90"/>
      <c r="T8" s="90"/>
      <c r="U8" s="90"/>
      <c r="V8" s="50"/>
      <c r="W8" s="50"/>
      <c r="X8" s="56"/>
    </row>
    <row r="9" spans="1:25" s="11" customFormat="1" ht="19.5" customHeight="1">
      <c r="A9" s="34" t="s">
        <v>45</v>
      </c>
      <c r="B9" s="35" t="s">
        <v>45</v>
      </c>
      <c r="C9" s="35" t="s">
        <v>45</v>
      </c>
      <c r="D9" s="183">
        <v>0</v>
      </c>
      <c r="E9" s="183">
        <f>ROUND(W9/1000,0)</f>
        <v>0</v>
      </c>
      <c r="F9" s="184">
        <f>E9-D9</f>
        <v>0</v>
      </c>
      <c r="G9" s="185">
        <f>IF(D9=0,0,F9/D9)</f>
        <v>0</v>
      </c>
      <c r="H9" s="39" t="s">
        <v>285</v>
      </c>
      <c r="I9" s="130"/>
      <c r="J9" s="40"/>
      <c r="K9" s="40"/>
      <c r="L9" s="40"/>
      <c r="M9" s="40"/>
      <c r="N9" s="40"/>
      <c r="O9" s="41"/>
      <c r="P9" s="41" t="s">
        <v>269</v>
      </c>
      <c r="Q9" s="41"/>
      <c r="R9" s="41"/>
      <c r="S9" s="41"/>
      <c r="T9" s="41"/>
      <c r="U9" s="41"/>
      <c r="V9" s="42"/>
      <c r="W9" s="42">
        <f>W10</f>
        <v>0</v>
      </c>
      <c r="X9" s="43" t="s">
        <v>9</v>
      </c>
      <c r="Y9" s="6"/>
    </row>
    <row r="10" spans="1:24" ht="21" customHeight="1">
      <c r="A10" s="57" t="s">
        <v>57</v>
      </c>
      <c r="B10" s="58" t="s">
        <v>57</v>
      </c>
      <c r="C10" s="58" t="s">
        <v>57</v>
      </c>
      <c r="D10" s="47"/>
      <c r="E10" s="47"/>
      <c r="F10" s="48"/>
      <c r="G10" s="30"/>
      <c r="H10" s="52"/>
      <c r="I10" s="53"/>
      <c r="J10" s="54"/>
      <c r="K10" s="54"/>
      <c r="L10" s="50"/>
      <c r="M10" s="50"/>
      <c r="N10" s="49"/>
      <c r="O10" s="50"/>
      <c r="P10" s="50"/>
      <c r="Q10" s="49"/>
      <c r="R10" s="55"/>
      <c r="S10" s="90"/>
      <c r="T10" s="90"/>
      <c r="U10" s="90"/>
      <c r="V10" s="50"/>
      <c r="W10" s="50"/>
      <c r="X10" s="56"/>
    </row>
    <row r="11" spans="1:24" ht="21" customHeight="1">
      <c r="A11" s="34" t="s">
        <v>41</v>
      </c>
      <c r="B11" s="35" t="s">
        <v>41</v>
      </c>
      <c r="C11" s="35" t="s">
        <v>41</v>
      </c>
      <c r="D11" s="183">
        <v>0</v>
      </c>
      <c r="E11" s="183">
        <f>ROUND(W11/1000,0)</f>
        <v>0</v>
      </c>
      <c r="F11" s="184">
        <f>E11-D11</f>
        <v>0</v>
      </c>
      <c r="G11" s="185">
        <f>IF(D11=0,0,F11/D11)</f>
        <v>0</v>
      </c>
      <c r="H11" s="39" t="s">
        <v>137</v>
      </c>
      <c r="I11" s="130"/>
      <c r="J11" s="40"/>
      <c r="K11" s="40"/>
      <c r="L11" s="40"/>
      <c r="M11" s="40"/>
      <c r="N11" s="40"/>
      <c r="O11" s="41"/>
      <c r="P11" s="41" t="s">
        <v>269</v>
      </c>
      <c r="Q11" s="41"/>
      <c r="R11" s="41"/>
      <c r="S11" s="41"/>
      <c r="T11" s="41"/>
      <c r="U11" s="41"/>
      <c r="V11" s="42"/>
      <c r="W11" s="42">
        <f>W12</f>
        <v>0</v>
      </c>
      <c r="X11" s="43" t="s">
        <v>9</v>
      </c>
    </row>
    <row r="12" spans="1:24" ht="21" customHeight="1">
      <c r="A12" s="57" t="s">
        <v>57</v>
      </c>
      <c r="B12" s="58" t="s">
        <v>57</v>
      </c>
      <c r="C12" s="58" t="s">
        <v>57</v>
      </c>
      <c r="D12" s="191">
        <v>0</v>
      </c>
      <c r="E12" s="60">
        <v>0</v>
      </c>
      <c r="F12" s="192"/>
      <c r="G12" s="193"/>
      <c r="H12" s="194"/>
      <c r="I12" s="195"/>
      <c r="J12" s="196"/>
      <c r="K12" s="196"/>
      <c r="L12" s="196"/>
      <c r="M12" s="196"/>
      <c r="N12" s="196"/>
      <c r="O12" s="197"/>
      <c r="P12" s="197"/>
      <c r="Q12" s="197"/>
      <c r="R12" s="197"/>
      <c r="S12" s="197"/>
      <c r="T12" s="197"/>
      <c r="U12" s="197"/>
      <c r="V12" s="198"/>
      <c r="W12" s="198"/>
      <c r="X12" s="229"/>
    </row>
    <row r="13" spans="1:25" s="11" customFormat="1" ht="19.5" customHeight="1">
      <c r="A13" s="34" t="s">
        <v>47</v>
      </c>
      <c r="B13" s="35" t="s">
        <v>47</v>
      </c>
      <c r="C13" s="306" t="s">
        <v>224</v>
      </c>
      <c r="D13" s="212">
        <v>54869</v>
      </c>
      <c r="E13" s="212">
        <f>SUM(E14,E17,E23,E26)</f>
        <v>54824</v>
      </c>
      <c r="F13" s="213">
        <f>E13-D13</f>
        <v>-45</v>
      </c>
      <c r="G13" s="214">
        <f>IF(D13=0,0,F13/D13)</f>
        <v>-0.000820135231187009</v>
      </c>
      <c r="H13" s="215" t="s">
        <v>113</v>
      </c>
      <c r="I13" s="216"/>
      <c r="J13" s="217"/>
      <c r="K13" s="217"/>
      <c r="L13" s="216"/>
      <c r="M13" s="216"/>
      <c r="N13" s="216"/>
      <c r="O13" s="216"/>
      <c r="P13" s="216"/>
      <c r="Q13" s="218"/>
      <c r="R13" s="218"/>
      <c r="S13" s="218"/>
      <c r="T13" s="218"/>
      <c r="U13" s="218"/>
      <c r="V13" s="218"/>
      <c r="W13" s="219">
        <f>SUM(W14,W17,W23,W26)</f>
        <v>54824000</v>
      </c>
      <c r="X13" s="230" t="s">
        <v>9</v>
      </c>
      <c r="Y13" s="6"/>
    </row>
    <row r="14" spans="1:25" s="11" customFormat="1" ht="19.5" customHeight="1">
      <c r="A14" s="44" t="s">
        <v>231</v>
      </c>
      <c r="B14" s="45" t="s">
        <v>57</v>
      </c>
      <c r="C14" s="35" t="s">
        <v>31</v>
      </c>
      <c r="D14" s="186">
        <v>0</v>
      </c>
      <c r="E14" s="186">
        <v>0</v>
      </c>
      <c r="F14" s="187">
        <f>E14-D14</f>
        <v>0</v>
      </c>
      <c r="G14" s="188">
        <f>IF(D14=0,0,F14/D14)</f>
        <v>0</v>
      </c>
      <c r="H14" s="175" t="s">
        <v>183</v>
      </c>
      <c r="I14" s="176"/>
      <c r="J14" s="177"/>
      <c r="K14" s="177"/>
      <c r="L14" s="177"/>
      <c r="M14" s="177"/>
      <c r="N14" s="177"/>
      <c r="O14" s="178"/>
      <c r="P14" s="178"/>
      <c r="Q14" s="178"/>
      <c r="R14" s="178"/>
      <c r="S14" s="178"/>
      <c r="T14" s="178"/>
      <c r="U14" s="199" t="s">
        <v>249</v>
      </c>
      <c r="V14" s="200"/>
      <c r="W14" s="201">
        <v>0</v>
      </c>
      <c r="X14" s="231" t="s">
        <v>9</v>
      </c>
      <c r="Y14" s="6"/>
    </row>
    <row r="15" spans="1:25" s="11" customFormat="1" ht="19.5" customHeight="1">
      <c r="A15" s="44"/>
      <c r="B15" s="45"/>
      <c r="C15" s="45" t="s">
        <v>47</v>
      </c>
      <c r="D15" s="307"/>
      <c r="E15" s="307"/>
      <c r="F15" s="308"/>
      <c r="G15" s="309"/>
      <c r="H15" s="310"/>
      <c r="I15" s="311"/>
      <c r="J15" s="312"/>
      <c r="K15" s="312"/>
      <c r="L15" s="312"/>
      <c r="M15" s="312"/>
      <c r="N15" s="312"/>
      <c r="O15" s="313"/>
      <c r="P15" s="313"/>
      <c r="Q15" s="313"/>
      <c r="R15" s="313"/>
      <c r="S15" s="313"/>
      <c r="T15" s="313"/>
      <c r="U15" s="314"/>
      <c r="V15" s="315"/>
      <c r="W15" s="315"/>
      <c r="X15" s="316"/>
      <c r="Y15" s="6"/>
    </row>
    <row r="16" spans="1:25" s="11" customFormat="1" ht="19.5" customHeight="1">
      <c r="A16" s="59"/>
      <c r="B16" s="45"/>
      <c r="C16" s="45"/>
      <c r="D16" s="60"/>
      <c r="E16" s="60"/>
      <c r="F16" s="61"/>
      <c r="G16" s="83"/>
      <c r="H16" s="70"/>
      <c r="I16" s="71"/>
      <c r="J16" s="268"/>
      <c r="K16" s="268"/>
      <c r="L16" s="79"/>
      <c r="M16" s="79"/>
      <c r="N16" s="269"/>
      <c r="O16" s="79"/>
      <c r="P16" s="122"/>
      <c r="Q16" s="270"/>
      <c r="R16" s="271"/>
      <c r="S16" s="172"/>
      <c r="T16" s="172"/>
      <c r="U16" s="272"/>
      <c r="V16" s="80"/>
      <c r="W16" s="71"/>
      <c r="X16" s="72"/>
      <c r="Y16" s="6"/>
    </row>
    <row r="17" spans="1:25" s="11" customFormat="1" ht="19.5" customHeight="1">
      <c r="A17" s="59"/>
      <c r="B17" s="45"/>
      <c r="C17" s="35" t="s">
        <v>43</v>
      </c>
      <c r="D17" s="186">
        <v>54869</v>
      </c>
      <c r="E17" s="186">
        <f>SUM(E18:E22)</f>
        <v>54824</v>
      </c>
      <c r="F17" s="187">
        <f>E17-D17</f>
        <v>-45</v>
      </c>
      <c r="G17" s="188">
        <f>IF(D17=0,0,F17/D17)</f>
        <v>-0.000820135231187009</v>
      </c>
      <c r="H17" s="175" t="s">
        <v>199</v>
      </c>
      <c r="I17" s="176"/>
      <c r="J17" s="177"/>
      <c r="K17" s="177"/>
      <c r="L17" s="177"/>
      <c r="M17" s="177"/>
      <c r="N17" s="177"/>
      <c r="O17" s="178"/>
      <c r="P17" s="178"/>
      <c r="Q17" s="178"/>
      <c r="R17" s="178"/>
      <c r="S17" s="178"/>
      <c r="T17" s="178"/>
      <c r="U17" s="199" t="s">
        <v>249</v>
      </c>
      <c r="V17" s="200"/>
      <c r="W17" s="200">
        <f>W18</f>
        <v>54824000</v>
      </c>
      <c r="X17" s="231" t="s">
        <v>9</v>
      </c>
      <c r="Y17" s="6"/>
    </row>
    <row r="18" spans="1:25" s="11" customFormat="1" ht="19.5" customHeight="1">
      <c r="A18" s="59"/>
      <c r="B18" s="45"/>
      <c r="C18" s="45" t="s">
        <v>47</v>
      </c>
      <c r="D18" s="36">
        <v>54869</v>
      </c>
      <c r="E18" s="36">
        <f>ROUND(W18/1000,0)</f>
        <v>54824</v>
      </c>
      <c r="F18" s="37">
        <f>E18-D18</f>
        <v>-45</v>
      </c>
      <c r="G18" s="119">
        <f>IF(D18=0,0,F18/D18)</f>
        <v>-0.000820135231187009</v>
      </c>
      <c r="H18" s="207" t="s">
        <v>261</v>
      </c>
      <c r="I18" s="206"/>
      <c r="J18" s="211"/>
      <c r="K18" s="211"/>
      <c r="L18" s="87"/>
      <c r="M18" s="87"/>
      <c r="N18" s="202"/>
      <c r="O18" s="87"/>
      <c r="P18" s="203"/>
      <c r="Q18" s="204"/>
      <c r="R18" s="205"/>
      <c r="S18" s="210"/>
      <c r="T18" s="210"/>
      <c r="U18" s="208" t="s">
        <v>49</v>
      </c>
      <c r="V18" s="209"/>
      <c r="W18" s="209">
        <f>SUM(W19:W21)</f>
        <v>54824000</v>
      </c>
      <c r="X18" s="232" t="s">
        <v>9</v>
      </c>
      <c r="Y18" s="6"/>
    </row>
    <row r="19" spans="1:25" s="11" customFormat="1" ht="19.5" customHeight="1">
      <c r="A19" s="59"/>
      <c r="B19" s="45"/>
      <c r="C19" s="45"/>
      <c r="D19" s="47"/>
      <c r="E19" s="47"/>
      <c r="F19" s="48"/>
      <c r="G19" s="69"/>
      <c r="H19" s="367" t="s">
        <v>161</v>
      </c>
      <c r="I19" s="360"/>
      <c r="J19" s="361"/>
      <c r="K19" s="361"/>
      <c r="L19" s="356"/>
      <c r="M19" s="356"/>
      <c r="N19" s="362"/>
      <c r="O19" s="363"/>
      <c r="P19" s="364"/>
      <c r="Q19" s="358"/>
      <c r="R19" s="365"/>
      <c r="S19" s="359"/>
      <c r="T19" s="357"/>
      <c r="U19" s="437"/>
      <c r="V19" s="437"/>
      <c r="W19" s="377">
        <v>43768000</v>
      </c>
      <c r="X19" s="378" t="s">
        <v>9</v>
      </c>
      <c r="Y19" s="6"/>
    </row>
    <row r="20" spans="1:25" s="11" customFormat="1" ht="19.5" customHeight="1">
      <c r="A20" s="59"/>
      <c r="B20" s="45"/>
      <c r="C20" s="45"/>
      <c r="D20" s="47"/>
      <c r="E20" s="47"/>
      <c r="F20" s="48"/>
      <c r="G20" s="69"/>
      <c r="H20" s="49" t="s">
        <v>160</v>
      </c>
      <c r="I20" s="67"/>
      <c r="J20" s="338"/>
      <c r="K20" s="338"/>
      <c r="L20" s="50">
        <v>2264000</v>
      </c>
      <c r="M20" s="50" t="s">
        <v>9</v>
      </c>
      <c r="N20" s="339" t="s">
        <v>13</v>
      </c>
      <c r="O20" s="340">
        <v>4</v>
      </c>
      <c r="P20" s="53" t="s">
        <v>26</v>
      </c>
      <c r="Q20" s="73"/>
      <c r="R20" s="341"/>
      <c r="S20" s="75"/>
      <c r="T20" s="90" t="s">
        <v>6</v>
      </c>
      <c r="U20" s="342"/>
      <c r="V20" s="49"/>
      <c r="W20" s="67">
        <f>L20*O20</f>
        <v>9056000</v>
      </c>
      <c r="X20" s="56" t="s">
        <v>9</v>
      </c>
      <c r="Y20" s="6"/>
    </row>
    <row r="21" spans="1:25" s="11" customFormat="1" ht="19.5" customHeight="1">
      <c r="A21" s="59"/>
      <c r="B21" s="45"/>
      <c r="C21" s="45"/>
      <c r="D21" s="47"/>
      <c r="E21" s="47"/>
      <c r="F21" s="48"/>
      <c r="G21" s="69"/>
      <c r="H21" s="66" t="s">
        <v>195</v>
      </c>
      <c r="I21" s="67"/>
      <c r="J21" s="338"/>
      <c r="K21" s="338"/>
      <c r="L21" s="50"/>
      <c r="M21" s="50"/>
      <c r="N21" s="339"/>
      <c r="O21" s="340"/>
      <c r="P21" s="53"/>
      <c r="Q21" s="73"/>
      <c r="R21" s="341"/>
      <c r="S21" s="75"/>
      <c r="T21" s="90"/>
      <c r="U21" s="436"/>
      <c r="V21" s="436"/>
      <c r="W21" s="67">
        <v>2000000</v>
      </c>
      <c r="X21" s="56" t="s">
        <v>9</v>
      </c>
      <c r="Y21" s="6"/>
    </row>
    <row r="22" spans="1:25" s="11" customFormat="1" ht="19.5" customHeight="1">
      <c r="A22" s="59"/>
      <c r="B22" s="81"/>
      <c r="C22" s="82"/>
      <c r="D22" s="60"/>
      <c r="E22" s="60"/>
      <c r="F22" s="61"/>
      <c r="G22" s="83"/>
      <c r="H22" s="80"/>
      <c r="I22" s="79"/>
      <c r="J22" s="84"/>
      <c r="K22" s="84"/>
      <c r="L22" s="79"/>
      <c r="M22" s="79"/>
      <c r="N22" s="80"/>
      <c r="O22" s="79"/>
      <c r="P22" s="79"/>
      <c r="Q22" s="80"/>
      <c r="R22" s="80"/>
      <c r="S22" s="80"/>
      <c r="T22" s="80"/>
      <c r="U22" s="80"/>
      <c r="V22" s="80"/>
      <c r="W22" s="79"/>
      <c r="X22" s="72"/>
      <c r="Y22" s="6"/>
    </row>
    <row r="23" spans="1:25" s="11" customFormat="1" ht="19.5" customHeight="1">
      <c r="A23" s="44"/>
      <c r="B23" s="45"/>
      <c r="C23" s="45" t="s">
        <v>68</v>
      </c>
      <c r="D23" s="186">
        <v>0</v>
      </c>
      <c r="E23" s="186">
        <f>W23/1000</f>
        <v>0</v>
      </c>
      <c r="F23" s="187">
        <f>E23-D23</f>
        <v>0</v>
      </c>
      <c r="G23" s="188">
        <f>IF(D23=0,0,F23/D23)</f>
        <v>0</v>
      </c>
      <c r="H23" s="175" t="s">
        <v>180</v>
      </c>
      <c r="I23" s="176"/>
      <c r="J23" s="177"/>
      <c r="K23" s="177"/>
      <c r="L23" s="177"/>
      <c r="M23" s="177"/>
      <c r="N23" s="177"/>
      <c r="O23" s="178"/>
      <c r="P23" s="178"/>
      <c r="Q23" s="178"/>
      <c r="R23" s="178"/>
      <c r="S23" s="178"/>
      <c r="T23" s="178"/>
      <c r="U23" s="199" t="s">
        <v>249</v>
      </c>
      <c r="V23" s="200"/>
      <c r="W23" s="201">
        <f>W24</f>
        <v>0</v>
      </c>
      <c r="X23" s="231" t="s">
        <v>9</v>
      </c>
      <c r="Y23" s="6"/>
    </row>
    <row r="24" spans="1:24" ht="21" customHeight="1">
      <c r="A24" s="44"/>
      <c r="B24" s="45"/>
      <c r="C24" s="45"/>
      <c r="D24" s="47">
        <v>0</v>
      </c>
      <c r="E24" s="47">
        <f>W24/1000</f>
        <v>0</v>
      </c>
      <c r="F24" s="37">
        <f>E24-D24</f>
        <v>0</v>
      </c>
      <c r="G24" s="119">
        <f>IF(D24=0,0,F24/D24)</f>
        <v>0</v>
      </c>
      <c r="H24" s="66" t="s">
        <v>143</v>
      </c>
      <c r="I24" s="49"/>
      <c r="J24" s="50"/>
      <c r="K24" s="50"/>
      <c r="L24" s="317"/>
      <c r="M24" s="68"/>
      <c r="N24" s="68"/>
      <c r="O24" s="318"/>
      <c r="P24" s="319"/>
      <c r="Q24" s="68"/>
      <c r="R24" s="320"/>
      <c r="S24" s="68"/>
      <c r="T24" s="68"/>
      <c r="U24" s="50"/>
      <c r="V24" s="67"/>
      <c r="W24" s="50"/>
      <c r="X24" s="56" t="s">
        <v>9</v>
      </c>
    </row>
    <row r="25" spans="1:24" ht="21" customHeight="1">
      <c r="A25" s="44"/>
      <c r="B25" s="45"/>
      <c r="C25" s="45"/>
      <c r="D25" s="47"/>
      <c r="E25" s="47"/>
      <c r="F25" s="48"/>
      <c r="G25" s="69"/>
      <c r="H25" s="66"/>
      <c r="I25" s="49"/>
      <c r="J25" s="50"/>
      <c r="K25" s="50"/>
      <c r="L25" s="50"/>
      <c r="M25" s="53"/>
      <c r="N25" s="73"/>
      <c r="O25" s="77"/>
      <c r="P25" s="73"/>
      <c r="Q25" s="73"/>
      <c r="R25" s="76"/>
      <c r="S25" s="75"/>
      <c r="T25" s="90"/>
      <c r="U25" s="50"/>
      <c r="V25" s="67"/>
      <c r="W25" s="67"/>
      <c r="X25" s="56"/>
    </row>
    <row r="26" spans="1:24" ht="21" customHeight="1">
      <c r="A26" s="44"/>
      <c r="B26" s="45"/>
      <c r="C26" s="35" t="s">
        <v>55</v>
      </c>
      <c r="D26" s="186">
        <v>0</v>
      </c>
      <c r="E26" s="186">
        <f>E27</f>
        <v>0</v>
      </c>
      <c r="F26" s="187">
        <f>E26-D26</f>
        <v>0</v>
      </c>
      <c r="G26" s="188">
        <f>IF(D26=0,0,F26/D26)</f>
        <v>0</v>
      </c>
      <c r="H26" s="175" t="s">
        <v>171</v>
      </c>
      <c r="I26" s="176"/>
      <c r="J26" s="177"/>
      <c r="K26" s="177"/>
      <c r="L26" s="177"/>
      <c r="M26" s="177"/>
      <c r="N26" s="177"/>
      <c r="O26" s="178"/>
      <c r="P26" s="178"/>
      <c r="Q26" s="178"/>
      <c r="R26" s="178"/>
      <c r="S26" s="178"/>
      <c r="T26" s="178"/>
      <c r="U26" s="199" t="s">
        <v>249</v>
      </c>
      <c r="V26" s="200"/>
      <c r="W26" s="200">
        <f>SUM(W27:W27)</f>
        <v>0</v>
      </c>
      <c r="X26" s="231" t="s">
        <v>9</v>
      </c>
    </row>
    <row r="27" spans="1:24" ht="21" customHeight="1">
      <c r="A27" s="44"/>
      <c r="B27" s="45"/>
      <c r="C27" s="45" t="s">
        <v>47</v>
      </c>
      <c r="D27" s="47">
        <v>0</v>
      </c>
      <c r="E27" s="47">
        <f>ROUND(W27/1000,0)</f>
        <v>0</v>
      </c>
      <c r="F27" s="37">
        <f>E27-D27</f>
        <v>0</v>
      </c>
      <c r="G27" s="119">
        <f>IF(D27=0,0,F27/D27)</f>
        <v>0</v>
      </c>
      <c r="H27" s="66"/>
      <c r="I27" s="49"/>
      <c r="J27" s="50"/>
      <c r="K27" s="50"/>
      <c r="L27" s="50"/>
      <c r="M27" s="50"/>
      <c r="N27" s="49"/>
      <c r="O27" s="50"/>
      <c r="P27" s="50"/>
      <c r="Q27" s="49"/>
      <c r="R27" s="50"/>
      <c r="S27" s="50"/>
      <c r="T27" s="50"/>
      <c r="U27" s="50"/>
      <c r="V27" s="67"/>
      <c r="W27" s="67"/>
      <c r="X27" s="56"/>
    </row>
    <row r="28" spans="1:24" ht="21" customHeight="1">
      <c r="A28" s="233"/>
      <c r="B28" s="82"/>
      <c r="C28" s="82"/>
      <c r="D28" s="60"/>
      <c r="E28" s="60"/>
      <c r="F28" s="61"/>
      <c r="G28" s="83"/>
      <c r="H28" s="70"/>
      <c r="I28" s="79"/>
      <c r="J28" s="84"/>
      <c r="K28" s="84"/>
      <c r="L28" s="85"/>
      <c r="M28" s="79"/>
      <c r="N28" s="84"/>
      <c r="O28" s="79"/>
      <c r="P28" s="79"/>
      <c r="Q28" s="79"/>
      <c r="R28" s="79"/>
      <c r="S28" s="79"/>
      <c r="T28" s="79"/>
      <c r="U28" s="79"/>
      <c r="V28" s="79"/>
      <c r="W28" s="79"/>
      <c r="X28" s="72"/>
    </row>
    <row r="29" spans="1:25" s="11" customFormat="1" ht="19.5" customHeight="1">
      <c r="A29" s="34" t="s">
        <v>23</v>
      </c>
      <c r="B29" s="35" t="s">
        <v>23</v>
      </c>
      <c r="C29" s="306" t="s">
        <v>224</v>
      </c>
      <c r="D29" s="212">
        <v>700</v>
      </c>
      <c r="E29" s="212">
        <f>SUM(E30,E36)</f>
        <v>400</v>
      </c>
      <c r="F29" s="213">
        <f>E29-D29</f>
        <v>-300</v>
      </c>
      <c r="G29" s="214">
        <f>IF(D29=0,0,F29/D29)</f>
        <v>-0.42857142857142855</v>
      </c>
      <c r="H29" s="215" t="s">
        <v>268</v>
      </c>
      <c r="I29" s="216"/>
      <c r="J29" s="217"/>
      <c r="K29" s="217"/>
      <c r="L29" s="216"/>
      <c r="M29" s="216"/>
      <c r="N29" s="216"/>
      <c r="O29" s="216"/>
      <c r="P29" s="216" t="s">
        <v>257</v>
      </c>
      <c r="Q29" s="218"/>
      <c r="R29" s="218"/>
      <c r="S29" s="218"/>
      <c r="T29" s="218"/>
      <c r="U29" s="218"/>
      <c r="V29" s="218"/>
      <c r="W29" s="219">
        <f>W30+W36</f>
        <v>400000</v>
      </c>
      <c r="X29" s="230" t="s">
        <v>9</v>
      </c>
      <c r="Y29" s="6"/>
    </row>
    <row r="30" spans="1:24" ht="21" customHeight="1">
      <c r="A30" s="44" t="s">
        <v>57</v>
      </c>
      <c r="B30" s="45" t="s">
        <v>57</v>
      </c>
      <c r="C30" s="35" t="s">
        <v>28</v>
      </c>
      <c r="D30" s="186">
        <v>200</v>
      </c>
      <c r="E30" s="186">
        <f>E31+E33</f>
        <v>0</v>
      </c>
      <c r="F30" s="187">
        <f>E30-D30</f>
        <v>-200</v>
      </c>
      <c r="G30" s="188">
        <v>1</v>
      </c>
      <c r="H30" s="175" t="s">
        <v>194</v>
      </c>
      <c r="I30" s="176"/>
      <c r="J30" s="177"/>
      <c r="K30" s="177"/>
      <c r="L30" s="177"/>
      <c r="M30" s="177"/>
      <c r="N30" s="177"/>
      <c r="O30" s="178"/>
      <c r="P30" s="178"/>
      <c r="Q30" s="178"/>
      <c r="R30" s="178"/>
      <c r="S30" s="178"/>
      <c r="T30" s="178"/>
      <c r="U30" s="199" t="s">
        <v>249</v>
      </c>
      <c r="V30" s="200"/>
      <c r="W30" s="201">
        <f>SUM(W31,W33)</f>
        <v>0</v>
      </c>
      <c r="X30" s="231" t="s">
        <v>9</v>
      </c>
    </row>
    <row r="31" spans="1:24" ht="21" customHeight="1">
      <c r="A31" s="44"/>
      <c r="B31" s="45"/>
      <c r="C31" s="45" t="s">
        <v>23</v>
      </c>
      <c r="D31" s="36">
        <v>0</v>
      </c>
      <c r="E31" s="47">
        <f>ROUND(W31/1000,0)</f>
        <v>0</v>
      </c>
      <c r="F31" s="37">
        <f>E31-D31</f>
        <v>0</v>
      </c>
      <c r="G31" s="119">
        <v>1</v>
      </c>
      <c r="H31" s="131" t="s">
        <v>283</v>
      </c>
      <c r="I31" s="13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430" t="s">
        <v>249</v>
      </c>
      <c r="V31" s="430"/>
      <c r="W31" s="133">
        <f>SUM(W32:W32)</f>
        <v>0</v>
      </c>
      <c r="X31" s="134" t="s">
        <v>9</v>
      </c>
    </row>
    <row r="32" spans="1:24" ht="21.75" customHeight="1">
      <c r="A32" s="44"/>
      <c r="B32" s="45"/>
      <c r="C32" s="45"/>
      <c r="D32" s="47"/>
      <c r="E32" s="60"/>
      <c r="F32" s="48"/>
      <c r="G32" s="30"/>
      <c r="H32" s="66"/>
      <c r="I32" s="49"/>
      <c r="J32" s="50"/>
      <c r="K32" s="50"/>
      <c r="L32" s="50"/>
      <c r="M32" s="90"/>
      <c r="N32" s="73"/>
      <c r="O32" s="68"/>
      <c r="P32" s="73"/>
      <c r="Q32" s="78"/>
      <c r="R32" s="75"/>
      <c r="S32" s="75"/>
      <c r="T32" s="90"/>
      <c r="U32" s="50"/>
      <c r="V32" s="67"/>
      <c r="W32" s="67"/>
      <c r="X32" s="56"/>
    </row>
    <row r="33" spans="1:24" ht="18" customHeight="1">
      <c r="A33" s="44"/>
      <c r="B33" s="45"/>
      <c r="C33" s="45"/>
      <c r="D33" s="36">
        <v>200</v>
      </c>
      <c r="E33" s="47">
        <f>ROUND(W33/1000,0)</f>
        <v>0</v>
      </c>
      <c r="F33" s="37">
        <f>E33-D33</f>
        <v>-200</v>
      </c>
      <c r="G33" s="38">
        <f>IF(D33=0,0,F33/D33)</f>
        <v>-1</v>
      </c>
      <c r="H33" s="131" t="s">
        <v>283</v>
      </c>
      <c r="I33" s="13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430" t="s">
        <v>249</v>
      </c>
      <c r="V33" s="430"/>
      <c r="W33" s="133">
        <f>W34</f>
        <v>0</v>
      </c>
      <c r="X33" s="134" t="s">
        <v>9</v>
      </c>
    </row>
    <row r="34" spans="1:24" ht="18" customHeight="1">
      <c r="A34" s="44"/>
      <c r="B34" s="45"/>
      <c r="C34" s="45"/>
      <c r="D34" s="47"/>
      <c r="E34" s="47"/>
      <c r="F34" s="48"/>
      <c r="G34" s="30"/>
      <c r="H34" s="66" t="s">
        <v>124</v>
      </c>
      <c r="I34" s="49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90"/>
      <c r="V34" s="90"/>
      <c r="W34" s="67"/>
      <c r="X34" s="56" t="s">
        <v>9</v>
      </c>
    </row>
    <row r="35" spans="1:24" ht="18" customHeight="1">
      <c r="A35" s="44"/>
      <c r="B35" s="45"/>
      <c r="C35" s="58"/>
      <c r="D35" s="60"/>
      <c r="E35" s="60"/>
      <c r="F35" s="61"/>
      <c r="G35" s="174"/>
      <c r="H35" s="66"/>
      <c r="I35" s="49"/>
      <c r="J35" s="50"/>
      <c r="K35" s="50"/>
      <c r="L35" s="50"/>
      <c r="M35" s="90"/>
      <c r="N35" s="73"/>
      <c r="O35" s="68"/>
      <c r="P35" s="73"/>
      <c r="Q35" s="78"/>
      <c r="R35" s="75"/>
      <c r="S35" s="75"/>
      <c r="T35" s="90"/>
      <c r="U35" s="50"/>
      <c r="V35" s="67"/>
      <c r="W35" s="67"/>
      <c r="X35" s="56"/>
    </row>
    <row r="36" spans="1:24" ht="18" customHeight="1">
      <c r="A36" s="44"/>
      <c r="B36" s="45"/>
      <c r="C36" s="45" t="s">
        <v>62</v>
      </c>
      <c r="D36" s="186">
        <v>500</v>
      </c>
      <c r="E36" s="186">
        <f>E37</f>
        <v>400</v>
      </c>
      <c r="F36" s="187">
        <f>E36-D36</f>
        <v>-100</v>
      </c>
      <c r="G36" s="188">
        <f>IF(D36=0,0,F36/D36)</f>
        <v>-0.2</v>
      </c>
      <c r="H36" s="175" t="s">
        <v>201</v>
      </c>
      <c r="I36" s="176"/>
      <c r="J36" s="177"/>
      <c r="K36" s="177"/>
      <c r="L36" s="177"/>
      <c r="M36" s="177"/>
      <c r="N36" s="177"/>
      <c r="O36" s="178"/>
      <c r="P36" s="178"/>
      <c r="Q36" s="178"/>
      <c r="R36" s="178"/>
      <c r="S36" s="178"/>
      <c r="T36" s="178"/>
      <c r="U36" s="199" t="s">
        <v>249</v>
      </c>
      <c r="V36" s="200"/>
      <c r="W36" s="200">
        <f>W37</f>
        <v>400000</v>
      </c>
      <c r="X36" s="231" t="s">
        <v>9</v>
      </c>
    </row>
    <row r="37" spans="1:24" ht="25.5" customHeight="1">
      <c r="A37" s="44"/>
      <c r="B37" s="45"/>
      <c r="C37" s="45" t="s">
        <v>23</v>
      </c>
      <c r="D37" s="47">
        <v>500</v>
      </c>
      <c r="E37" s="47">
        <f>ROUND(W37/1000,0)</f>
        <v>400</v>
      </c>
      <c r="F37" s="37">
        <f>E37-D37</f>
        <v>-100</v>
      </c>
      <c r="G37" s="119">
        <f>IF(D37=0,0,F37/D37)</f>
        <v>-0.2</v>
      </c>
      <c r="H37" s="131" t="s">
        <v>146</v>
      </c>
      <c r="I37" s="13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430" t="s">
        <v>249</v>
      </c>
      <c r="V37" s="430"/>
      <c r="W37" s="133">
        <f>SUM(W38:W38)</f>
        <v>400000</v>
      </c>
      <c r="X37" s="134" t="s">
        <v>9</v>
      </c>
    </row>
    <row r="38" spans="1:24" ht="21" customHeight="1">
      <c r="A38" s="44"/>
      <c r="B38" s="45"/>
      <c r="C38" s="45"/>
      <c r="D38" s="47"/>
      <c r="E38" s="47"/>
      <c r="F38" s="48"/>
      <c r="G38" s="69"/>
      <c r="H38" s="66" t="s">
        <v>99</v>
      </c>
      <c r="I38" s="49"/>
      <c r="J38" s="50"/>
      <c r="K38" s="50"/>
      <c r="L38" s="50"/>
      <c r="M38" s="90"/>
      <c r="N38" s="73"/>
      <c r="O38" s="68"/>
      <c r="P38" s="73"/>
      <c r="Q38" s="78"/>
      <c r="R38" s="75"/>
      <c r="S38" s="75"/>
      <c r="T38" s="90"/>
      <c r="U38" s="50"/>
      <c r="V38" s="67"/>
      <c r="W38" s="67">
        <v>400000</v>
      </c>
      <c r="X38" s="56" t="s">
        <v>9</v>
      </c>
    </row>
    <row r="39" spans="1:24" ht="21" customHeight="1">
      <c r="A39" s="57"/>
      <c r="B39" s="58"/>
      <c r="C39" s="58"/>
      <c r="D39" s="60"/>
      <c r="E39" s="60"/>
      <c r="F39" s="61"/>
      <c r="G39" s="174"/>
      <c r="H39" s="70"/>
      <c r="I39" s="80"/>
      <c r="J39" s="79"/>
      <c r="K39" s="79"/>
      <c r="L39" s="79"/>
      <c r="M39" s="172"/>
      <c r="N39" s="179"/>
      <c r="O39" s="180"/>
      <c r="P39" s="179"/>
      <c r="Q39" s="181"/>
      <c r="R39" s="182"/>
      <c r="S39" s="182"/>
      <c r="T39" s="172"/>
      <c r="U39" s="79"/>
      <c r="V39" s="71"/>
      <c r="W39" s="71"/>
      <c r="X39" s="72"/>
    </row>
    <row r="40" spans="1:24" ht="21" customHeight="1">
      <c r="A40" s="34" t="s">
        <v>66</v>
      </c>
      <c r="B40" s="35" t="s">
        <v>66</v>
      </c>
      <c r="C40" s="306" t="s">
        <v>224</v>
      </c>
      <c r="D40" s="212">
        <v>0</v>
      </c>
      <c r="E40" s="212">
        <f>E41+E44</f>
        <v>0</v>
      </c>
      <c r="F40" s="213">
        <f>E40-D40</f>
        <v>0</v>
      </c>
      <c r="G40" s="214">
        <f>IF(D40=0,0,F40/D40)</f>
        <v>0</v>
      </c>
      <c r="H40" s="215" t="s">
        <v>290</v>
      </c>
      <c r="I40" s="216"/>
      <c r="J40" s="217"/>
      <c r="K40" s="217"/>
      <c r="L40" s="216"/>
      <c r="M40" s="216"/>
      <c r="N40" s="216"/>
      <c r="O40" s="216"/>
      <c r="P40" s="216" t="s">
        <v>257</v>
      </c>
      <c r="Q40" s="218"/>
      <c r="R40" s="218"/>
      <c r="S40" s="218"/>
      <c r="T40" s="218"/>
      <c r="U40" s="218"/>
      <c r="V40" s="218"/>
      <c r="W40" s="219">
        <f>W41+W44</f>
        <v>0</v>
      </c>
      <c r="X40" s="230" t="s">
        <v>9</v>
      </c>
    </row>
    <row r="41" spans="1:24" ht="21" customHeight="1">
      <c r="A41" s="44"/>
      <c r="B41" s="45"/>
      <c r="C41" s="35" t="s">
        <v>59</v>
      </c>
      <c r="D41" s="186">
        <v>0</v>
      </c>
      <c r="E41" s="186">
        <f>E42</f>
        <v>0</v>
      </c>
      <c r="F41" s="187">
        <f>E41-D41</f>
        <v>0</v>
      </c>
      <c r="G41" s="188">
        <f>IF(D41=0,0,F41/D41)</f>
        <v>0</v>
      </c>
      <c r="H41" s="175" t="s">
        <v>106</v>
      </c>
      <c r="I41" s="176"/>
      <c r="J41" s="177"/>
      <c r="K41" s="177"/>
      <c r="L41" s="177"/>
      <c r="M41" s="177"/>
      <c r="N41" s="177"/>
      <c r="O41" s="178"/>
      <c r="P41" s="178"/>
      <c r="Q41" s="178"/>
      <c r="R41" s="178"/>
      <c r="S41" s="178"/>
      <c r="T41" s="178"/>
      <c r="U41" s="199" t="s">
        <v>249</v>
      </c>
      <c r="V41" s="200"/>
      <c r="W41" s="201">
        <f>W42</f>
        <v>0</v>
      </c>
      <c r="X41" s="231" t="s">
        <v>9</v>
      </c>
    </row>
    <row r="42" spans="1:24" ht="21" customHeight="1">
      <c r="A42" s="44"/>
      <c r="B42" s="45"/>
      <c r="C42" s="45" t="s">
        <v>52</v>
      </c>
      <c r="D42" s="36">
        <v>0</v>
      </c>
      <c r="E42" s="47">
        <f>ROUND(W42/1000,0)</f>
        <v>0</v>
      </c>
      <c r="F42" s="37">
        <f>E42-D42</f>
        <v>0</v>
      </c>
      <c r="G42" s="38">
        <f>IF(D42=0,0,F42/D42)</f>
        <v>0</v>
      </c>
      <c r="H42" s="131" t="s">
        <v>106</v>
      </c>
      <c r="I42" s="13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430" t="s">
        <v>249</v>
      </c>
      <c r="V42" s="430"/>
      <c r="W42" s="133">
        <f>W43</f>
        <v>0</v>
      </c>
      <c r="X42" s="134" t="s">
        <v>9</v>
      </c>
    </row>
    <row r="43" spans="1:24" ht="21" customHeight="1">
      <c r="A43" s="44"/>
      <c r="B43" s="45"/>
      <c r="C43" s="45" t="s">
        <v>66</v>
      </c>
      <c r="D43" s="47"/>
      <c r="E43" s="47"/>
      <c r="F43" s="48"/>
      <c r="G43" s="30"/>
      <c r="H43" s="66"/>
      <c r="I43" s="49"/>
      <c r="J43" s="50"/>
      <c r="K43" s="50"/>
      <c r="L43" s="50"/>
      <c r="M43" s="90"/>
      <c r="N43" s="73"/>
      <c r="O43" s="68"/>
      <c r="P43" s="73"/>
      <c r="Q43" s="78"/>
      <c r="R43" s="75"/>
      <c r="S43" s="75"/>
      <c r="T43" s="90"/>
      <c r="U43" s="50"/>
      <c r="V43" s="67"/>
      <c r="W43" s="67"/>
      <c r="X43" s="56"/>
    </row>
    <row r="44" spans="1:24" ht="21" customHeight="1">
      <c r="A44" s="44"/>
      <c r="B44" s="45"/>
      <c r="C44" s="35" t="s">
        <v>55</v>
      </c>
      <c r="D44" s="186">
        <v>0</v>
      </c>
      <c r="E44" s="186">
        <f>E45</f>
        <v>0</v>
      </c>
      <c r="F44" s="187">
        <f>E44-D44</f>
        <v>0</v>
      </c>
      <c r="G44" s="188">
        <f>IF(D44=0,0,F44/D44)</f>
        <v>0</v>
      </c>
      <c r="H44" s="175" t="s">
        <v>118</v>
      </c>
      <c r="I44" s="176"/>
      <c r="J44" s="177"/>
      <c r="K44" s="177"/>
      <c r="L44" s="177"/>
      <c r="M44" s="177"/>
      <c r="N44" s="177"/>
      <c r="O44" s="178"/>
      <c r="P44" s="178"/>
      <c r="Q44" s="178"/>
      <c r="R44" s="178"/>
      <c r="S44" s="178"/>
      <c r="T44" s="178"/>
      <c r="U44" s="199" t="s">
        <v>249</v>
      </c>
      <c r="V44" s="200"/>
      <c r="W44" s="200">
        <f>W45</f>
        <v>0</v>
      </c>
      <c r="X44" s="231" t="s">
        <v>9</v>
      </c>
    </row>
    <row r="45" spans="1:24" ht="21" customHeight="1">
      <c r="A45" s="44"/>
      <c r="B45" s="45"/>
      <c r="C45" s="45" t="s">
        <v>66</v>
      </c>
      <c r="D45" s="47">
        <v>0</v>
      </c>
      <c r="E45" s="47">
        <f>ROUND(W45/1000,0)</f>
        <v>0</v>
      </c>
      <c r="F45" s="37">
        <f>E45-D45</f>
        <v>0</v>
      </c>
      <c r="G45" s="38">
        <f>IF(D45=0,0,F45/D45)</f>
        <v>0</v>
      </c>
      <c r="H45" s="66"/>
      <c r="I45" s="49"/>
      <c r="J45" s="50"/>
      <c r="K45" s="50"/>
      <c r="L45" s="50"/>
      <c r="M45" s="90"/>
      <c r="N45" s="73"/>
      <c r="O45" s="68"/>
      <c r="P45" s="73"/>
      <c r="Q45" s="78"/>
      <c r="R45" s="75"/>
      <c r="S45" s="75"/>
      <c r="T45" s="90"/>
      <c r="U45" s="50"/>
      <c r="V45" s="67"/>
      <c r="W45" s="133"/>
      <c r="X45" s="56"/>
    </row>
    <row r="46" spans="1:24" ht="21" customHeight="1">
      <c r="A46" s="34" t="s">
        <v>21</v>
      </c>
      <c r="B46" s="35" t="s">
        <v>21</v>
      </c>
      <c r="C46" s="306" t="s">
        <v>224</v>
      </c>
      <c r="D46" s="212">
        <v>0</v>
      </c>
      <c r="E46" s="212">
        <f>SUM(E47,E50)</f>
        <v>0</v>
      </c>
      <c r="F46" s="213">
        <f>E46-D46</f>
        <v>0</v>
      </c>
      <c r="G46" s="214">
        <f>IF(D46=0,0,F46/D46)</f>
        <v>0</v>
      </c>
      <c r="H46" s="215" t="s">
        <v>295</v>
      </c>
      <c r="I46" s="216"/>
      <c r="J46" s="217"/>
      <c r="K46" s="217"/>
      <c r="L46" s="216"/>
      <c r="M46" s="216"/>
      <c r="N46" s="216"/>
      <c r="O46" s="216"/>
      <c r="P46" s="216" t="s">
        <v>257</v>
      </c>
      <c r="Q46" s="218"/>
      <c r="R46" s="218"/>
      <c r="S46" s="218"/>
      <c r="T46" s="218"/>
      <c r="U46" s="218"/>
      <c r="V46" s="218"/>
      <c r="W46" s="219">
        <f>W48+W50</f>
        <v>0</v>
      </c>
      <c r="X46" s="230" t="s">
        <v>9</v>
      </c>
    </row>
    <row r="47" spans="1:26" ht="21" customHeight="1">
      <c r="A47" s="44"/>
      <c r="B47" s="45"/>
      <c r="C47" s="35" t="s">
        <v>46</v>
      </c>
      <c r="D47" s="186">
        <v>0</v>
      </c>
      <c r="E47" s="186">
        <f>E48</f>
        <v>0</v>
      </c>
      <c r="F47" s="187">
        <f>E47-D47</f>
        <v>0</v>
      </c>
      <c r="G47" s="188">
        <f>IF(D47=0,0,F47/D47)</f>
        <v>0</v>
      </c>
      <c r="H47" s="175" t="s">
        <v>107</v>
      </c>
      <c r="I47" s="176"/>
      <c r="J47" s="177"/>
      <c r="K47" s="177"/>
      <c r="L47" s="177"/>
      <c r="M47" s="177"/>
      <c r="N47" s="177"/>
      <c r="O47" s="178"/>
      <c r="P47" s="178"/>
      <c r="Q47" s="178"/>
      <c r="R47" s="178"/>
      <c r="S47" s="178"/>
      <c r="T47" s="178"/>
      <c r="U47" s="199" t="s">
        <v>249</v>
      </c>
      <c r="V47" s="200"/>
      <c r="W47" s="201">
        <f>SUM(W48:W48)</f>
        <v>0</v>
      </c>
      <c r="X47" s="231" t="s">
        <v>9</v>
      </c>
      <c r="Y47" s="23"/>
      <c r="Z47" s="21"/>
    </row>
    <row r="48" spans="1:26" ht="21" customHeight="1">
      <c r="A48" s="44"/>
      <c r="B48" s="45"/>
      <c r="C48" s="45" t="s">
        <v>21</v>
      </c>
      <c r="D48" s="36">
        <v>0</v>
      </c>
      <c r="E48" s="47">
        <f>ROUND(W48/1000,0)</f>
        <v>0</v>
      </c>
      <c r="F48" s="37">
        <f>E48-D48</f>
        <v>0</v>
      </c>
      <c r="G48" s="38">
        <f>IF(D48=0,0,F48/D48)</f>
        <v>0</v>
      </c>
      <c r="H48" s="381" t="s">
        <v>107</v>
      </c>
      <c r="I48" s="13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430" t="s">
        <v>249</v>
      </c>
      <c r="V48" s="430"/>
      <c r="W48" s="133">
        <v>0</v>
      </c>
      <c r="X48" s="134" t="s">
        <v>9</v>
      </c>
      <c r="Y48" s="23"/>
      <c r="Z48" s="21"/>
    </row>
    <row r="49" spans="1:26" ht="21" customHeight="1">
      <c r="A49" s="44"/>
      <c r="B49" s="45"/>
      <c r="C49" s="45"/>
      <c r="D49" s="47"/>
      <c r="E49" s="47"/>
      <c r="F49" s="48"/>
      <c r="G49" s="30"/>
      <c r="H49" s="66"/>
      <c r="I49" s="49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90"/>
      <c r="V49" s="90"/>
      <c r="W49" s="67"/>
      <c r="X49" s="56"/>
      <c r="Y49" s="23"/>
      <c r="Z49" s="21"/>
    </row>
    <row r="50" spans="1:26" ht="21" customHeight="1">
      <c r="A50" s="44"/>
      <c r="B50" s="45"/>
      <c r="C50" s="35" t="s">
        <v>48</v>
      </c>
      <c r="D50" s="186">
        <v>0</v>
      </c>
      <c r="E50" s="186">
        <f>E51</f>
        <v>0</v>
      </c>
      <c r="F50" s="187">
        <f>E50-D50</f>
        <v>0</v>
      </c>
      <c r="G50" s="188">
        <f>IF(D50=0,0,F50/D50)</f>
        <v>0</v>
      </c>
      <c r="H50" s="175" t="s">
        <v>208</v>
      </c>
      <c r="I50" s="176"/>
      <c r="J50" s="177"/>
      <c r="K50" s="177"/>
      <c r="L50" s="177"/>
      <c r="M50" s="177"/>
      <c r="N50" s="177"/>
      <c r="O50" s="178"/>
      <c r="P50" s="178"/>
      <c r="Q50" s="178"/>
      <c r="R50" s="178"/>
      <c r="S50" s="178"/>
      <c r="T50" s="178"/>
      <c r="U50" s="199" t="s">
        <v>249</v>
      </c>
      <c r="V50" s="200"/>
      <c r="W50" s="200">
        <f>SUM(W51:W51)</f>
        <v>0</v>
      </c>
      <c r="X50" s="231" t="s">
        <v>9</v>
      </c>
      <c r="Y50" s="23"/>
      <c r="Z50" s="21"/>
    </row>
    <row r="51" spans="1:26" ht="21" customHeight="1">
      <c r="A51" s="44"/>
      <c r="B51" s="45"/>
      <c r="C51" s="45" t="s">
        <v>21</v>
      </c>
      <c r="D51" s="47">
        <v>0</v>
      </c>
      <c r="E51" s="47">
        <f>ROUND(W51/1000,0)</f>
        <v>0</v>
      </c>
      <c r="F51" s="37">
        <f>E51-D51</f>
        <v>0</v>
      </c>
      <c r="G51" s="38">
        <f>IF(D51=0,0,F51/D51)</f>
        <v>0</v>
      </c>
      <c r="H51" s="381" t="s">
        <v>208</v>
      </c>
      <c r="I51" s="137"/>
      <c r="J51" s="50"/>
      <c r="K51" s="50"/>
      <c r="L51" s="50"/>
      <c r="M51" s="90"/>
      <c r="N51" s="73"/>
      <c r="O51" s="68"/>
      <c r="P51" s="73"/>
      <c r="Q51" s="78"/>
      <c r="R51" s="75"/>
      <c r="S51" s="75"/>
      <c r="T51" s="90"/>
      <c r="U51" s="430" t="s">
        <v>249</v>
      </c>
      <c r="V51" s="430"/>
      <c r="W51" s="133">
        <v>0</v>
      </c>
      <c r="X51" s="134" t="s">
        <v>9</v>
      </c>
      <c r="Y51" s="23"/>
      <c r="Z51" s="21"/>
    </row>
    <row r="52" spans="1:26" ht="21" customHeight="1">
      <c r="A52" s="44"/>
      <c r="B52" s="45"/>
      <c r="C52" s="45" t="s">
        <v>262</v>
      </c>
      <c r="D52" s="47"/>
      <c r="E52" s="47"/>
      <c r="F52" s="48"/>
      <c r="G52" s="30"/>
      <c r="H52" s="70"/>
      <c r="I52" s="80"/>
      <c r="J52" s="50"/>
      <c r="K52" s="50"/>
      <c r="L52" s="50"/>
      <c r="M52" s="90"/>
      <c r="N52" s="73"/>
      <c r="O52" s="68"/>
      <c r="P52" s="73"/>
      <c r="Q52" s="78"/>
      <c r="R52" s="75"/>
      <c r="S52" s="75"/>
      <c r="T52" s="90"/>
      <c r="U52" s="172"/>
      <c r="V52" s="172"/>
      <c r="W52" s="71"/>
      <c r="X52" s="72"/>
      <c r="Y52" s="23"/>
      <c r="Z52" s="21"/>
    </row>
    <row r="53" spans="1:24" ht="21" customHeight="1">
      <c r="A53" s="34" t="s">
        <v>19</v>
      </c>
      <c r="B53" s="35" t="s">
        <v>19</v>
      </c>
      <c r="C53" s="306" t="s">
        <v>224</v>
      </c>
      <c r="D53" s="212">
        <v>11285</v>
      </c>
      <c r="E53" s="212">
        <f>SUM(E54,E67,E71)</f>
        <v>11285</v>
      </c>
      <c r="F53" s="213">
        <f>E53-D53</f>
        <v>0</v>
      </c>
      <c r="G53" s="214">
        <f>IF(D53=0,0,F53/D53)</f>
        <v>0</v>
      </c>
      <c r="H53" s="215" t="s">
        <v>265</v>
      </c>
      <c r="I53" s="216"/>
      <c r="J53" s="217"/>
      <c r="K53" s="217"/>
      <c r="L53" s="216"/>
      <c r="M53" s="216"/>
      <c r="N53" s="216"/>
      <c r="O53" s="216"/>
      <c r="P53" s="216" t="s">
        <v>257</v>
      </c>
      <c r="Q53" s="218"/>
      <c r="R53" s="218"/>
      <c r="S53" s="218"/>
      <c r="T53" s="218"/>
      <c r="U53" s="218"/>
      <c r="V53" s="218"/>
      <c r="W53" s="219">
        <f>SUM(W54,W67,W71)</f>
        <v>11285000</v>
      </c>
      <c r="X53" s="230" t="s">
        <v>9</v>
      </c>
    </row>
    <row r="54" spans="1:24" ht="21" customHeight="1">
      <c r="A54" s="44"/>
      <c r="B54" s="45"/>
      <c r="C54" s="35" t="s">
        <v>64</v>
      </c>
      <c r="D54" s="186">
        <v>9817</v>
      </c>
      <c r="E54" s="186">
        <f>SUM(E55,E58,E61,E64)</f>
        <v>9817</v>
      </c>
      <c r="F54" s="187">
        <f>E54-D54</f>
        <v>0</v>
      </c>
      <c r="G54" s="188">
        <f>IF(D54=0,0,F54/D54)</f>
        <v>0</v>
      </c>
      <c r="H54" s="175" t="s">
        <v>122</v>
      </c>
      <c r="I54" s="176"/>
      <c r="J54" s="177"/>
      <c r="K54" s="177"/>
      <c r="L54" s="177"/>
      <c r="M54" s="177"/>
      <c r="N54" s="177"/>
      <c r="O54" s="178"/>
      <c r="P54" s="178"/>
      <c r="Q54" s="178"/>
      <c r="R54" s="178"/>
      <c r="S54" s="178"/>
      <c r="T54" s="178"/>
      <c r="U54" s="199" t="s">
        <v>249</v>
      </c>
      <c r="V54" s="200"/>
      <c r="W54" s="201">
        <f>SUM(W55,W58,W61,W64)</f>
        <v>9817000</v>
      </c>
      <c r="X54" s="231" t="s">
        <v>9</v>
      </c>
    </row>
    <row r="55" spans="1:24" ht="21" customHeight="1">
      <c r="A55" s="44"/>
      <c r="B55" s="45"/>
      <c r="C55" s="45" t="s">
        <v>19</v>
      </c>
      <c r="D55" s="36">
        <v>8410</v>
      </c>
      <c r="E55" s="47">
        <f>ROUND(W55/1000,0)</f>
        <v>8410</v>
      </c>
      <c r="F55" s="37">
        <f>E55-D55</f>
        <v>0</v>
      </c>
      <c r="G55" s="38">
        <f>IF(D55=0,0,F55/D55)</f>
        <v>0</v>
      </c>
      <c r="H55" s="131" t="s">
        <v>134</v>
      </c>
      <c r="I55" s="13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430" t="s">
        <v>249</v>
      </c>
      <c r="V55" s="430"/>
      <c r="W55" s="133">
        <f>ROUNDUP(SUM(V56:W57),-3)</f>
        <v>8410000</v>
      </c>
      <c r="X55" s="134" t="s">
        <v>9</v>
      </c>
    </row>
    <row r="56" spans="1:24" ht="21" customHeight="1">
      <c r="A56" s="44"/>
      <c r="B56" s="45"/>
      <c r="C56" s="45"/>
      <c r="D56" s="47"/>
      <c r="E56" s="47"/>
      <c r="F56" s="48"/>
      <c r="G56" s="30"/>
      <c r="H56" s="66" t="s">
        <v>125</v>
      </c>
      <c r="I56" s="49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90"/>
      <c r="V56" s="90"/>
      <c r="W56" s="67">
        <v>8409101</v>
      </c>
      <c r="X56" s="56" t="s">
        <v>9</v>
      </c>
    </row>
    <row r="57" spans="1:24" ht="21" customHeight="1">
      <c r="A57" s="44"/>
      <c r="B57" s="45"/>
      <c r="C57" s="45"/>
      <c r="D57" s="60"/>
      <c r="E57" s="60"/>
      <c r="F57" s="61"/>
      <c r="G57" s="174"/>
      <c r="H57" s="70"/>
      <c r="I57" s="80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172"/>
      <c r="V57" s="172"/>
      <c r="W57" s="71"/>
      <c r="X57" s="72"/>
    </row>
    <row r="58" spans="1:24" ht="21" customHeight="1">
      <c r="A58" s="44"/>
      <c r="B58" s="45"/>
      <c r="C58" s="45"/>
      <c r="D58" s="36">
        <v>0</v>
      </c>
      <c r="E58" s="47">
        <f>ROUND(W58/1000,0)</f>
        <v>0</v>
      </c>
      <c r="F58" s="37">
        <f>E58-D58</f>
        <v>0</v>
      </c>
      <c r="G58" s="38">
        <f>IF(D58=0,0,F58/D58)</f>
        <v>0</v>
      </c>
      <c r="H58" s="131" t="s">
        <v>116</v>
      </c>
      <c r="I58" s="13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430" t="s">
        <v>249</v>
      </c>
      <c r="V58" s="430"/>
      <c r="W58" s="133">
        <v>0</v>
      </c>
      <c r="X58" s="134" t="s">
        <v>9</v>
      </c>
    </row>
    <row r="59" spans="1:24" ht="21" customHeight="1">
      <c r="A59" s="44"/>
      <c r="B59" s="45"/>
      <c r="C59" s="45"/>
      <c r="D59" s="47"/>
      <c r="E59" s="47"/>
      <c r="F59" s="48"/>
      <c r="G59" s="30"/>
      <c r="H59" s="66" t="s">
        <v>191</v>
      </c>
      <c r="I59" s="49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90"/>
      <c r="V59" s="90"/>
      <c r="W59" s="67">
        <v>0</v>
      </c>
      <c r="X59" s="56" t="s">
        <v>9</v>
      </c>
    </row>
    <row r="60" spans="1:24" ht="21" customHeight="1">
      <c r="A60" s="44"/>
      <c r="B60" s="45"/>
      <c r="C60" s="45"/>
      <c r="D60" s="60"/>
      <c r="E60" s="60"/>
      <c r="F60" s="61"/>
      <c r="G60" s="174"/>
      <c r="H60" s="70"/>
      <c r="I60" s="80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172"/>
      <c r="V60" s="172"/>
      <c r="W60" s="71"/>
      <c r="X60" s="72"/>
    </row>
    <row r="61" spans="1:24" ht="21" customHeight="1">
      <c r="A61" s="44"/>
      <c r="B61" s="45"/>
      <c r="C61" s="45"/>
      <c r="D61" s="36">
        <v>346</v>
      </c>
      <c r="E61" s="36">
        <f>ROUND(W61/1000,0)</f>
        <v>346</v>
      </c>
      <c r="F61" s="37">
        <f>E61-D61</f>
        <v>0</v>
      </c>
      <c r="G61" s="38">
        <f>IF(D61=0,0,F61/D61)</f>
        <v>0</v>
      </c>
      <c r="H61" s="131" t="s">
        <v>120</v>
      </c>
      <c r="I61" s="13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430" t="s">
        <v>249</v>
      </c>
      <c r="V61" s="430"/>
      <c r="W61" s="133">
        <f>ROUNDUP(SUM(V62:W62),-3)</f>
        <v>346000</v>
      </c>
      <c r="X61" s="134" t="s">
        <v>9</v>
      </c>
    </row>
    <row r="62" spans="1:24" ht="21" customHeight="1">
      <c r="A62" s="44"/>
      <c r="B62" s="45"/>
      <c r="C62" s="45"/>
      <c r="D62" s="47"/>
      <c r="E62" s="47"/>
      <c r="F62" s="48"/>
      <c r="G62" s="30"/>
      <c r="H62" s="66" t="s">
        <v>123</v>
      </c>
      <c r="I62" s="49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90"/>
      <c r="V62" s="90"/>
      <c r="W62" s="67">
        <v>345770</v>
      </c>
      <c r="X62" s="56" t="s">
        <v>9</v>
      </c>
    </row>
    <row r="63" spans="1:24" ht="21" customHeight="1">
      <c r="A63" s="44"/>
      <c r="B63" s="45"/>
      <c r="C63" s="45"/>
      <c r="D63" s="60"/>
      <c r="E63" s="60"/>
      <c r="F63" s="61"/>
      <c r="G63" s="174"/>
      <c r="H63" s="70"/>
      <c r="I63" s="80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172"/>
      <c r="V63" s="172"/>
      <c r="W63" s="71"/>
      <c r="X63" s="72"/>
    </row>
    <row r="64" spans="1:24" ht="21" customHeight="1">
      <c r="A64" s="44"/>
      <c r="B64" s="45"/>
      <c r="C64" s="45"/>
      <c r="D64" s="47">
        <v>1061</v>
      </c>
      <c r="E64" s="36">
        <f>ROUND(W64/1000,0)</f>
        <v>1061</v>
      </c>
      <c r="F64" s="37">
        <f>E64-D64</f>
        <v>0</v>
      </c>
      <c r="G64" s="38">
        <f>IF(D64=0,0,F64/D64)</f>
        <v>0</v>
      </c>
      <c r="H64" s="131" t="s">
        <v>117</v>
      </c>
      <c r="I64" s="13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430" t="s">
        <v>249</v>
      </c>
      <c r="V64" s="430"/>
      <c r="W64" s="133">
        <f>ROUND(SUM(V65:W65),-3)</f>
        <v>1061000</v>
      </c>
      <c r="X64" s="134" t="s">
        <v>9</v>
      </c>
    </row>
    <row r="65" spans="1:24" ht="21" customHeight="1">
      <c r="A65" s="44"/>
      <c r="B65" s="45"/>
      <c r="C65" s="45"/>
      <c r="D65" s="47"/>
      <c r="E65" s="47"/>
      <c r="F65" s="48"/>
      <c r="G65" s="30"/>
      <c r="H65" s="66" t="s">
        <v>135</v>
      </c>
      <c r="I65" s="49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90"/>
      <c r="V65" s="90"/>
      <c r="W65" s="67">
        <v>1060899</v>
      </c>
      <c r="X65" s="56" t="s">
        <v>9</v>
      </c>
    </row>
    <row r="66" spans="1:24" ht="21" customHeight="1">
      <c r="A66" s="44"/>
      <c r="B66" s="45"/>
      <c r="C66" s="45"/>
      <c r="D66" s="47"/>
      <c r="E66" s="47"/>
      <c r="F66" s="48"/>
      <c r="G66" s="30"/>
      <c r="H66" s="66"/>
      <c r="I66" s="49"/>
      <c r="J66" s="50"/>
      <c r="K66" s="50"/>
      <c r="L66" s="50"/>
      <c r="M66" s="90"/>
      <c r="N66" s="73"/>
      <c r="O66" s="68"/>
      <c r="P66" s="73"/>
      <c r="Q66" s="78"/>
      <c r="R66" s="75"/>
      <c r="S66" s="75"/>
      <c r="T66" s="90"/>
      <c r="U66" s="50"/>
      <c r="V66" s="67"/>
      <c r="W66" s="67"/>
      <c r="X66" s="56"/>
    </row>
    <row r="67" spans="1:24" ht="21" customHeight="1">
      <c r="A67" s="44"/>
      <c r="B67" s="45"/>
      <c r="C67" s="35" t="s">
        <v>64</v>
      </c>
      <c r="D67" s="186">
        <v>1468</v>
      </c>
      <c r="E67" s="186">
        <f>E68</f>
        <v>1468</v>
      </c>
      <c r="F67" s="187">
        <f>E67-D67</f>
        <v>0</v>
      </c>
      <c r="G67" s="188">
        <f>IF(D67=0,0,F67/D67)</f>
        <v>0</v>
      </c>
      <c r="H67" s="175" t="s">
        <v>198</v>
      </c>
      <c r="I67" s="176"/>
      <c r="J67" s="177"/>
      <c r="K67" s="177"/>
      <c r="L67" s="177"/>
      <c r="M67" s="177"/>
      <c r="N67" s="177"/>
      <c r="O67" s="178"/>
      <c r="P67" s="178"/>
      <c r="Q67" s="178"/>
      <c r="R67" s="178"/>
      <c r="S67" s="178"/>
      <c r="T67" s="178"/>
      <c r="U67" s="199" t="s">
        <v>249</v>
      </c>
      <c r="V67" s="200"/>
      <c r="W67" s="200">
        <f>W68</f>
        <v>1468000</v>
      </c>
      <c r="X67" s="231" t="s">
        <v>9</v>
      </c>
    </row>
    <row r="68" spans="1:24" ht="21" customHeight="1">
      <c r="A68" s="44"/>
      <c r="B68" s="45"/>
      <c r="C68" s="45" t="s">
        <v>19</v>
      </c>
      <c r="D68" s="47">
        <v>1468</v>
      </c>
      <c r="E68" s="47">
        <f>ROUND(W68/1000,0)</f>
        <v>1468</v>
      </c>
      <c r="F68" s="37">
        <f>E68-D68</f>
        <v>0</v>
      </c>
      <c r="G68" s="38">
        <f>IF(D68=0,0,F68/D68)</f>
        <v>0</v>
      </c>
      <c r="H68" s="131" t="s">
        <v>119</v>
      </c>
      <c r="I68" s="13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430"/>
      <c r="V68" s="430"/>
      <c r="W68" s="133">
        <f>ROUNDUP(SUM(V69:W69),-3)</f>
        <v>1468000</v>
      </c>
      <c r="X68" s="134" t="s">
        <v>9</v>
      </c>
    </row>
    <row r="69" spans="1:24" ht="21" customHeight="1">
      <c r="A69" s="44"/>
      <c r="B69" s="45"/>
      <c r="C69" s="45" t="s">
        <v>262</v>
      </c>
      <c r="D69" s="47"/>
      <c r="E69" s="47"/>
      <c r="F69" s="48"/>
      <c r="G69" s="69"/>
      <c r="H69" s="66" t="s">
        <v>133</v>
      </c>
      <c r="I69" s="49"/>
      <c r="J69" s="50"/>
      <c r="K69" s="50"/>
      <c r="L69" s="50"/>
      <c r="M69" s="50"/>
      <c r="N69" s="50"/>
      <c r="O69" s="50"/>
      <c r="P69" s="53"/>
      <c r="Q69" s="53"/>
      <c r="R69" s="53"/>
      <c r="S69" s="50"/>
      <c r="T69" s="50"/>
      <c r="U69" s="50"/>
      <c r="V69" s="67"/>
      <c r="W69" s="67">
        <v>1467830</v>
      </c>
      <c r="X69" s="56" t="s">
        <v>9</v>
      </c>
    </row>
    <row r="70" spans="1:24" ht="21" customHeight="1">
      <c r="A70" s="44"/>
      <c r="B70" s="45"/>
      <c r="C70" s="45"/>
      <c r="D70" s="47"/>
      <c r="E70" s="47"/>
      <c r="F70" s="48"/>
      <c r="G70" s="69"/>
      <c r="H70" s="66"/>
      <c r="I70" s="49"/>
      <c r="J70" s="50"/>
      <c r="K70" s="50"/>
      <c r="L70" s="50"/>
      <c r="M70" s="50"/>
      <c r="N70" s="50"/>
      <c r="O70" s="50"/>
      <c r="P70" s="53"/>
      <c r="Q70" s="53"/>
      <c r="R70" s="53"/>
      <c r="S70" s="50"/>
      <c r="T70" s="50"/>
      <c r="U70" s="50"/>
      <c r="V70" s="67"/>
      <c r="W70" s="67"/>
      <c r="X70" s="56"/>
    </row>
    <row r="71" spans="1:24" ht="21" customHeight="1">
      <c r="A71" s="44"/>
      <c r="B71" s="45"/>
      <c r="C71" s="35" t="s">
        <v>65</v>
      </c>
      <c r="D71" s="186">
        <v>0</v>
      </c>
      <c r="E71" s="186">
        <f>E72</f>
        <v>0</v>
      </c>
      <c r="F71" s="187">
        <f>E71-D71</f>
        <v>0</v>
      </c>
      <c r="G71" s="188">
        <f>IF(D71=0,0,F71/D71)</f>
        <v>0</v>
      </c>
      <c r="H71" s="175" t="s">
        <v>110</v>
      </c>
      <c r="I71" s="176"/>
      <c r="J71" s="177"/>
      <c r="K71" s="177"/>
      <c r="L71" s="177"/>
      <c r="M71" s="177"/>
      <c r="N71" s="177"/>
      <c r="O71" s="178"/>
      <c r="P71" s="178"/>
      <c r="Q71" s="178"/>
      <c r="R71" s="178"/>
      <c r="S71" s="178"/>
      <c r="T71" s="178"/>
      <c r="U71" s="199" t="s">
        <v>249</v>
      </c>
      <c r="V71" s="200"/>
      <c r="W71" s="200">
        <f>ROUND(SUM(V72:W73),-3)</f>
        <v>0</v>
      </c>
      <c r="X71" s="231" t="s">
        <v>9</v>
      </c>
    </row>
    <row r="72" spans="1:24" ht="21" customHeight="1">
      <c r="A72" s="44"/>
      <c r="B72" s="45"/>
      <c r="C72" s="45" t="s">
        <v>22</v>
      </c>
      <c r="D72" s="47">
        <v>0</v>
      </c>
      <c r="E72" s="47">
        <f>ROUND(W72/1000,0)</f>
        <v>0</v>
      </c>
      <c r="F72" s="37">
        <f>E72-D72</f>
        <v>0</v>
      </c>
      <c r="G72" s="38">
        <f>IF(D72=0,0,F72/D72)</f>
        <v>0</v>
      </c>
      <c r="H72" s="66"/>
      <c r="I72" s="49"/>
      <c r="J72" s="50"/>
      <c r="K72" s="50"/>
      <c r="L72" s="50"/>
      <c r="M72" s="90"/>
      <c r="N72" s="73"/>
      <c r="O72" s="68"/>
      <c r="P72" s="73"/>
      <c r="Q72" s="78"/>
      <c r="R72" s="75"/>
      <c r="S72" s="75"/>
      <c r="T72" s="90"/>
      <c r="U72" s="50"/>
      <c r="V72" s="67"/>
      <c r="W72" s="67">
        <f>L72*O72</f>
        <v>0</v>
      </c>
      <c r="X72" s="56" t="s">
        <v>9</v>
      </c>
    </row>
    <row r="73" spans="1:24" ht="21" customHeight="1">
      <c r="A73" s="57"/>
      <c r="B73" s="58"/>
      <c r="C73" s="58"/>
      <c r="D73" s="60"/>
      <c r="E73" s="60"/>
      <c r="F73" s="61"/>
      <c r="G73" s="83"/>
      <c r="H73" s="70"/>
      <c r="I73" s="80"/>
      <c r="J73" s="79"/>
      <c r="K73" s="79"/>
      <c r="L73" s="79"/>
      <c r="M73" s="79"/>
      <c r="N73" s="79"/>
      <c r="O73" s="79"/>
      <c r="P73" s="122"/>
      <c r="Q73" s="122"/>
      <c r="R73" s="122"/>
      <c r="S73" s="79"/>
      <c r="T73" s="79"/>
      <c r="U73" s="79"/>
      <c r="V73" s="71"/>
      <c r="W73" s="71">
        <v>0</v>
      </c>
      <c r="X73" s="72" t="s">
        <v>9</v>
      </c>
    </row>
    <row r="74" spans="1:24" ht="21" customHeight="1">
      <c r="A74" s="44" t="s">
        <v>5</v>
      </c>
      <c r="B74" s="86" t="s">
        <v>5</v>
      </c>
      <c r="C74" s="306" t="s">
        <v>224</v>
      </c>
      <c r="D74" s="212">
        <v>741</v>
      </c>
      <c r="E74" s="212">
        <f>SUM(E75,E78,E86)</f>
        <v>739</v>
      </c>
      <c r="F74" s="213">
        <f>E74-D74</f>
        <v>-2</v>
      </c>
      <c r="G74" s="214">
        <f>IF(D74=0,0,F74/D74)</f>
        <v>-0.002699055330634278</v>
      </c>
      <c r="H74" s="215" t="s">
        <v>280</v>
      </c>
      <c r="I74" s="216"/>
      <c r="J74" s="217"/>
      <c r="K74" s="217"/>
      <c r="L74" s="216"/>
      <c r="M74" s="216"/>
      <c r="N74" s="216"/>
      <c r="O74" s="216"/>
      <c r="P74" s="216" t="s">
        <v>257</v>
      </c>
      <c r="Q74" s="218"/>
      <c r="R74" s="218"/>
      <c r="S74" s="218"/>
      <c r="T74" s="218"/>
      <c r="U74" s="218"/>
      <c r="V74" s="218"/>
      <c r="W74" s="228">
        <f>SUM(W75,W78,W86)</f>
        <v>739000</v>
      </c>
      <c r="X74" s="234" t="s">
        <v>9</v>
      </c>
    </row>
    <row r="75" spans="1:46" s="4" customFormat="1" ht="21" customHeight="1">
      <c r="A75" s="44"/>
      <c r="B75" s="95"/>
      <c r="C75" s="35" t="s">
        <v>44</v>
      </c>
      <c r="D75" s="186">
        <v>0</v>
      </c>
      <c r="E75" s="186">
        <f>E76</f>
        <v>0</v>
      </c>
      <c r="F75" s="187">
        <f>E75-D75</f>
        <v>0</v>
      </c>
      <c r="G75" s="188">
        <f>IF(D75=0,0,F75/D75)</f>
        <v>0</v>
      </c>
      <c r="H75" s="175" t="s">
        <v>112</v>
      </c>
      <c r="I75" s="176"/>
      <c r="J75" s="177"/>
      <c r="K75" s="177"/>
      <c r="L75" s="177"/>
      <c r="M75" s="177"/>
      <c r="N75" s="177"/>
      <c r="O75" s="178"/>
      <c r="P75" s="178"/>
      <c r="Q75" s="178"/>
      <c r="R75" s="178"/>
      <c r="S75" s="178"/>
      <c r="T75" s="178"/>
      <c r="U75" s="199" t="s">
        <v>249</v>
      </c>
      <c r="V75" s="200"/>
      <c r="W75" s="201">
        <f>SUM(W76:W76)</f>
        <v>0</v>
      </c>
      <c r="X75" s="231" t="s">
        <v>9</v>
      </c>
      <c r="Y75" s="220"/>
      <c r="Z75" s="221"/>
      <c r="AA75" s="221"/>
      <c r="AB75" s="222"/>
      <c r="AC75" s="223"/>
      <c r="AD75" s="224"/>
      <c r="AE75" s="225"/>
      <c r="AF75" s="226"/>
      <c r="AG75" s="226"/>
      <c r="AH75" s="225"/>
      <c r="AI75" s="225"/>
      <c r="AJ75" s="225"/>
      <c r="AK75" s="225"/>
      <c r="AL75" s="225"/>
      <c r="AM75" s="224"/>
      <c r="AN75" s="224"/>
      <c r="AO75" s="224"/>
      <c r="AP75" s="224"/>
      <c r="AQ75" s="224"/>
      <c r="AR75" s="224"/>
      <c r="AS75" s="227"/>
      <c r="AT75" s="225"/>
    </row>
    <row r="76" spans="1:24" ht="21" customHeight="1">
      <c r="A76" s="59"/>
      <c r="B76" s="97"/>
      <c r="C76" s="45" t="s">
        <v>51</v>
      </c>
      <c r="D76" s="36">
        <v>0</v>
      </c>
      <c r="E76" s="47">
        <f>ROUND(W76/1000,0)</f>
        <v>0</v>
      </c>
      <c r="F76" s="37">
        <f>E76-D76</f>
        <v>0</v>
      </c>
      <c r="G76" s="38">
        <f>IF(D76=0,0,F76/D76)</f>
        <v>0</v>
      </c>
      <c r="H76" s="131" t="s">
        <v>112</v>
      </c>
      <c r="I76" s="13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430" t="s">
        <v>249</v>
      </c>
      <c r="V76" s="430"/>
      <c r="W76" s="133">
        <f>SUM(W77:W77)</f>
        <v>0</v>
      </c>
      <c r="X76" s="134" t="s">
        <v>9</v>
      </c>
    </row>
    <row r="77" spans="1:25" s="11" customFormat="1" ht="19.5" customHeight="1">
      <c r="A77" s="59"/>
      <c r="B77" s="89"/>
      <c r="C77" s="45"/>
      <c r="D77" s="47"/>
      <c r="E77" s="47"/>
      <c r="F77" s="48"/>
      <c r="G77" s="30"/>
      <c r="H77" s="66"/>
      <c r="I77" s="49"/>
      <c r="J77" s="50"/>
      <c r="K77" s="50"/>
      <c r="L77" s="50"/>
      <c r="M77" s="90"/>
      <c r="N77" s="73"/>
      <c r="O77" s="68"/>
      <c r="P77" s="73"/>
      <c r="Q77" s="78"/>
      <c r="R77" s="75"/>
      <c r="S77" s="75"/>
      <c r="T77" s="90"/>
      <c r="U77" s="50"/>
      <c r="V77" s="67"/>
      <c r="W77" s="67"/>
      <c r="X77" s="56"/>
      <c r="Y77" s="6"/>
    </row>
    <row r="78" spans="1:25" s="11" customFormat="1" ht="19.5" customHeight="1">
      <c r="A78" s="59"/>
      <c r="B78" s="89"/>
      <c r="C78" s="35" t="s">
        <v>53</v>
      </c>
      <c r="D78" s="186">
        <v>21</v>
      </c>
      <c r="E78" s="186">
        <f>E79</f>
        <v>19</v>
      </c>
      <c r="F78" s="187">
        <f>E78-D78</f>
        <v>-2</v>
      </c>
      <c r="G78" s="188">
        <f>IF(D78=0,0,F78/D78)</f>
        <v>-0.09523809523809523</v>
      </c>
      <c r="H78" s="175" t="s">
        <v>103</v>
      </c>
      <c r="I78" s="176"/>
      <c r="J78" s="177"/>
      <c r="K78" s="177"/>
      <c r="L78" s="177"/>
      <c r="M78" s="177"/>
      <c r="N78" s="177"/>
      <c r="O78" s="178"/>
      <c r="P78" s="178"/>
      <c r="Q78" s="178"/>
      <c r="R78" s="178"/>
      <c r="S78" s="178"/>
      <c r="T78" s="178"/>
      <c r="U78" s="199" t="s">
        <v>249</v>
      </c>
      <c r="V78" s="200"/>
      <c r="W78" s="200">
        <f>SUM(W79:W79)</f>
        <v>19000</v>
      </c>
      <c r="X78" s="231" t="s">
        <v>9</v>
      </c>
      <c r="Y78" s="6"/>
    </row>
    <row r="79" spans="1:25" s="11" customFormat="1" ht="19.5" customHeight="1">
      <c r="A79" s="59"/>
      <c r="B79" s="89"/>
      <c r="C79" s="45" t="s">
        <v>58</v>
      </c>
      <c r="D79" s="47">
        <v>21</v>
      </c>
      <c r="E79" s="47">
        <f>ROUND(W79/1000,0)</f>
        <v>19</v>
      </c>
      <c r="F79" s="37">
        <f>E79-D79</f>
        <v>-2</v>
      </c>
      <c r="G79" s="38">
        <f>IF(D79=0,0,F79/D79)</f>
        <v>-0.09523809523809523</v>
      </c>
      <c r="H79" s="321" t="s">
        <v>129</v>
      </c>
      <c r="I79" s="31"/>
      <c r="J79" s="32"/>
      <c r="K79" s="32"/>
      <c r="L79" s="32"/>
      <c r="M79" s="32"/>
      <c r="N79" s="32"/>
      <c r="O79" s="32"/>
      <c r="P79" s="32" t="s">
        <v>69</v>
      </c>
      <c r="Q79" s="32"/>
      <c r="R79" s="32"/>
      <c r="S79" s="32"/>
      <c r="T79" s="32"/>
      <c r="U79" s="430" t="s">
        <v>249</v>
      </c>
      <c r="V79" s="430"/>
      <c r="W79" s="133">
        <f>SUM(W80:W84)</f>
        <v>19000</v>
      </c>
      <c r="X79" s="134" t="s">
        <v>9</v>
      </c>
      <c r="Y79" s="6"/>
    </row>
    <row r="80" spans="1:25" s="11" customFormat="1" ht="19.5" customHeight="1">
      <c r="A80" s="59"/>
      <c r="B80" s="89"/>
      <c r="C80" s="45" t="s">
        <v>57</v>
      </c>
      <c r="D80" s="47"/>
      <c r="E80" s="47"/>
      <c r="F80" s="48"/>
      <c r="G80" s="69"/>
      <c r="H80" s="240" t="s">
        <v>142</v>
      </c>
      <c r="I80" s="49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67"/>
      <c r="W80" s="67">
        <v>7000</v>
      </c>
      <c r="X80" s="56" t="s">
        <v>9</v>
      </c>
      <c r="Y80" s="6"/>
    </row>
    <row r="81" spans="1:25" s="11" customFormat="1" ht="19.5" customHeight="1">
      <c r="A81" s="59"/>
      <c r="B81" s="89"/>
      <c r="C81" s="45"/>
      <c r="D81" s="47"/>
      <c r="E81" s="47"/>
      <c r="F81" s="48"/>
      <c r="G81" s="69"/>
      <c r="H81" s="66" t="s">
        <v>174</v>
      </c>
      <c r="I81" s="49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67"/>
      <c r="W81" s="67">
        <v>1000</v>
      </c>
      <c r="X81" s="56" t="s">
        <v>9</v>
      </c>
      <c r="Y81" s="6"/>
    </row>
    <row r="82" spans="1:25" s="11" customFormat="1" ht="19.5" customHeight="1">
      <c r="A82" s="59"/>
      <c r="B82" s="89"/>
      <c r="C82" s="45"/>
      <c r="D82" s="47"/>
      <c r="E82" s="47"/>
      <c r="F82" s="48"/>
      <c r="G82" s="69"/>
      <c r="H82" s="66" t="s">
        <v>169</v>
      </c>
      <c r="I82" s="49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67"/>
      <c r="W82" s="67">
        <v>8000</v>
      </c>
      <c r="X82" s="56" t="s">
        <v>9</v>
      </c>
      <c r="Y82" s="6"/>
    </row>
    <row r="83" spans="1:25" s="11" customFormat="1" ht="19.5" customHeight="1">
      <c r="A83" s="59"/>
      <c r="B83" s="89"/>
      <c r="C83" s="45"/>
      <c r="D83" s="47"/>
      <c r="E83" s="47"/>
      <c r="F83" s="48"/>
      <c r="G83" s="69"/>
      <c r="H83" s="66" t="s">
        <v>148</v>
      </c>
      <c r="I83" s="49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67"/>
      <c r="W83" s="67">
        <v>1000</v>
      </c>
      <c r="X83" s="56" t="s">
        <v>9</v>
      </c>
      <c r="Y83" s="6"/>
    </row>
    <row r="84" spans="1:25" s="11" customFormat="1" ht="19.5" customHeight="1">
      <c r="A84" s="59"/>
      <c r="B84" s="89"/>
      <c r="C84" s="45"/>
      <c r="D84" s="47"/>
      <c r="E84" s="47"/>
      <c r="F84" s="48"/>
      <c r="G84" s="69"/>
      <c r="H84" s="66" t="s">
        <v>153</v>
      </c>
      <c r="I84" s="50"/>
      <c r="J84" s="50"/>
      <c r="K84" s="50"/>
      <c r="L84" s="50"/>
      <c r="M84" s="50"/>
      <c r="N84" s="50"/>
      <c r="O84" s="50"/>
      <c r="P84" s="436"/>
      <c r="Q84" s="436"/>
      <c r="R84" s="50"/>
      <c r="S84" s="50"/>
      <c r="T84" s="50"/>
      <c r="U84" s="50"/>
      <c r="V84" s="50"/>
      <c r="W84" s="50">
        <v>2000</v>
      </c>
      <c r="X84" s="56" t="s">
        <v>9</v>
      </c>
      <c r="Y84" s="6"/>
    </row>
    <row r="85" spans="1:25" s="11" customFormat="1" ht="19.5" customHeight="1">
      <c r="A85" s="59"/>
      <c r="B85" s="89"/>
      <c r="C85" s="45"/>
      <c r="D85" s="47"/>
      <c r="E85" s="47"/>
      <c r="F85" s="48"/>
      <c r="G85" s="69"/>
      <c r="H85" s="66"/>
      <c r="I85" s="49"/>
      <c r="J85" s="50"/>
      <c r="K85" s="50"/>
      <c r="L85" s="50"/>
      <c r="M85" s="50"/>
      <c r="N85" s="50"/>
      <c r="O85" s="50"/>
      <c r="P85" s="53"/>
      <c r="Q85" s="53"/>
      <c r="R85" s="53"/>
      <c r="S85" s="50"/>
      <c r="T85" s="50"/>
      <c r="U85" s="50"/>
      <c r="V85" s="67"/>
      <c r="W85" s="67"/>
      <c r="X85" s="56"/>
      <c r="Y85" s="6"/>
    </row>
    <row r="86" spans="1:25" s="11" customFormat="1" ht="19.5" customHeight="1">
      <c r="A86" s="59"/>
      <c r="B86" s="89"/>
      <c r="C86" s="35" t="s">
        <v>55</v>
      </c>
      <c r="D86" s="186">
        <v>720</v>
      </c>
      <c r="E86" s="186">
        <f>E87</f>
        <v>720</v>
      </c>
      <c r="F86" s="187">
        <f>E86-D86</f>
        <v>0</v>
      </c>
      <c r="G86" s="188">
        <f>IF(D86=0,0,F86/D86)</f>
        <v>0</v>
      </c>
      <c r="H86" s="175" t="s">
        <v>105</v>
      </c>
      <c r="I86" s="176"/>
      <c r="J86" s="177"/>
      <c r="K86" s="177"/>
      <c r="L86" s="177"/>
      <c r="M86" s="177"/>
      <c r="N86" s="177"/>
      <c r="O86" s="178"/>
      <c r="P86" s="178"/>
      <c r="Q86" s="178"/>
      <c r="R86" s="178"/>
      <c r="S86" s="178"/>
      <c r="T86" s="178"/>
      <c r="U86" s="199" t="s">
        <v>249</v>
      </c>
      <c r="V86" s="200"/>
      <c r="W86" s="200">
        <f>SUM(W87:W87)</f>
        <v>720000</v>
      </c>
      <c r="X86" s="231" t="s">
        <v>9</v>
      </c>
      <c r="Y86" s="6"/>
    </row>
    <row r="87" spans="1:25" s="11" customFormat="1" ht="19.5" customHeight="1">
      <c r="A87" s="59"/>
      <c r="B87" s="89"/>
      <c r="C87" s="45" t="s">
        <v>5</v>
      </c>
      <c r="D87" s="47">
        <v>720</v>
      </c>
      <c r="E87" s="47">
        <f>ROUND(W87/1000,0)</f>
        <v>720</v>
      </c>
      <c r="F87" s="37">
        <f>E87-D87</f>
        <v>0</v>
      </c>
      <c r="G87" s="38">
        <f>IF(D87=0,0,F87/D87)</f>
        <v>0</v>
      </c>
      <c r="H87" s="96" t="s">
        <v>324</v>
      </c>
      <c r="I87" s="92"/>
      <c r="J87" s="88"/>
      <c r="K87" s="88"/>
      <c r="L87" s="88"/>
      <c r="M87" s="88"/>
      <c r="N87" s="88"/>
      <c r="O87" s="88"/>
      <c r="P87" s="88" t="s">
        <v>69</v>
      </c>
      <c r="Q87" s="88"/>
      <c r="R87" s="88"/>
      <c r="S87" s="88"/>
      <c r="T87" s="88"/>
      <c r="U87" s="430" t="s">
        <v>249</v>
      </c>
      <c r="V87" s="430"/>
      <c r="W87" s="133">
        <f>SUM(W88:W88)</f>
        <v>720000</v>
      </c>
      <c r="X87" s="134" t="s">
        <v>9</v>
      </c>
      <c r="Y87" s="6"/>
    </row>
    <row r="88" spans="1:25" s="11" customFormat="1" ht="19.5" customHeight="1">
      <c r="A88" s="59"/>
      <c r="B88" s="89"/>
      <c r="C88" s="45"/>
      <c r="D88" s="47"/>
      <c r="E88" s="47"/>
      <c r="F88" s="48"/>
      <c r="G88" s="30"/>
      <c r="H88" s="240" t="s">
        <v>325</v>
      </c>
      <c r="I88" s="49"/>
      <c r="J88" s="50"/>
      <c r="K88" s="50"/>
      <c r="L88" s="50">
        <v>60000</v>
      </c>
      <c r="M88" s="50" t="s">
        <v>9</v>
      </c>
      <c r="N88" s="50" t="s">
        <v>13</v>
      </c>
      <c r="O88" s="50">
        <v>1</v>
      </c>
      <c r="P88" s="50" t="s">
        <v>26</v>
      </c>
      <c r="Q88" s="50" t="s">
        <v>13</v>
      </c>
      <c r="R88" s="50">
        <v>12</v>
      </c>
      <c r="S88" s="50" t="s">
        <v>2</v>
      </c>
      <c r="T88" s="50" t="s">
        <v>6</v>
      </c>
      <c r="U88" s="50"/>
      <c r="V88" s="67"/>
      <c r="W88" s="67">
        <f>L88*O88*R88</f>
        <v>720000</v>
      </c>
      <c r="X88" s="56" t="s">
        <v>9</v>
      </c>
      <c r="Y88" s="6"/>
    </row>
    <row r="89" spans="1:25" s="11" customFormat="1" ht="19.5" customHeight="1">
      <c r="A89" s="99"/>
      <c r="B89" s="100"/>
      <c r="C89" s="100"/>
      <c r="D89" s="102"/>
      <c r="E89" s="102"/>
      <c r="F89" s="103"/>
      <c r="G89" s="104"/>
      <c r="H89" s="62"/>
      <c r="I89" s="64"/>
      <c r="J89" s="64"/>
      <c r="K89" s="64"/>
      <c r="L89" s="64"/>
      <c r="M89" s="64"/>
      <c r="N89" s="63"/>
      <c r="O89" s="64"/>
      <c r="P89" s="63"/>
      <c r="Q89" s="63"/>
      <c r="R89" s="64"/>
      <c r="S89" s="64"/>
      <c r="T89" s="105"/>
      <c r="U89" s="105"/>
      <c r="V89" s="63"/>
      <c r="W89" s="64"/>
      <c r="X89" s="65"/>
      <c r="Y89" s="6"/>
    </row>
    <row r="90" spans="1:25" s="11" customFormat="1" ht="19.5" customHeight="1">
      <c r="A90" s="7"/>
      <c r="B90" s="7"/>
      <c r="C90" s="7"/>
      <c r="D90" s="9"/>
      <c r="E90" s="9"/>
      <c r="F90" s="10"/>
      <c r="G90" s="12"/>
      <c r="H90" s="1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6"/>
    </row>
    <row r="101" ht="19.5" customHeight="1">
      <c r="Y101" s="6" t="s">
        <v>0</v>
      </c>
    </row>
  </sheetData>
  <sheetProtection/>
  <mergeCells count="24">
    <mergeCell ref="U79:V79"/>
    <mergeCell ref="U37:V37"/>
    <mergeCell ref="U33:V33"/>
    <mergeCell ref="U51:V51"/>
    <mergeCell ref="U58:V58"/>
    <mergeCell ref="U68:V68"/>
    <mergeCell ref="U61:V61"/>
    <mergeCell ref="U64:V64"/>
    <mergeCell ref="A1:F1"/>
    <mergeCell ref="P84:Q84"/>
    <mergeCell ref="U87:V87"/>
    <mergeCell ref="U19:V19"/>
    <mergeCell ref="U21:V21"/>
    <mergeCell ref="A2:C2"/>
    <mergeCell ref="D2:D3"/>
    <mergeCell ref="A4:C4"/>
    <mergeCell ref="U55:V55"/>
    <mergeCell ref="U76:V76"/>
    <mergeCell ref="E2:E3"/>
    <mergeCell ref="U42:V42"/>
    <mergeCell ref="F2:G2"/>
    <mergeCell ref="H2:X3"/>
    <mergeCell ref="U31:V31"/>
    <mergeCell ref="U48:V48"/>
  </mergeCells>
  <printOptions horizontalCentered="1" verticalCentered="1"/>
  <pageMargins left="0.19680555164813995" right="0.19680555164813995" top="0.35430556535720825" bottom="0.35430556535720825" header="0.1572222262620926" footer="0.1572222262620926"/>
  <pageSetup horizontalDpi="600" verticalDpi="600" orientation="landscape" paperSize="9" scale="65" r:id="rId1"/>
  <headerFooter alignWithMargins="0">
    <oddFooter>&amp;C&amp;"돋움,Regular"&amp;P/&amp;N&amp;R&amp;"돋움,Regular"공동생활가정 바르나바의 집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198"/>
  <sheetViews>
    <sheetView tabSelected="1" zoomScale="90" zoomScaleNormal="90" zoomScaleSheetLayoutView="75" zoomScalePageLayoutView="0" workbookViewId="0" topLeftCell="A1">
      <pane xSplit="3" ySplit="5" topLeftCell="D159" activePane="bottomRight" state="frozen"/>
      <selection pane="topLeft" activeCell="A1" sqref="A1:E1"/>
      <selection pane="topRight" activeCell="A1" sqref="A1"/>
      <selection pane="bottomLeft" activeCell="A1" sqref="A1"/>
      <selection pane="bottomRight" activeCell="AG90" sqref="AG90"/>
    </sheetView>
  </sheetViews>
  <sheetFormatPr defaultColWidth="13.77734375" defaultRowHeight="21" customHeight="1"/>
  <cols>
    <col min="1" max="1" width="5.88671875" style="22" bestFit="1" customWidth="1"/>
    <col min="2" max="2" width="7.10546875" style="22" bestFit="1" customWidth="1"/>
    <col min="3" max="3" width="8.5546875" style="22" bestFit="1" customWidth="1"/>
    <col min="4" max="4" width="10.3359375" style="18" customWidth="1"/>
    <col min="5" max="5" width="10.3359375" style="18" bestFit="1" customWidth="1"/>
    <col min="6" max="6" width="10.21484375" style="18" customWidth="1"/>
    <col min="7" max="7" width="8.6640625" style="18" customWidth="1"/>
    <col min="8" max="10" width="7.77734375" style="18" customWidth="1"/>
    <col min="11" max="11" width="8.5546875" style="18" customWidth="1"/>
    <col min="12" max="12" width="7.77734375" style="18" customWidth="1"/>
    <col min="13" max="13" width="6.77734375" style="18" bestFit="1" customWidth="1"/>
    <col min="14" max="14" width="6.88671875" style="152" bestFit="1" customWidth="1"/>
    <col min="15" max="15" width="14.10546875" style="4" customWidth="1"/>
    <col min="16" max="16" width="3.3359375" style="4" customWidth="1"/>
    <col min="17" max="17" width="2.77734375" style="4" customWidth="1"/>
    <col min="18" max="18" width="7.4453125" style="4" customWidth="1"/>
    <col min="19" max="19" width="10.88671875" style="5" bestFit="1" customWidth="1"/>
    <col min="20" max="20" width="3.21484375" style="5" bestFit="1" customWidth="1"/>
    <col min="21" max="21" width="3.99609375" style="5" bestFit="1" customWidth="1"/>
    <col min="22" max="22" width="7.5546875" style="5" bestFit="1" customWidth="1"/>
    <col min="23" max="23" width="3.21484375" style="5" customWidth="1"/>
    <col min="24" max="24" width="3.21484375" style="5" bestFit="1" customWidth="1"/>
    <col min="25" max="25" width="4.77734375" style="5" customWidth="1"/>
    <col min="26" max="26" width="4.5546875" style="5" bestFit="1" customWidth="1"/>
    <col min="27" max="27" width="2.99609375" style="5" customWidth="1"/>
    <col min="28" max="28" width="3.3359375" style="5" customWidth="1"/>
    <col min="29" max="29" width="1.4375" style="5" customWidth="1"/>
    <col min="30" max="30" width="11.77734375" style="5" bestFit="1" customWidth="1"/>
    <col min="31" max="31" width="2.77734375" style="5" customWidth="1"/>
    <col min="32" max="32" width="6.21484375" style="4" customWidth="1"/>
    <col min="33" max="16384" width="13.77734375" style="4" customWidth="1"/>
  </cols>
  <sheetData>
    <row r="1" spans="1:32" s="11" customFormat="1" ht="21" customHeight="1">
      <c r="A1" s="435" t="s">
        <v>352</v>
      </c>
      <c r="B1" s="435"/>
      <c r="C1" s="435"/>
      <c r="D1" s="435"/>
      <c r="E1" s="435"/>
      <c r="F1" s="106"/>
      <c r="G1" s="106"/>
      <c r="H1" s="106"/>
      <c r="I1" s="106"/>
      <c r="J1" s="106"/>
      <c r="K1" s="106"/>
      <c r="L1" s="106"/>
      <c r="M1" s="106"/>
      <c r="N1" s="144"/>
      <c r="O1" s="63"/>
      <c r="P1" s="63"/>
      <c r="Q1" s="63"/>
      <c r="R1" s="63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1"/>
    </row>
    <row r="2" spans="1:31" s="3" customFormat="1" ht="27" customHeight="1">
      <c r="A2" s="438" t="s">
        <v>182</v>
      </c>
      <c r="B2" s="439"/>
      <c r="C2" s="439"/>
      <c r="D2" s="463" t="s">
        <v>350</v>
      </c>
      <c r="E2" s="463" t="s">
        <v>351</v>
      </c>
      <c r="F2" s="465"/>
      <c r="G2" s="465"/>
      <c r="H2" s="465"/>
      <c r="I2" s="465"/>
      <c r="J2" s="465"/>
      <c r="K2" s="465"/>
      <c r="L2" s="466"/>
      <c r="M2" s="431" t="s">
        <v>77</v>
      </c>
      <c r="N2" s="431"/>
      <c r="O2" s="449" t="s">
        <v>1</v>
      </c>
      <c r="P2" s="450"/>
      <c r="Q2" s="450"/>
      <c r="R2" s="450"/>
      <c r="S2" s="450"/>
      <c r="T2" s="450"/>
      <c r="U2" s="450"/>
      <c r="V2" s="450"/>
      <c r="W2" s="450"/>
      <c r="X2" s="450"/>
      <c r="Y2" s="450"/>
      <c r="Z2" s="450"/>
      <c r="AA2" s="450"/>
      <c r="AB2" s="450"/>
      <c r="AC2" s="450"/>
      <c r="AD2" s="450"/>
      <c r="AE2" s="451"/>
    </row>
    <row r="3" spans="1:31" s="3" customFormat="1" ht="27" customHeight="1">
      <c r="A3" s="24" t="s">
        <v>15</v>
      </c>
      <c r="B3" s="25" t="s">
        <v>8</v>
      </c>
      <c r="C3" s="25" t="s">
        <v>3</v>
      </c>
      <c r="D3" s="464"/>
      <c r="E3" s="153" t="s">
        <v>304</v>
      </c>
      <c r="F3" s="385" t="s">
        <v>158</v>
      </c>
      <c r="G3" s="385" t="s">
        <v>300</v>
      </c>
      <c r="H3" s="379" t="s">
        <v>156</v>
      </c>
      <c r="I3" s="385" t="s">
        <v>23</v>
      </c>
      <c r="J3" s="385" t="s">
        <v>305</v>
      </c>
      <c r="K3" s="385" t="s">
        <v>294</v>
      </c>
      <c r="L3" s="385" t="s">
        <v>5</v>
      </c>
      <c r="M3" s="136" t="s">
        <v>104</v>
      </c>
      <c r="N3" s="107" t="s">
        <v>228</v>
      </c>
      <c r="O3" s="452"/>
      <c r="P3" s="453"/>
      <c r="Q3" s="453"/>
      <c r="R3" s="453"/>
      <c r="S3" s="453"/>
      <c r="T3" s="453"/>
      <c r="U3" s="453"/>
      <c r="V3" s="453"/>
      <c r="W3" s="453"/>
      <c r="X3" s="453"/>
      <c r="Y3" s="453"/>
      <c r="Z3" s="453"/>
      <c r="AA3" s="453"/>
      <c r="AB3" s="453"/>
      <c r="AC3" s="453"/>
      <c r="AD3" s="453"/>
      <c r="AE3" s="454"/>
    </row>
    <row r="4" spans="1:32" s="11" customFormat="1" ht="21" customHeight="1">
      <c r="A4" s="461" t="s">
        <v>84</v>
      </c>
      <c r="B4" s="462"/>
      <c r="C4" s="462"/>
      <c r="D4" s="250">
        <v>79595</v>
      </c>
      <c r="E4" s="250">
        <f aca="true" t="shared" si="0" ref="E4:L4">SUM(E5,E100,E115,E172,E182,E185)</f>
        <v>77747.8</v>
      </c>
      <c r="F4" s="352">
        <f t="shared" si="0"/>
        <v>52830.8</v>
      </c>
      <c r="G4" s="352">
        <f t="shared" si="0"/>
        <v>2000</v>
      </c>
      <c r="H4" s="352">
        <f t="shared" si="0"/>
        <v>0</v>
      </c>
      <c r="I4" s="352">
        <f t="shared" si="0"/>
        <v>1870</v>
      </c>
      <c r="J4" s="352">
        <f t="shared" si="0"/>
        <v>18918</v>
      </c>
      <c r="K4" s="352">
        <f t="shared" si="0"/>
        <v>347</v>
      </c>
      <c r="L4" s="352">
        <f t="shared" si="0"/>
        <v>1782</v>
      </c>
      <c r="M4" s="251">
        <f>E4-D4</f>
        <v>-1847.199999999997</v>
      </c>
      <c r="N4" s="252">
        <f>IF(D4=0,0,M4/D4)</f>
        <v>-0.023207487907531844</v>
      </c>
      <c r="O4" s="253" t="s">
        <v>245</v>
      </c>
      <c r="P4" s="254"/>
      <c r="Q4" s="254"/>
      <c r="R4" s="254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>
        <f>SUM(AD5,AD100,AD115,AD172,AD182,AD185)</f>
        <v>77748000</v>
      </c>
      <c r="AE4" s="256" t="s">
        <v>9</v>
      </c>
      <c r="AF4" s="2"/>
    </row>
    <row r="5" spans="1:32" s="11" customFormat="1" ht="21" customHeight="1">
      <c r="A5" s="110" t="s">
        <v>24</v>
      </c>
      <c r="B5" s="459" t="s">
        <v>82</v>
      </c>
      <c r="C5" s="460"/>
      <c r="D5" s="257">
        <v>54271</v>
      </c>
      <c r="E5" s="257">
        <f aca="true" t="shared" si="1" ref="E5:L5">SUM(E6,E57,E67)</f>
        <v>53040.8</v>
      </c>
      <c r="F5" s="257">
        <f t="shared" si="1"/>
        <v>47723.8</v>
      </c>
      <c r="G5" s="257">
        <f t="shared" si="1"/>
        <v>0</v>
      </c>
      <c r="H5" s="257">
        <f t="shared" si="1"/>
        <v>0</v>
      </c>
      <c r="I5" s="257">
        <f t="shared" si="1"/>
        <v>250</v>
      </c>
      <c r="J5" s="257">
        <f t="shared" si="1"/>
        <v>4126</v>
      </c>
      <c r="K5" s="257">
        <f t="shared" si="1"/>
        <v>346</v>
      </c>
      <c r="L5" s="257">
        <f t="shared" si="1"/>
        <v>595</v>
      </c>
      <c r="M5" s="258">
        <f>E5-D5</f>
        <v>-1230.199999999997</v>
      </c>
      <c r="N5" s="259">
        <f>IF(D5=0,0,M5/D5)</f>
        <v>-0.022667723093364726</v>
      </c>
      <c r="O5" s="260" t="s">
        <v>24</v>
      </c>
      <c r="P5" s="260"/>
      <c r="Q5" s="260"/>
      <c r="R5" s="260"/>
      <c r="S5" s="261"/>
      <c r="T5" s="261"/>
      <c r="U5" s="261"/>
      <c r="V5" s="261"/>
      <c r="W5" s="261"/>
      <c r="X5" s="261"/>
      <c r="Y5" s="261"/>
      <c r="Z5" s="261"/>
      <c r="AA5" s="261"/>
      <c r="AB5" s="261"/>
      <c r="AC5" s="261"/>
      <c r="AD5" s="261">
        <f>SUM(AD6,AD57,AD67)</f>
        <v>53041000</v>
      </c>
      <c r="AE5" s="262" t="s">
        <v>9</v>
      </c>
      <c r="AF5" s="2"/>
    </row>
    <row r="6" spans="1:32" s="11" customFormat="1" ht="21" customHeight="1">
      <c r="A6" s="44"/>
      <c r="B6" s="35" t="s">
        <v>25</v>
      </c>
      <c r="C6" s="263" t="s">
        <v>4</v>
      </c>
      <c r="D6" s="264">
        <v>43923</v>
      </c>
      <c r="E6" s="264">
        <f aca="true" t="shared" si="2" ref="E6:L6">SUM(E7,E11,E14,E23,E26,E47)</f>
        <v>44214.8</v>
      </c>
      <c r="F6" s="264">
        <f t="shared" si="2"/>
        <v>43767.8</v>
      </c>
      <c r="G6" s="264">
        <f t="shared" si="2"/>
        <v>0</v>
      </c>
      <c r="H6" s="264">
        <f t="shared" si="2"/>
        <v>0</v>
      </c>
      <c r="I6" s="264">
        <f t="shared" si="2"/>
        <v>0</v>
      </c>
      <c r="J6" s="264">
        <f t="shared" si="2"/>
        <v>447</v>
      </c>
      <c r="K6" s="264">
        <f t="shared" si="2"/>
        <v>0</v>
      </c>
      <c r="L6" s="264">
        <f t="shared" si="2"/>
        <v>0</v>
      </c>
      <c r="M6" s="265">
        <f>E6-D6</f>
        <v>291.8000000000029</v>
      </c>
      <c r="N6" s="214">
        <f>IF(D6=0,0,M6/D6)</f>
        <v>0.00664344420918432</v>
      </c>
      <c r="O6" s="218" t="s">
        <v>25</v>
      </c>
      <c r="P6" s="218"/>
      <c r="Q6" s="218"/>
      <c r="R6" s="218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>
        <f>SUM(AD7,AD11,AD14,AD23,AD26,AD47)</f>
        <v>44215000</v>
      </c>
      <c r="AE6" s="230" t="s">
        <v>9</v>
      </c>
      <c r="AF6" s="2"/>
    </row>
    <row r="7" spans="1:32" s="11" customFormat="1" ht="21" customHeight="1">
      <c r="A7" s="44"/>
      <c r="B7" s="45"/>
      <c r="C7" s="35" t="s">
        <v>17</v>
      </c>
      <c r="D7" s="112">
        <v>29000</v>
      </c>
      <c r="E7" s="112">
        <f>SUM(F7:L7)</f>
        <v>29000</v>
      </c>
      <c r="F7" s="112">
        <f>SUMIF($AB$8:$AB$10,"보조",$AD$8:$AD$10)/1000</f>
        <v>29000</v>
      </c>
      <c r="G7" s="112">
        <f>SUMIF($AB$8:$AB$10,"7종",$AD$8:$AD$10)/1000</f>
        <v>0</v>
      </c>
      <c r="H7" s="112">
        <f>SUMIF($AB$8:$AB$10,"시비",$AD$8:$AD$10)/1000</f>
        <v>0</v>
      </c>
      <c r="I7" s="112">
        <f>SUMIF($AB$8:$AB$10,"후원",$AD$8:$AD$10)/1000</f>
        <v>0</v>
      </c>
      <c r="J7" s="112">
        <f>SUMIF($AB$8:$AB$10,"입소",$AD$8:$AD$10)/1000</f>
        <v>0</v>
      </c>
      <c r="K7" s="112">
        <f>SUMIF($AB$8:$AB$10,"법인",$AD$8:$AD$10)/1000</f>
        <v>0</v>
      </c>
      <c r="L7" s="112">
        <f>SUMIF($AB$8:$AB$10,"잡수",$AD$8:$AD$10)/1000</f>
        <v>0</v>
      </c>
      <c r="M7" s="111">
        <f>E7-D7</f>
        <v>0</v>
      </c>
      <c r="N7" s="119">
        <f>IF(D7=0,0,M7/D7)</f>
        <v>0</v>
      </c>
      <c r="O7" s="114" t="s">
        <v>233</v>
      </c>
      <c r="P7" s="114"/>
      <c r="Q7" s="31"/>
      <c r="R7" s="31"/>
      <c r="S7" s="31"/>
      <c r="T7" s="32"/>
      <c r="U7" s="32"/>
      <c r="V7" s="32"/>
      <c r="W7" s="98" t="s">
        <v>269</v>
      </c>
      <c r="X7" s="98"/>
      <c r="Y7" s="98"/>
      <c r="Z7" s="98"/>
      <c r="AA7" s="98"/>
      <c r="AB7" s="98"/>
      <c r="AC7" s="116"/>
      <c r="AD7" s="116">
        <f>SUM(AD8:AD9)</f>
        <v>29000000</v>
      </c>
      <c r="AE7" s="117" t="s">
        <v>9</v>
      </c>
      <c r="AF7" s="1"/>
    </row>
    <row r="8" spans="1:32" s="11" customFormat="1" ht="21" customHeight="1">
      <c r="A8" s="44"/>
      <c r="B8" s="45"/>
      <c r="C8" s="45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69"/>
      <c r="O8" s="49" t="s">
        <v>144</v>
      </c>
      <c r="P8" s="31"/>
      <c r="Q8" s="31"/>
      <c r="R8" s="49" t="s">
        <v>310</v>
      </c>
      <c r="S8" s="278">
        <v>2346000</v>
      </c>
      <c r="T8" s="50" t="s">
        <v>9</v>
      </c>
      <c r="U8" s="49" t="s">
        <v>13</v>
      </c>
      <c r="V8" s="50">
        <v>4</v>
      </c>
      <c r="W8" s="50" t="s">
        <v>2</v>
      </c>
      <c r="X8" s="50"/>
      <c r="Y8" s="50"/>
      <c r="Z8" s="50" t="s">
        <v>6</v>
      </c>
      <c r="AA8" s="50"/>
      <c r="AB8" s="50" t="s">
        <v>12</v>
      </c>
      <c r="AC8" s="67"/>
      <c r="AD8" s="67">
        <f>S8*V8</f>
        <v>9384000</v>
      </c>
      <c r="AE8" s="56" t="s">
        <v>9</v>
      </c>
      <c r="AF8" s="2"/>
    </row>
    <row r="9" spans="1:32" s="11" customFormat="1" ht="21" customHeight="1">
      <c r="A9" s="44"/>
      <c r="B9" s="45"/>
      <c r="C9" s="45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69"/>
      <c r="O9" s="49"/>
      <c r="P9" s="31"/>
      <c r="Q9" s="31"/>
      <c r="R9" s="49" t="s">
        <v>311</v>
      </c>
      <c r="S9" s="278">
        <v>2452000</v>
      </c>
      <c r="T9" s="50" t="s">
        <v>9</v>
      </c>
      <c r="U9" s="49" t="s">
        <v>13</v>
      </c>
      <c r="V9" s="50">
        <v>8</v>
      </c>
      <c r="W9" s="50" t="s">
        <v>2</v>
      </c>
      <c r="X9" s="50"/>
      <c r="Y9" s="50"/>
      <c r="Z9" s="50" t="s">
        <v>6</v>
      </c>
      <c r="AA9" s="50"/>
      <c r="AB9" s="50" t="s">
        <v>12</v>
      </c>
      <c r="AC9" s="67"/>
      <c r="AD9" s="67">
        <f>S9*V9</f>
        <v>19616000</v>
      </c>
      <c r="AE9" s="56" t="s">
        <v>9</v>
      </c>
      <c r="AF9" s="2"/>
    </row>
    <row r="10" spans="1:32" s="11" customFormat="1" ht="21" customHeight="1">
      <c r="A10" s="44"/>
      <c r="B10" s="45"/>
      <c r="C10" s="45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69"/>
      <c r="O10" s="49"/>
      <c r="P10" s="49"/>
      <c r="Q10" s="49"/>
      <c r="R10" s="49"/>
      <c r="S10" s="49"/>
      <c r="T10" s="50"/>
      <c r="U10" s="50"/>
      <c r="V10" s="79"/>
      <c r="W10" s="79"/>
      <c r="X10" s="79"/>
      <c r="Y10" s="79"/>
      <c r="Z10" s="79"/>
      <c r="AA10" s="79"/>
      <c r="AB10" s="79"/>
      <c r="AC10" s="71"/>
      <c r="AD10" s="71"/>
      <c r="AE10" s="72"/>
      <c r="AF10" s="1"/>
    </row>
    <row r="11" spans="1:32" s="11" customFormat="1" ht="21" customHeight="1">
      <c r="A11" s="44"/>
      <c r="B11" s="45"/>
      <c r="C11" s="35" t="s">
        <v>263</v>
      </c>
      <c r="D11" s="112">
        <v>0</v>
      </c>
      <c r="E11" s="112">
        <f>SUM(F11:L11)</f>
        <v>0</v>
      </c>
      <c r="F11" s="112">
        <f>SUMIF($AB$12:$AB$13,"보조",$AD$12:$AD$13)/1000</f>
        <v>0</v>
      </c>
      <c r="G11" s="112">
        <f>SUMIF($AB$12:$AB$13,"7종",$AD$12:$AD$13)/1000</f>
        <v>0</v>
      </c>
      <c r="H11" s="112">
        <f>SUMIF($AB$12:$AB$13,"시비",$AD$12:$AD$13)/1000</f>
        <v>0</v>
      </c>
      <c r="I11" s="112">
        <f>SUMIF($AB$12:$AB$13,"후원",$AD$12:$AD$13)/1000</f>
        <v>0</v>
      </c>
      <c r="J11" s="112">
        <f>SUMIF($AB$12:$AB$13,"입소",$AD$12:$AD$13)/1000</f>
        <v>0</v>
      </c>
      <c r="K11" s="112">
        <f>SUMIF($AB$12:$AB$13,"법인",$AD$12:$AD$13)/1000</f>
        <v>0</v>
      </c>
      <c r="L11" s="112">
        <f>SUMIF($AB$12:$AB$13,"잡수",$AD$12:$AD$13)/1000</f>
        <v>0</v>
      </c>
      <c r="M11" s="111">
        <f>E11-D11</f>
        <v>0</v>
      </c>
      <c r="N11" s="119">
        <f>IF(D11=0,0,M11/D11)</f>
        <v>0</v>
      </c>
      <c r="O11" s="96" t="s">
        <v>243</v>
      </c>
      <c r="P11" s="148"/>
      <c r="Q11" s="92"/>
      <c r="R11" s="92"/>
      <c r="S11" s="92"/>
      <c r="T11" s="88"/>
      <c r="U11" s="88"/>
      <c r="V11" s="32"/>
      <c r="W11" s="98" t="s">
        <v>269</v>
      </c>
      <c r="X11" s="98"/>
      <c r="Y11" s="98"/>
      <c r="Z11" s="98"/>
      <c r="AA11" s="98"/>
      <c r="AB11" s="98"/>
      <c r="AC11" s="116"/>
      <c r="AD11" s="116">
        <f>SUM(AD12)</f>
        <v>0</v>
      </c>
      <c r="AE11" s="117" t="s">
        <v>9</v>
      </c>
      <c r="AF11" s="1"/>
    </row>
    <row r="12" spans="1:32" s="11" customFormat="1" ht="21" customHeight="1">
      <c r="A12" s="44"/>
      <c r="B12" s="45"/>
      <c r="C12" s="45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69"/>
      <c r="O12" s="80" t="s">
        <v>210</v>
      </c>
      <c r="P12" s="80"/>
      <c r="Q12" s="49"/>
      <c r="R12" s="49"/>
      <c r="S12" s="50"/>
      <c r="T12" s="50" t="s">
        <v>9</v>
      </c>
      <c r="U12" s="49" t="s">
        <v>13</v>
      </c>
      <c r="V12" s="50"/>
      <c r="W12" s="50" t="s">
        <v>26</v>
      </c>
      <c r="X12" s="49" t="s">
        <v>13</v>
      </c>
      <c r="Y12" s="55"/>
      <c r="Z12" s="90" t="s">
        <v>35</v>
      </c>
      <c r="AA12" s="90" t="s">
        <v>6</v>
      </c>
      <c r="AB12" s="50" t="s">
        <v>70</v>
      </c>
      <c r="AC12" s="67"/>
      <c r="AD12" s="50">
        <f>S12*V12*Y12</f>
        <v>0</v>
      </c>
      <c r="AE12" s="56" t="s">
        <v>9</v>
      </c>
      <c r="AF12" s="1"/>
    </row>
    <row r="13" spans="1:32" s="11" customFormat="1" ht="21" customHeight="1">
      <c r="A13" s="44"/>
      <c r="B13" s="45"/>
      <c r="C13" s="45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69"/>
      <c r="O13" s="49"/>
      <c r="P13" s="49"/>
      <c r="Q13" s="49"/>
      <c r="R13" s="49"/>
      <c r="S13" s="50"/>
      <c r="T13" s="50"/>
      <c r="U13" s="49"/>
      <c r="V13" s="50"/>
      <c r="W13" s="50"/>
      <c r="X13" s="49"/>
      <c r="Y13" s="91"/>
      <c r="Z13" s="50"/>
      <c r="AA13" s="50"/>
      <c r="AB13" s="50"/>
      <c r="AC13" s="67"/>
      <c r="AD13" s="50"/>
      <c r="AE13" s="56"/>
      <c r="AF13" s="1"/>
    </row>
    <row r="14" spans="1:32" s="11" customFormat="1" ht="21" customHeight="1">
      <c r="A14" s="44"/>
      <c r="B14" s="45"/>
      <c r="C14" s="35" t="s">
        <v>11</v>
      </c>
      <c r="D14" s="112">
        <v>8082</v>
      </c>
      <c r="E14" s="112">
        <f>SUM(F14:L14)</f>
        <v>8081.8</v>
      </c>
      <c r="F14" s="112">
        <f>SUMIF($AB$16:$AB$22,"보조",$AD$16:$AD$22)/1000</f>
        <v>8081.8</v>
      </c>
      <c r="G14" s="112">
        <f>SUMIF($AB$16:$AB$22,"7종",$AD$16:$AD$22)/1000</f>
        <v>0</v>
      </c>
      <c r="H14" s="112">
        <f>SUMIF($AB$16:$AB$22,"시비",$AD$16:$AD$22)/1000</f>
        <v>0</v>
      </c>
      <c r="I14" s="112">
        <f>SUMIF($AB$16:$AB$22,"후원",$AD$16:$AD$22)/1000</f>
        <v>0</v>
      </c>
      <c r="J14" s="112">
        <f>SUMIF($AB$16:$AB$22,"입소",$AD$16:$AD$22)/1000</f>
        <v>0</v>
      </c>
      <c r="K14" s="112">
        <f>SUMIF($AB$16:$AB$22,"법인",$AD$16:$AD$22)/1000</f>
        <v>0</v>
      </c>
      <c r="L14" s="112">
        <f>SUMIF($AB$16:$AB$22,"잡수",$AD$16:$AD$22)/1000</f>
        <v>0</v>
      </c>
      <c r="M14" s="111">
        <f>E14-D14</f>
        <v>-0.1999999999998181</v>
      </c>
      <c r="N14" s="119">
        <f>IF(D14=0,0,M14/D14)</f>
        <v>-2.4746349913365268E-05</v>
      </c>
      <c r="O14" s="96" t="s">
        <v>217</v>
      </c>
      <c r="P14" s="148"/>
      <c r="Q14" s="92"/>
      <c r="R14" s="92"/>
      <c r="S14" s="92"/>
      <c r="T14" s="88"/>
      <c r="U14" s="88"/>
      <c r="V14" s="88"/>
      <c r="W14" s="149" t="s">
        <v>269</v>
      </c>
      <c r="X14" s="149"/>
      <c r="Y14" s="149"/>
      <c r="Z14" s="149"/>
      <c r="AA14" s="149"/>
      <c r="AB14" s="149"/>
      <c r="AC14" s="151"/>
      <c r="AD14" s="151">
        <f>SUM(명절휴가비,연장근로수당)</f>
        <v>8082000</v>
      </c>
      <c r="AE14" s="150" t="s">
        <v>9</v>
      </c>
      <c r="AF14" s="1"/>
    </row>
    <row r="15" spans="1:32" s="11" customFormat="1" ht="21" customHeight="1">
      <c r="A15" s="44"/>
      <c r="B15" s="45"/>
      <c r="C15" s="45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69"/>
      <c r="O15" s="80" t="s">
        <v>234</v>
      </c>
      <c r="P15" s="49"/>
      <c r="Q15" s="49"/>
      <c r="R15" s="49"/>
      <c r="S15" s="49"/>
      <c r="T15" s="50"/>
      <c r="U15" s="50"/>
      <c r="V15" s="50"/>
      <c r="W15" s="79" t="s">
        <v>115</v>
      </c>
      <c r="X15" s="79"/>
      <c r="Y15" s="79"/>
      <c r="Z15" s="79"/>
      <c r="AA15" s="79"/>
      <c r="AB15" s="79"/>
      <c r="AC15" s="71" t="s">
        <v>56</v>
      </c>
      <c r="AD15" s="71">
        <f>ROUND(SUM(AD16:AD18),-3)</f>
        <v>2879000</v>
      </c>
      <c r="AE15" s="72" t="s">
        <v>9</v>
      </c>
      <c r="AF15" s="17"/>
    </row>
    <row r="16" spans="1:32" s="11" customFormat="1" ht="21" customHeight="1">
      <c r="A16" s="44"/>
      <c r="B16" s="45"/>
      <c r="C16" s="45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69"/>
      <c r="O16" s="49" t="s">
        <v>144</v>
      </c>
      <c r="P16" s="49"/>
      <c r="Q16" s="49"/>
      <c r="R16" s="49" t="s">
        <v>312</v>
      </c>
      <c r="S16" s="278">
        <v>2346000</v>
      </c>
      <c r="T16" s="50" t="s">
        <v>9</v>
      </c>
      <c r="U16" s="49" t="s">
        <v>13</v>
      </c>
      <c r="V16" s="76">
        <v>0.6</v>
      </c>
      <c r="W16" s="49"/>
      <c r="X16" s="50"/>
      <c r="Y16" s="50"/>
      <c r="Z16" s="50" t="s">
        <v>6</v>
      </c>
      <c r="AA16" s="50"/>
      <c r="AB16" s="50" t="s">
        <v>12</v>
      </c>
      <c r="AC16" s="67"/>
      <c r="AD16" s="67">
        <f>ROUND(S16*V16,-2)</f>
        <v>1407600</v>
      </c>
      <c r="AE16" s="56" t="s">
        <v>9</v>
      </c>
      <c r="AF16" s="17"/>
    </row>
    <row r="17" spans="1:32" s="11" customFormat="1" ht="21" customHeight="1">
      <c r="A17" s="44"/>
      <c r="B17" s="45"/>
      <c r="C17" s="45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69"/>
      <c r="O17" s="49"/>
      <c r="P17" s="49"/>
      <c r="Q17" s="49"/>
      <c r="R17" s="49" t="s">
        <v>313</v>
      </c>
      <c r="S17" s="278">
        <v>2452000</v>
      </c>
      <c r="T17" s="50" t="s">
        <v>9</v>
      </c>
      <c r="U17" s="49" t="s">
        <v>13</v>
      </c>
      <c r="V17" s="76">
        <v>0.6</v>
      </c>
      <c r="W17" s="50"/>
      <c r="X17" s="50"/>
      <c r="Y17" s="50"/>
      <c r="Z17" s="50" t="s">
        <v>6</v>
      </c>
      <c r="AA17" s="50"/>
      <c r="AB17" s="50" t="s">
        <v>12</v>
      </c>
      <c r="AC17" s="67"/>
      <c r="AD17" s="67">
        <f>ROUND(S17*V17,-2)</f>
        <v>1471200</v>
      </c>
      <c r="AE17" s="56" t="s">
        <v>9</v>
      </c>
      <c r="AF17" s="17"/>
    </row>
    <row r="18" spans="1:32" s="11" customFormat="1" ht="21" customHeight="1">
      <c r="A18" s="44"/>
      <c r="B18" s="45"/>
      <c r="C18" s="45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69"/>
      <c r="O18" s="49"/>
      <c r="P18" s="49"/>
      <c r="Q18" s="49"/>
      <c r="R18" s="49"/>
      <c r="S18" s="49"/>
      <c r="T18" s="50"/>
      <c r="U18" s="50"/>
      <c r="V18" s="50"/>
      <c r="W18" s="50"/>
      <c r="X18" s="50"/>
      <c r="Y18" s="50"/>
      <c r="Z18" s="50"/>
      <c r="AA18" s="50"/>
      <c r="AB18" s="50"/>
      <c r="AC18" s="67"/>
      <c r="AD18" s="67"/>
      <c r="AE18" s="56"/>
      <c r="AF18" s="17"/>
    </row>
    <row r="19" spans="1:32" s="11" customFormat="1" ht="21" customHeight="1">
      <c r="A19" s="44"/>
      <c r="B19" s="45"/>
      <c r="C19" s="45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69"/>
      <c r="O19" s="80" t="s">
        <v>159</v>
      </c>
      <c r="P19" s="49"/>
      <c r="Q19" s="49"/>
      <c r="R19" s="49"/>
      <c r="S19" s="49"/>
      <c r="T19" s="50"/>
      <c r="U19" s="50"/>
      <c r="V19" s="50"/>
      <c r="W19" s="79" t="s">
        <v>115</v>
      </c>
      <c r="X19" s="79"/>
      <c r="Y19" s="79"/>
      <c r="Z19" s="79"/>
      <c r="AA19" s="79"/>
      <c r="AB19" s="79"/>
      <c r="AC19" s="71" t="s">
        <v>56</v>
      </c>
      <c r="AD19" s="71">
        <f>ROUND(SUM(AD20:AD22),-3)</f>
        <v>5203000</v>
      </c>
      <c r="AE19" s="72" t="s">
        <v>9</v>
      </c>
      <c r="AF19" s="17"/>
    </row>
    <row r="20" spans="1:32" s="11" customFormat="1" ht="21" customHeight="1">
      <c r="A20" s="44"/>
      <c r="B20" s="45"/>
      <c r="C20" s="45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69"/>
      <c r="O20" s="49" t="s">
        <v>144</v>
      </c>
      <c r="P20" s="49"/>
      <c r="Q20" s="49"/>
      <c r="R20" s="49" t="s">
        <v>314</v>
      </c>
      <c r="S20" s="278">
        <v>2346000</v>
      </c>
      <c r="T20" s="50" t="s">
        <v>9</v>
      </c>
      <c r="U20" s="90" t="s">
        <v>16</v>
      </c>
      <c r="V20" s="322">
        <v>209</v>
      </c>
      <c r="W20" s="323">
        <v>1.5</v>
      </c>
      <c r="X20" s="49" t="s">
        <v>13</v>
      </c>
      <c r="Y20" s="325">
        <v>25</v>
      </c>
      <c r="Z20" s="324">
        <v>4</v>
      </c>
      <c r="AA20" s="50" t="s">
        <v>6</v>
      </c>
      <c r="AB20" s="50" t="s">
        <v>12</v>
      </c>
      <c r="AC20" s="67"/>
      <c r="AD20" s="67">
        <f>ROUND(ROUNDDOWN(S20/V20*W20*Y20,-1)*Z20,-3)</f>
        <v>1684000</v>
      </c>
      <c r="AE20" s="56" t="s">
        <v>9</v>
      </c>
      <c r="AF20" s="17"/>
    </row>
    <row r="21" spans="1:32" s="11" customFormat="1" ht="21" customHeight="1">
      <c r="A21" s="44"/>
      <c r="B21" s="45"/>
      <c r="C21" s="45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69"/>
      <c r="O21" s="49"/>
      <c r="P21" s="49"/>
      <c r="Q21" s="49"/>
      <c r="R21" s="49" t="s">
        <v>315</v>
      </c>
      <c r="S21" s="278">
        <v>2452000</v>
      </c>
      <c r="T21" s="50" t="s">
        <v>9</v>
      </c>
      <c r="U21" s="90" t="s">
        <v>16</v>
      </c>
      <c r="V21" s="322">
        <v>209</v>
      </c>
      <c r="W21" s="323">
        <v>1.5</v>
      </c>
      <c r="X21" s="49" t="s">
        <v>13</v>
      </c>
      <c r="Y21" s="325">
        <v>25</v>
      </c>
      <c r="Z21" s="324">
        <v>8</v>
      </c>
      <c r="AA21" s="50" t="s">
        <v>6</v>
      </c>
      <c r="AB21" s="50" t="s">
        <v>12</v>
      </c>
      <c r="AC21" s="67"/>
      <c r="AD21" s="67">
        <f>ROUNDDOWN(ROUNDDOWN(S21/V21*W21*Y21,-1)*Z21,-3)</f>
        <v>3519000</v>
      </c>
      <c r="AE21" s="56" t="s">
        <v>9</v>
      </c>
      <c r="AF21" s="17"/>
    </row>
    <row r="22" spans="1:32" s="11" customFormat="1" ht="21" customHeight="1">
      <c r="A22" s="44"/>
      <c r="B22" s="45"/>
      <c r="C22" s="45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69"/>
      <c r="O22" s="49"/>
      <c r="P22" s="49"/>
      <c r="Q22" s="49"/>
      <c r="R22" s="49"/>
      <c r="S22" s="278"/>
      <c r="T22" s="50"/>
      <c r="U22" s="90"/>
      <c r="V22" s="322"/>
      <c r="W22" s="323"/>
      <c r="X22" s="49"/>
      <c r="Y22" s="325"/>
      <c r="Z22" s="324"/>
      <c r="AA22" s="50"/>
      <c r="AB22" s="50"/>
      <c r="AC22" s="67"/>
      <c r="AD22" s="67"/>
      <c r="AE22" s="56"/>
      <c r="AF22" s="17"/>
    </row>
    <row r="23" spans="1:32" s="11" customFormat="1" ht="21" customHeight="1">
      <c r="A23" s="44"/>
      <c r="B23" s="45"/>
      <c r="C23" s="35" t="s">
        <v>230</v>
      </c>
      <c r="D23" s="112">
        <v>3091</v>
      </c>
      <c r="E23" s="112">
        <f>SUM(F23:L23)</f>
        <v>3091</v>
      </c>
      <c r="F23" s="112">
        <f>SUMIF($AB$24:$AB$25,"보조",$AD$24:$AD$25)/1000</f>
        <v>3091</v>
      </c>
      <c r="G23" s="112">
        <f>SUMIF($AB$24:$AB$25,"7종",$AD$24:$AD$25)/1000</f>
        <v>0</v>
      </c>
      <c r="H23" s="112">
        <f>SUMIF($AB$24:$AB$25,"시비",$AD$24:$AD$25)/1000</f>
        <v>0</v>
      </c>
      <c r="I23" s="112">
        <f>SUMIF($AB$24:$AB$25,"후원",$AD$24:$AD$25)/1000</f>
        <v>0</v>
      </c>
      <c r="J23" s="112">
        <f>SUMIF($AB$24:$AB$25,"입소",$AD$24:$AD$25)/1000</f>
        <v>0</v>
      </c>
      <c r="K23" s="112">
        <f>SUMIF($AB$24:$AB$25,"법인",$AD$24:$AD$25)/1000</f>
        <v>0</v>
      </c>
      <c r="L23" s="112">
        <f>SUMIF($AB$24:$AB$25,"잡수",$AD$24:$AD$25)/1000</f>
        <v>0</v>
      </c>
      <c r="M23" s="111">
        <f>E23-D23</f>
        <v>0</v>
      </c>
      <c r="N23" s="119">
        <f>IF(D23=0,0,M23/D23)</f>
        <v>0</v>
      </c>
      <c r="O23" s="96" t="s">
        <v>258</v>
      </c>
      <c r="P23" s="148"/>
      <c r="Q23" s="92"/>
      <c r="R23" s="92"/>
      <c r="S23" s="92"/>
      <c r="T23" s="88"/>
      <c r="U23" s="88"/>
      <c r="V23" s="88"/>
      <c r="W23" s="149" t="s">
        <v>115</v>
      </c>
      <c r="X23" s="149"/>
      <c r="Y23" s="149"/>
      <c r="Z23" s="149"/>
      <c r="AA23" s="149"/>
      <c r="AB23" s="149"/>
      <c r="AC23" s="151" t="s">
        <v>56</v>
      </c>
      <c r="AD23" s="151">
        <f>ROUND(SUM(AD24:AD24),-3)</f>
        <v>3091000</v>
      </c>
      <c r="AE23" s="150" t="s">
        <v>9</v>
      </c>
      <c r="AF23" s="2"/>
    </row>
    <row r="24" spans="1:32" s="11" customFormat="1" ht="21" customHeight="1">
      <c r="A24" s="44"/>
      <c r="B24" s="45"/>
      <c r="C24" s="45"/>
      <c r="D24" s="108"/>
      <c r="E24" s="108"/>
      <c r="F24" s="108"/>
      <c r="G24" s="108"/>
      <c r="H24" s="108"/>
      <c r="I24" s="108"/>
      <c r="J24" s="108"/>
      <c r="K24" s="108"/>
      <c r="L24" s="108"/>
      <c r="M24" s="113"/>
      <c r="N24" s="69"/>
      <c r="O24" s="49"/>
      <c r="P24" s="49"/>
      <c r="Q24" s="49"/>
      <c r="R24" s="49"/>
      <c r="S24" s="50">
        <f>SUM(AD7,AD14)-AD22</f>
        <v>37082000</v>
      </c>
      <c r="T24" s="90" t="s">
        <v>9</v>
      </c>
      <c r="U24" s="90" t="s">
        <v>16</v>
      </c>
      <c r="V24" s="337">
        <v>12</v>
      </c>
      <c r="W24" s="73" t="s">
        <v>2</v>
      </c>
      <c r="X24" s="50"/>
      <c r="Y24" s="50"/>
      <c r="Z24" s="50"/>
      <c r="AA24" s="50" t="s">
        <v>6</v>
      </c>
      <c r="AB24" s="50" t="s">
        <v>12</v>
      </c>
      <c r="AC24" s="67"/>
      <c r="AD24" s="67">
        <f>ROUNDUP(S24/V24,-3)</f>
        <v>3091000</v>
      </c>
      <c r="AE24" s="56" t="s">
        <v>9</v>
      </c>
      <c r="AF24" s="2"/>
    </row>
    <row r="25" spans="1:32" s="11" customFormat="1" ht="21" customHeight="1">
      <c r="A25" s="44"/>
      <c r="B25" s="45"/>
      <c r="C25" s="45"/>
      <c r="D25" s="108"/>
      <c r="E25" s="108"/>
      <c r="F25" s="108"/>
      <c r="G25" s="108"/>
      <c r="H25" s="108"/>
      <c r="I25" s="108"/>
      <c r="J25" s="108"/>
      <c r="K25" s="108"/>
      <c r="L25" s="108"/>
      <c r="M25" s="113"/>
      <c r="N25" s="69"/>
      <c r="O25" s="31"/>
      <c r="P25" s="31"/>
      <c r="Q25" s="31"/>
      <c r="R25" s="31"/>
      <c r="S25" s="31"/>
      <c r="T25" s="32"/>
      <c r="U25" s="32"/>
      <c r="V25" s="32"/>
      <c r="W25" s="32"/>
      <c r="X25" s="32"/>
      <c r="Y25" s="32"/>
      <c r="Z25" s="32"/>
      <c r="AA25" s="32"/>
      <c r="AB25" s="32"/>
      <c r="AC25" s="51"/>
      <c r="AD25" s="51"/>
      <c r="AE25" s="33"/>
      <c r="AF25" s="2"/>
    </row>
    <row r="26" spans="1:31" s="11" customFormat="1" ht="21" customHeight="1">
      <c r="A26" s="44"/>
      <c r="B26" s="45"/>
      <c r="C26" s="35" t="s">
        <v>239</v>
      </c>
      <c r="D26" s="112">
        <v>3640</v>
      </c>
      <c r="E26" s="112">
        <f>SUM(F26:L26)</f>
        <v>3595</v>
      </c>
      <c r="F26" s="112">
        <f>SUMIF($AB$29:$AB$46,"보조",$AD$29:$AD$46)/1000</f>
        <v>3595</v>
      </c>
      <c r="G26" s="112">
        <f>SUMIF($AB$29:$AB$46,"7종",$AD$29:$AD$46)/1000</f>
        <v>0</v>
      </c>
      <c r="H26" s="112">
        <f>SUMIF($AB$29:$AB$46,"시비",$AD$29:$AD$46)/1000</f>
        <v>0</v>
      </c>
      <c r="I26" s="112">
        <f>SUMIF($AB$29:$AB$46,"후원",$AD$29:$AD$46)/1000</f>
        <v>0</v>
      </c>
      <c r="J26" s="112">
        <f>SUMIF($AB$29:$AB$46,"입소",$AD$29:$AD$46)/1000</f>
        <v>0</v>
      </c>
      <c r="K26" s="112">
        <f>SUMIF($AB$29:$AB$46,"법인",$AD$29:$AD$46)/1000</f>
        <v>0</v>
      </c>
      <c r="L26" s="112">
        <f>SUMIF($AB$29:$AB$46,"잡수",$AD$29:$AD$46)/1000</f>
        <v>0</v>
      </c>
      <c r="M26" s="111">
        <f>E26-D26</f>
        <v>-45</v>
      </c>
      <c r="N26" s="119">
        <f>IF(D26=0,0,M26/D26)</f>
        <v>-0.012362637362637362</v>
      </c>
      <c r="O26" s="96" t="s">
        <v>79</v>
      </c>
      <c r="P26" s="148"/>
      <c r="Q26" s="92"/>
      <c r="R26" s="92"/>
      <c r="S26" s="92"/>
      <c r="T26" s="88"/>
      <c r="U26" s="88"/>
      <c r="V26" s="88"/>
      <c r="W26" s="149" t="s">
        <v>269</v>
      </c>
      <c r="X26" s="149"/>
      <c r="Y26" s="149"/>
      <c r="Z26" s="149"/>
      <c r="AA26" s="149"/>
      <c r="AB26" s="149"/>
      <c r="AC26" s="151"/>
      <c r="AD26" s="151">
        <f>SUM(AD28,AD31,AD34,AD37,AD41,AD44)</f>
        <v>3595000</v>
      </c>
      <c r="AE26" s="150" t="s">
        <v>9</v>
      </c>
    </row>
    <row r="27" spans="1:32" s="11" customFormat="1" ht="21" customHeight="1">
      <c r="A27" s="44"/>
      <c r="B27" s="45"/>
      <c r="C27" s="45" t="s">
        <v>39</v>
      </c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69"/>
      <c r="O27" s="31"/>
      <c r="P27" s="31"/>
      <c r="Q27" s="31"/>
      <c r="R27" s="31"/>
      <c r="S27" s="31"/>
      <c r="T27" s="32"/>
      <c r="U27" s="32"/>
      <c r="V27" s="32"/>
      <c r="W27" s="32"/>
      <c r="X27" s="32"/>
      <c r="Y27" s="32"/>
      <c r="Z27" s="32"/>
      <c r="AA27" s="32"/>
      <c r="AB27" s="32"/>
      <c r="AC27" s="51"/>
      <c r="AD27" s="51"/>
      <c r="AE27" s="33"/>
      <c r="AF27" s="2"/>
    </row>
    <row r="28" spans="1:32" s="11" customFormat="1" ht="21" customHeight="1">
      <c r="A28" s="44"/>
      <c r="B28" s="45"/>
      <c r="C28" s="45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69"/>
      <c r="O28" s="80" t="s">
        <v>127</v>
      </c>
      <c r="P28" s="49"/>
      <c r="Q28" s="49"/>
      <c r="R28" s="49"/>
      <c r="S28" s="49"/>
      <c r="T28" s="50"/>
      <c r="U28" s="50"/>
      <c r="V28" s="50"/>
      <c r="W28" s="79" t="s">
        <v>115</v>
      </c>
      <c r="X28" s="79"/>
      <c r="Y28" s="79"/>
      <c r="Z28" s="79"/>
      <c r="AA28" s="79"/>
      <c r="AB28" s="79"/>
      <c r="AC28" s="71"/>
      <c r="AD28" s="71">
        <f>ROUND(SUM(AD29:AD29),-3)</f>
        <v>1669000</v>
      </c>
      <c r="AE28" s="72" t="s">
        <v>9</v>
      </c>
      <c r="AF28" s="2"/>
    </row>
    <row r="29" spans="1:32" s="11" customFormat="1" ht="21" customHeight="1">
      <c r="A29" s="44"/>
      <c r="B29" s="45"/>
      <c r="C29" s="45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69"/>
      <c r="O29" s="49"/>
      <c r="P29" s="49"/>
      <c r="Q29" s="49"/>
      <c r="R29" s="49"/>
      <c r="S29" s="50">
        <f>S24</f>
        <v>37082000</v>
      </c>
      <c r="T29" s="90" t="s">
        <v>9</v>
      </c>
      <c r="U29" s="73" t="s">
        <v>13</v>
      </c>
      <c r="V29" s="76">
        <v>0.09</v>
      </c>
      <c r="W29" s="90" t="s">
        <v>16</v>
      </c>
      <c r="X29" s="276">
        <v>2</v>
      </c>
      <c r="Y29" s="75"/>
      <c r="Z29" s="75"/>
      <c r="AA29" s="90" t="s">
        <v>6</v>
      </c>
      <c r="AB29" s="50" t="s">
        <v>12</v>
      </c>
      <c r="AC29" s="67"/>
      <c r="AD29" s="67">
        <f>ROUND(S29*V29/X29,-3)</f>
        <v>1669000</v>
      </c>
      <c r="AE29" s="56" t="s">
        <v>9</v>
      </c>
      <c r="AF29" s="2"/>
    </row>
    <row r="30" spans="1:32" s="11" customFormat="1" ht="21" customHeight="1">
      <c r="A30" s="44"/>
      <c r="B30" s="45"/>
      <c r="C30" s="45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69"/>
      <c r="O30" s="49"/>
      <c r="P30" s="49"/>
      <c r="Q30" s="49"/>
      <c r="R30" s="49"/>
      <c r="S30" s="50"/>
      <c r="T30" s="90"/>
      <c r="U30" s="73"/>
      <c r="V30" s="351"/>
      <c r="W30" s="90"/>
      <c r="X30" s="276"/>
      <c r="Y30" s="75"/>
      <c r="Z30" s="75"/>
      <c r="AA30" s="90"/>
      <c r="AB30" s="50"/>
      <c r="AC30" s="67"/>
      <c r="AD30" s="67"/>
      <c r="AE30" s="56"/>
      <c r="AF30" s="2"/>
    </row>
    <row r="31" spans="1:32" s="11" customFormat="1" ht="21" customHeight="1">
      <c r="A31" s="44"/>
      <c r="B31" s="45"/>
      <c r="C31" s="45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69"/>
      <c r="O31" s="80" t="s">
        <v>128</v>
      </c>
      <c r="P31" s="49"/>
      <c r="Q31" s="49"/>
      <c r="R31" s="49"/>
      <c r="S31" s="49"/>
      <c r="T31" s="50"/>
      <c r="U31" s="50"/>
      <c r="V31" s="49"/>
      <c r="W31" s="79" t="s">
        <v>115</v>
      </c>
      <c r="X31" s="79"/>
      <c r="Y31" s="79"/>
      <c r="Z31" s="79"/>
      <c r="AA31" s="79"/>
      <c r="AB31" s="79"/>
      <c r="AC31" s="71" t="s">
        <v>56</v>
      </c>
      <c r="AD31" s="71">
        <f>ROUNDDOWN(SUM(AD32:AD32),-3)</f>
        <v>1198000</v>
      </c>
      <c r="AE31" s="72" t="s">
        <v>9</v>
      </c>
      <c r="AF31" s="2"/>
    </row>
    <row r="32" spans="1:32" s="11" customFormat="1" ht="21" customHeight="1">
      <c r="A32" s="44"/>
      <c r="B32" s="45"/>
      <c r="C32" s="45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69"/>
      <c r="O32" s="49"/>
      <c r="P32" s="49"/>
      <c r="Q32" s="49"/>
      <c r="R32" s="49"/>
      <c r="S32" s="50">
        <f>S29</f>
        <v>37082000</v>
      </c>
      <c r="T32" s="90" t="s">
        <v>9</v>
      </c>
      <c r="U32" s="73" t="s">
        <v>13</v>
      </c>
      <c r="V32" s="77">
        <v>0.0646</v>
      </c>
      <c r="W32" s="90" t="s">
        <v>16</v>
      </c>
      <c r="X32" s="277">
        <v>2</v>
      </c>
      <c r="Y32" s="75"/>
      <c r="Z32" s="75"/>
      <c r="AA32" s="90" t="s">
        <v>6</v>
      </c>
      <c r="AB32" s="50" t="s">
        <v>12</v>
      </c>
      <c r="AC32" s="67"/>
      <c r="AD32" s="67">
        <f>ROUNDUP(S32*V32/X32,-3)</f>
        <v>1198000</v>
      </c>
      <c r="AE32" s="56" t="s">
        <v>9</v>
      </c>
      <c r="AF32" s="2"/>
    </row>
    <row r="33" spans="1:32" s="11" customFormat="1" ht="21" customHeight="1">
      <c r="A33" s="44"/>
      <c r="B33" s="45"/>
      <c r="C33" s="45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69"/>
      <c r="O33" s="49"/>
      <c r="P33" s="49"/>
      <c r="Q33" s="49"/>
      <c r="R33" s="49"/>
      <c r="S33" s="49"/>
      <c r="T33" s="50"/>
      <c r="U33" s="50"/>
      <c r="V33" s="49"/>
      <c r="W33" s="50"/>
      <c r="X33" s="50"/>
      <c r="Y33" s="50"/>
      <c r="Z33" s="50"/>
      <c r="AA33" s="50"/>
      <c r="AB33" s="50"/>
      <c r="AC33" s="67"/>
      <c r="AD33" s="67"/>
      <c r="AE33" s="56"/>
      <c r="AF33" s="2"/>
    </row>
    <row r="34" spans="1:32" s="11" customFormat="1" ht="21" customHeight="1">
      <c r="A34" s="44"/>
      <c r="B34" s="45"/>
      <c r="C34" s="45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69"/>
      <c r="O34" s="80" t="s">
        <v>114</v>
      </c>
      <c r="P34" s="49"/>
      <c r="Q34" s="49"/>
      <c r="R34" s="49"/>
      <c r="S34" s="49"/>
      <c r="T34" s="50"/>
      <c r="U34" s="50"/>
      <c r="V34" s="49"/>
      <c r="W34" s="79" t="s">
        <v>115</v>
      </c>
      <c r="X34" s="79"/>
      <c r="Y34" s="79"/>
      <c r="Z34" s="79"/>
      <c r="AA34" s="79"/>
      <c r="AB34" s="79"/>
      <c r="AC34" s="71" t="s">
        <v>56</v>
      </c>
      <c r="AD34" s="71">
        <f>ROUND(SUM(AD35:AD35),-3)</f>
        <v>102000</v>
      </c>
      <c r="AE34" s="72" t="s">
        <v>9</v>
      </c>
      <c r="AF34" s="2"/>
    </row>
    <row r="35" spans="1:32" s="11" customFormat="1" ht="21" customHeight="1">
      <c r="A35" s="44"/>
      <c r="B35" s="45"/>
      <c r="C35" s="45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69"/>
      <c r="O35" s="49"/>
      <c r="P35" s="49"/>
      <c r="Q35" s="49"/>
      <c r="R35" s="49"/>
      <c r="S35" s="278">
        <f>AD32</f>
        <v>1198000</v>
      </c>
      <c r="T35" s="90" t="s">
        <v>9</v>
      </c>
      <c r="U35" s="73" t="s">
        <v>13</v>
      </c>
      <c r="V35" s="77">
        <v>0.0851</v>
      </c>
      <c r="W35" s="73"/>
      <c r="X35" s="78"/>
      <c r="Y35" s="75"/>
      <c r="Z35" s="75"/>
      <c r="AA35" s="90" t="s">
        <v>6</v>
      </c>
      <c r="AB35" s="50" t="s">
        <v>12</v>
      </c>
      <c r="AC35" s="67"/>
      <c r="AD35" s="67">
        <f>ROUND(S35*V35,-3)</f>
        <v>102000</v>
      </c>
      <c r="AE35" s="56" t="s">
        <v>9</v>
      </c>
      <c r="AF35" s="2"/>
    </row>
    <row r="36" spans="1:32" s="11" customFormat="1" ht="21" customHeight="1">
      <c r="A36" s="44"/>
      <c r="B36" s="45"/>
      <c r="C36" s="45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69"/>
      <c r="O36" s="49"/>
      <c r="P36" s="49"/>
      <c r="Q36" s="49"/>
      <c r="R36" s="49"/>
      <c r="S36" s="278"/>
      <c r="T36" s="90"/>
      <c r="U36" s="73"/>
      <c r="V36" s="351"/>
      <c r="W36" s="73"/>
      <c r="X36" s="78"/>
      <c r="Y36" s="75"/>
      <c r="Z36" s="75"/>
      <c r="AA36" s="90"/>
      <c r="AB36" s="50"/>
      <c r="AC36" s="67"/>
      <c r="AD36" s="67"/>
      <c r="AE36" s="56"/>
      <c r="AF36" s="2"/>
    </row>
    <row r="37" spans="1:32" s="11" customFormat="1" ht="21" customHeight="1">
      <c r="A37" s="44"/>
      <c r="B37" s="45"/>
      <c r="C37" s="45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69"/>
      <c r="O37" s="80" t="s">
        <v>132</v>
      </c>
      <c r="P37" s="49"/>
      <c r="Q37" s="49"/>
      <c r="R37" s="49"/>
      <c r="S37" s="49"/>
      <c r="T37" s="50"/>
      <c r="U37" s="50"/>
      <c r="V37" s="49"/>
      <c r="W37" s="79" t="s">
        <v>115</v>
      </c>
      <c r="X37" s="79"/>
      <c r="Y37" s="79"/>
      <c r="Z37" s="79"/>
      <c r="AA37" s="79"/>
      <c r="AB37" s="79"/>
      <c r="AC37" s="71" t="s">
        <v>56</v>
      </c>
      <c r="AD37" s="71">
        <f>ROUND(SUM(AD38:AD39),-3)</f>
        <v>348000</v>
      </c>
      <c r="AE37" s="72" t="s">
        <v>9</v>
      </c>
      <c r="AF37" s="2"/>
    </row>
    <row r="38" spans="1:32" s="11" customFormat="1" ht="21" customHeight="1">
      <c r="A38" s="44"/>
      <c r="B38" s="45"/>
      <c r="C38" s="45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69"/>
      <c r="O38" s="49"/>
      <c r="P38" s="49"/>
      <c r="Q38" s="49"/>
      <c r="R38" s="49"/>
      <c r="S38" s="50">
        <v>27966000</v>
      </c>
      <c r="T38" s="90" t="s">
        <v>9</v>
      </c>
      <c r="U38" s="73" t="s">
        <v>13</v>
      </c>
      <c r="V38" s="77">
        <v>0.009</v>
      </c>
      <c r="W38" s="73"/>
      <c r="X38" s="78"/>
      <c r="Y38" s="75"/>
      <c r="Z38" s="75"/>
      <c r="AA38" s="90" t="s">
        <v>6</v>
      </c>
      <c r="AB38" s="50" t="s">
        <v>12</v>
      </c>
      <c r="AC38" s="67"/>
      <c r="AD38" s="67">
        <f>ROUND(S38*V38,-3)</f>
        <v>252000</v>
      </c>
      <c r="AE38" s="56" t="s">
        <v>9</v>
      </c>
      <c r="AF38" s="2"/>
    </row>
    <row r="39" spans="1:32" s="11" customFormat="1" ht="21" customHeight="1">
      <c r="A39" s="44"/>
      <c r="B39" s="45"/>
      <c r="C39" s="45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69"/>
      <c r="O39" s="49"/>
      <c r="P39" s="49"/>
      <c r="Q39" s="49"/>
      <c r="R39" s="49"/>
      <c r="S39" s="50">
        <v>9116000</v>
      </c>
      <c r="T39" s="90" t="s">
        <v>355</v>
      </c>
      <c r="U39" s="73" t="s">
        <v>13</v>
      </c>
      <c r="V39" s="77">
        <v>0.0105</v>
      </c>
      <c r="W39" s="73"/>
      <c r="X39" s="78"/>
      <c r="Y39" s="75"/>
      <c r="Z39" s="75"/>
      <c r="AA39" s="90" t="s">
        <v>6</v>
      </c>
      <c r="AB39" s="50" t="s">
        <v>12</v>
      </c>
      <c r="AC39" s="67"/>
      <c r="AD39" s="67">
        <f>ROUND(S39*V39,-3)</f>
        <v>96000</v>
      </c>
      <c r="AE39" s="56" t="s">
        <v>9</v>
      </c>
      <c r="AF39" s="2"/>
    </row>
    <row r="40" spans="1:32" s="11" customFormat="1" ht="21" customHeight="1">
      <c r="A40" s="44"/>
      <c r="B40" s="45"/>
      <c r="C40" s="45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69"/>
      <c r="O40" s="49"/>
      <c r="P40" s="49"/>
      <c r="Q40" s="49"/>
      <c r="R40" s="49"/>
      <c r="S40" s="49"/>
      <c r="T40" s="50"/>
      <c r="U40" s="50"/>
      <c r="V40" s="49"/>
      <c r="W40" s="50"/>
      <c r="X40" s="50"/>
      <c r="Y40" s="50"/>
      <c r="Z40" s="50"/>
      <c r="AA40" s="50"/>
      <c r="AB40" s="50"/>
      <c r="AC40" s="67"/>
      <c r="AD40" s="67"/>
      <c r="AE40" s="56"/>
      <c r="AF40" s="2"/>
    </row>
    <row r="41" spans="1:32" s="11" customFormat="1" ht="21" customHeight="1">
      <c r="A41" s="44"/>
      <c r="B41" s="45"/>
      <c r="C41" s="45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69"/>
      <c r="O41" s="366" t="s">
        <v>145</v>
      </c>
      <c r="P41" s="367"/>
      <c r="Q41" s="367"/>
      <c r="R41" s="367"/>
      <c r="S41" s="367"/>
      <c r="T41" s="368"/>
      <c r="U41" s="368"/>
      <c r="V41" s="367"/>
      <c r="W41" s="369" t="s">
        <v>115</v>
      </c>
      <c r="X41" s="369"/>
      <c r="Y41" s="369"/>
      <c r="Z41" s="369"/>
      <c r="AA41" s="369"/>
      <c r="AB41" s="369"/>
      <c r="AC41" s="370" t="s">
        <v>56</v>
      </c>
      <c r="AD41" s="370">
        <f>ROUND(SUM(AD42:AD42),-3)</f>
        <v>278000</v>
      </c>
      <c r="AE41" s="371" t="s">
        <v>9</v>
      </c>
      <c r="AF41" s="2"/>
    </row>
    <row r="42" spans="1:32" s="11" customFormat="1" ht="21" customHeight="1">
      <c r="A42" s="44"/>
      <c r="B42" s="45"/>
      <c r="C42" s="45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69"/>
      <c r="O42" s="367"/>
      <c r="P42" s="367"/>
      <c r="Q42" s="367"/>
      <c r="R42" s="367"/>
      <c r="S42" s="368">
        <f>S38+S39</f>
        <v>37082000</v>
      </c>
      <c r="T42" s="372" t="s">
        <v>9</v>
      </c>
      <c r="U42" s="373" t="s">
        <v>13</v>
      </c>
      <c r="V42" s="384">
        <v>0.0075</v>
      </c>
      <c r="W42" s="373"/>
      <c r="X42" s="375"/>
      <c r="Y42" s="376"/>
      <c r="Z42" s="376"/>
      <c r="AA42" s="372" t="s">
        <v>6</v>
      </c>
      <c r="AB42" s="368" t="s">
        <v>12</v>
      </c>
      <c r="AC42" s="377"/>
      <c r="AD42" s="377">
        <f>ROUND(S42*V42,-3)</f>
        <v>278000</v>
      </c>
      <c r="AE42" s="378" t="s">
        <v>9</v>
      </c>
      <c r="AF42" s="2"/>
    </row>
    <row r="43" spans="1:32" s="11" customFormat="1" ht="21" customHeight="1">
      <c r="A43" s="44"/>
      <c r="B43" s="45"/>
      <c r="C43" s="45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69"/>
      <c r="O43" s="367"/>
      <c r="P43" s="367"/>
      <c r="Q43" s="367"/>
      <c r="R43" s="367"/>
      <c r="S43" s="368"/>
      <c r="T43" s="372"/>
      <c r="U43" s="373"/>
      <c r="V43" s="374"/>
      <c r="W43" s="373"/>
      <c r="X43" s="375"/>
      <c r="Y43" s="376"/>
      <c r="Z43" s="376"/>
      <c r="AA43" s="372"/>
      <c r="AB43" s="368"/>
      <c r="AC43" s="377"/>
      <c r="AD43" s="377"/>
      <c r="AE43" s="378"/>
      <c r="AF43" s="2"/>
    </row>
    <row r="44" spans="1:32" s="11" customFormat="1" ht="21" customHeight="1">
      <c r="A44" s="44"/>
      <c r="B44" s="45"/>
      <c r="C44" s="45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69"/>
      <c r="O44" s="80" t="s">
        <v>165</v>
      </c>
      <c r="P44" s="49"/>
      <c r="Q44" s="49"/>
      <c r="R44" s="49"/>
      <c r="S44" s="49"/>
      <c r="T44" s="50"/>
      <c r="U44" s="50"/>
      <c r="V44" s="49"/>
      <c r="W44" s="79" t="s">
        <v>115</v>
      </c>
      <c r="X44" s="79"/>
      <c r="Y44" s="79"/>
      <c r="Z44" s="79"/>
      <c r="AA44" s="79"/>
      <c r="AB44" s="79" t="s">
        <v>61</v>
      </c>
      <c r="AC44" s="71" t="s">
        <v>56</v>
      </c>
      <c r="AD44" s="71">
        <v>0</v>
      </c>
      <c r="AE44" s="72" t="s">
        <v>9</v>
      </c>
      <c r="AF44" s="2"/>
    </row>
    <row r="45" spans="1:32" s="11" customFormat="1" ht="21" customHeight="1">
      <c r="A45" s="44"/>
      <c r="B45" s="45"/>
      <c r="C45" s="45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69"/>
      <c r="O45" s="49"/>
      <c r="P45" s="49"/>
      <c r="Q45" s="49"/>
      <c r="R45" s="49"/>
      <c r="S45" s="50"/>
      <c r="T45" s="90"/>
      <c r="U45" s="73"/>
      <c r="V45" s="279"/>
      <c r="W45" s="73"/>
      <c r="X45" s="78"/>
      <c r="Y45" s="75"/>
      <c r="Z45" s="75"/>
      <c r="AA45" s="90"/>
      <c r="AB45" s="50"/>
      <c r="AC45" s="67"/>
      <c r="AD45" s="67"/>
      <c r="AE45" s="56"/>
      <c r="AF45" s="2"/>
    </row>
    <row r="46" spans="1:32" s="11" customFormat="1" ht="21" customHeight="1">
      <c r="A46" s="44"/>
      <c r="B46" s="45"/>
      <c r="C46" s="45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69"/>
      <c r="O46" s="49"/>
      <c r="P46" s="49"/>
      <c r="Q46" s="49"/>
      <c r="R46" s="49"/>
      <c r="S46" s="49"/>
      <c r="T46" s="50"/>
      <c r="U46" s="50"/>
      <c r="V46" s="50"/>
      <c r="W46" s="50"/>
      <c r="X46" s="50"/>
      <c r="Y46" s="50"/>
      <c r="Z46" s="50"/>
      <c r="AA46" s="50"/>
      <c r="AB46" s="50"/>
      <c r="AC46" s="67"/>
      <c r="AD46" s="67"/>
      <c r="AE46" s="56"/>
      <c r="AF46" s="2"/>
    </row>
    <row r="47" spans="1:32" s="11" customFormat="1" ht="21" customHeight="1">
      <c r="A47" s="44"/>
      <c r="B47" s="45"/>
      <c r="C47" s="35" t="s">
        <v>286</v>
      </c>
      <c r="D47" s="112">
        <v>110</v>
      </c>
      <c r="E47" s="112">
        <f>SUM(F47:L47)</f>
        <v>447</v>
      </c>
      <c r="F47" s="112">
        <f>SUMIF($AB$48:$AB$56,"보조",$AD$48:$AD$56)/1000</f>
        <v>0</v>
      </c>
      <c r="G47" s="112">
        <f>SUMIF($AB$48:$AB$56,"7종",$AD$48:$AD$56)/1000</f>
        <v>0</v>
      </c>
      <c r="H47" s="112">
        <f>SUMIF($AB$48:$AB$56,"시비",$AD$48:$AD$56)/1000</f>
        <v>0</v>
      </c>
      <c r="I47" s="112">
        <f>SUMIF($AB$48:$AB$56,"후원",$AD$48:$AD$56)/1000</f>
        <v>0</v>
      </c>
      <c r="J47" s="112">
        <f>SUMIF($AB$48:$AB$56,"입소",$AD$48:$AD$56)/1000</f>
        <v>447</v>
      </c>
      <c r="K47" s="112">
        <f>SUMIF($AB$48:$AB$56,"법인",$AD$48:$AD$56)/1000</f>
        <v>0</v>
      </c>
      <c r="L47" s="112">
        <f>SUMIF($AB$48:$AB$56,"잡수",$AD$48:$AD$56)/1000</f>
        <v>0</v>
      </c>
      <c r="M47" s="111">
        <f>E47-D47</f>
        <v>337</v>
      </c>
      <c r="N47" s="119">
        <f>IF(D47=0,0,M47/D47)</f>
        <v>3.0636363636363635</v>
      </c>
      <c r="O47" s="96" t="s">
        <v>93</v>
      </c>
      <c r="P47" s="148"/>
      <c r="Q47" s="92"/>
      <c r="R47" s="92"/>
      <c r="S47" s="92"/>
      <c r="T47" s="88"/>
      <c r="U47" s="88"/>
      <c r="V47" s="88"/>
      <c r="W47" s="149" t="s">
        <v>269</v>
      </c>
      <c r="X47" s="149"/>
      <c r="Y47" s="149"/>
      <c r="Z47" s="149"/>
      <c r="AA47" s="149"/>
      <c r="AB47" s="149"/>
      <c r="AC47" s="151"/>
      <c r="AD47" s="151">
        <f>SUM(AD48:AD55)</f>
        <v>447000</v>
      </c>
      <c r="AE47" s="150" t="s">
        <v>9</v>
      </c>
      <c r="AF47" s="21"/>
    </row>
    <row r="48" spans="1:32" s="11" customFormat="1" ht="21" customHeight="1">
      <c r="A48" s="44"/>
      <c r="B48" s="45"/>
      <c r="C48" s="45" t="s">
        <v>97</v>
      </c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69"/>
      <c r="O48" s="49" t="s">
        <v>168</v>
      </c>
      <c r="P48" s="49"/>
      <c r="Q48" s="49"/>
      <c r="R48" s="49"/>
      <c r="S48" s="50"/>
      <c r="T48" s="90" t="s">
        <v>9</v>
      </c>
      <c r="U48" s="73" t="s">
        <v>13</v>
      </c>
      <c r="V48" s="68"/>
      <c r="W48" s="73" t="s">
        <v>26</v>
      </c>
      <c r="X48" s="78"/>
      <c r="Y48" s="75"/>
      <c r="Z48" s="75"/>
      <c r="AA48" s="90" t="s">
        <v>6</v>
      </c>
      <c r="AB48" s="50" t="s">
        <v>70</v>
      </c>
      <c r="AC48" s="67"/>
      <c r="AD48" s="67">
        <f>ROUNDUP(S48*V48,-3)</f>
        <v>0</v>
      </c>
      <c r="AE48" s="56" t="s">
        <v>9</v>
      </c>
      <c r="AF48" s="2"/>
    </row>
    <row r="49" spans="1:32" s="11" customFormat="1" ht="21" customHeight="1">
      <c r="A49" s="44"/>
      <c r="B49" s="45"/>
      <c r="C49" s="45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69"/>
      <c r="O49" s="49" t="s">
        <v>138</v>
      </c>
      <c r="P49" s="49"/>
      <c r="Q49" s="49"/>
      <c r="R49" s="49"/>
      <c r="S49" s="50">
        <v>50000</v>
      </c>
      <c r="T49" s="90" t="s">
        <v>9</v>
      </c>
      <c r="U49" s="73" t="s">
        <v>13</v>
      </c>
      <c r="V49" s="68">
        <v>1</v>
      </c>
      <c r="W49" s="73" t="s">
        <v>26</v>
      </c>
      <c r="X49" s="78"/>
      <c r="Y49" s="75"/>
      <c r="Z49" s="75"/>
      <c r="AA49" s="90" t="s">
        <v>6</v>
      </c>
      <c r="AB49" s="50" t="s">
        <v>67</v>
      </c>
      <c r="AC49" s="67"/>
      <c r="AD49" s="67">
        <f>ROUNDUP(S49*V49,-3)</f>
        <v>50000</v>
      </c>
      <c r="AE49" s="56" t="s">
        <v>9</v>
      </c>
      <c r="AF49" s="2"/>
    </row>
    <row r="50" spans="1:32" s="11" customFormat="1" ht="21" customHeight="1">
      <c r="A50" s="44"/>
      <c r="B50" s="45"/>
      <c r="C50" s="45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69"/>
      <c r="O50" s="49" t="s">
        <v>309</v>
      </c>
      <c r="P50" s="49"/>
      <c r="Q50" s="49"/>
      <c r="R50" s="49"/>
      <c r="S50" s="50">
        <v>20000</v>
      </c>
      <c r="T50" s="90" t="s">
        <v>9</v>
      </c>
      <c r="U50" s="73" t="s">
        <v>13</v>
      </c>
      <c r="V50" s="68">
        <v>1</v>
      </c>
      <c r="W50" s="73" t="s">
        <v>26</v>
      </c>
      <c r="X50" s="78"/>
      <c r="Y50" s="75"/>
      <c r="Z50" s="75"/>
      <c r="AA50" s="90" t="s">
        <v>6</v>
      </c>
      <c r="AB50" s="50" t="s">
        <v>67</v>
      </c>
      <c r="AC50" s="67"/>
      <c r="AD50" s="67">
        <f>ROUNDUP(S50*V50,-3)</f>
        <v>20000</v>
      </c>
      <c r="AE50" s="56" t="s">
        <v>9</v>
      </c>
      <c r="AF50" s="2"/>
    </row>
    <row r="51" spans="1:32" s="11" customFormat="1" ht="21" customHeight="1">
      <c r="A51" s="44"/>
      <c r="B51" s="45"/>
      <c r="C51" s="45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69"/>
      <c r="O51" s="49" t="s">
        <v>353</v>
      </c>
      <c r="P51" s="49"/>
      <c r="Q51" s="49"/>
      <c r="R51" s="49"/>
      <c r="S51" s="50">
        <v>120000</v>
      </c>
      <c r="T51" s="90" t="s">
        <v>9</v>
      </c>
      <c r="U51" s="73" t="s">
        <v>13</v>
      </c>
      <c r="V51" s="68">
        <v>1</v>
      </c>
      <c r="W51" s="73" t="s">
        <v>318</v>
      </c>
      <c r="X51" s="78"/>
      <c r="Y51" s="75"/>
      <c r="Z51" s="75"/>
      <c r="AA51" s="90" t="s">
        <v>6</v>
      </c>
      <c r="AB51" s="50" t="s">
        <v>67</v>
      </c>
      <c r="AC51" s="67"/>
      <c r="AD51" s="67">
        <v>120000</v>
      </c>
      <c r="AE51" s="56" t="s">
        <v>317</v>
      </c>
      <c r="AF51" s="2"/>
    </row>
    <row r="52" spans="1:32" s="11" customFormat="1" ht="21" customHeight="1">
      <c r="A52" s="44"/>
      <c r="B52" s="45"/>
      <c r="C52" s="45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69"/>
      <c r="O52" s="49" t="s">
        <v>360</v>
      </c>
      <c r="P52" s="49"/>
      <c r="Q52" s="49"/>
      <c r="R52" s="49"/>
      <c r="S52" s="50">
        <v>22000</v>
      </c>
      <c r="T52" s="90" t="s">
        <v>9</v>
      </c>
      <c r="U52" s="73" t="s">
        <v>13</v>
      </c>
      <c r="V52" s="68">
        <v>1</v>
      </c>
      <c r="W52" s="73" t="s">
        <v>26</v>
      </c>
      <c r="X52" s="78"/>
      <c r="Y52" s="75"/>
      <c r="Z52" s="75"/>
      <c r="AA52" s="90" t="s">
        <v>6</v>
      </c>
      <c r="AB52" s="50" t="s">
        <v>67</v>
      </c>
      <c r="AC52" s="67"/>
      <c r="AD52" s="67">
        <f>ROUNDUP(S52*V52,-3)</f>
        <v>22000</v>
      </c>
      <c r="AE52" s="56" t="s">
        <v>9</v>
      </c>
      <c r="AF52" s="2"/>
    </row>
    <row r="53" spans="1:32" s="11" customFormat="1" ht="21" customHeight="1">
      <c r="A53" s="44"/>
      <c r="B53" s="45"/>
      <c r="C53" s="45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69"/>
      <c r="O53" s="49" t="s">
        <v>361</v>
      </c>
      <c r="P53" s="49"/>
      <c r="Q53" s="49"/>
      <c r="R53" s="49"/>
      <c r="S53" s="50">
        <v>15000</v>
      </c>
      <c r="T53" s="90" t="s">
        <v>9</v>
      </c>
      <c r="U53" s="73" t="s">
        <v>13</v>
      </c>
      <c r="V53" s="68">
        <v>1</v>
      </c>
      <c r="W53" s="73" t="s">
        <v>26</v>
      </c>
      <c r="X53" s="78"/>
      <c r="Y53" s="75"/>
      <c r="Z53" s="75"/>
      <c r="AA53" s="90" t="s">
        <v>6</v>
      </c>
      <c r="AB53" s="50" t="s">
        <v>67</v>
      </c>
      <c r="AC53" s="67"/>
      <c r="AD53" s="67">
        <f>ROUNDUP(S53*V53,-3)</f>
        <v>15000</v>
      </c>
      <c r="AE53" s="56" t="s">
        <v>362</v>
      </c>
      <c r="AF53" s="2"/>
    </row>
    <row r="54" spans="1:32" s="11" customFormat="1" ht="21" customHeight="1">
      <c r="A54" s="44"/>
      <c r="B54" s="45"/>
      <c r="C54" s="45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69"/>
      <c r="O54" s="49" t="s">
        <v>359</v>
      </c>
      <c r="P54" s="49"/>
      <c r="Q54" s="49"/>
      <c r="R54" s="49"/>
      <c r="S54" s="50">
        <v>200000</v>
      </c>
      <c r="T54" s="90" t="s">
        <v>9</v>
      </c>
      <c r="U54" s="73" t="s">
        <v>13</v>
      </c>
      <c r="V54" s="68">
        <v>1</v>
      </c>
      <c r="W54" s="73" t="s">
        <v>14</v>
      </c>
      <c r="X54" s="78"/>
      <c r="Y54" s="75"/>
      <c r="Z54" s="75"/>
      <c r="AA54" s="90" t="s">
        <v>6</v>
      </c>
      <c r="AB54" s="50" t="s">
        <v>67</v>
      </c>
      <c r="AC54" s="67"/>
      <c r="AD54" s="67">
        <f>ROUNDUP(S54*V54,-3)</f>
        <v>200000</v>
      </c>
      <c r="AE54" s="56" t="s">
        <v>9</v>
      </c>
      <c r="AF54" s="2"/>
    </row>
    <row r="55" spans="1:32" s="11" customFormat="1" ht="21" customHeight="1">
      <c r="A55" s="44"/>
      <c r="B55" s="45"/>
      <c r="C55" s="45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69"/>
      <c r="O55" s="49" t="s">
        <v>334</v>
      </c>
      <c r="P55" s="49"/>
      <c r="Q55" s="49"/>
      <c r="R55" s="49"/>
      <c r="S55" s="343">
        <v>20000</v>
      </c>
      <c r="T55" s="90" t="s">
        <v>9</v>
      </c>
      <c r="U55" s="73" t="s">
        <v>13</v>
      </c>
      <c r="V55" s="68">
        <v>1</v>
      </c>
      <c r="W55" s="73" t="s">
        <v>26</v>
      </c>
      <c r="X55" s="78" t="s">
        <v>13</v>
      </c>
      <c r="Y55" s="75">
        <v>1</v>
      </c>
      <c r="Z55" s="75" t="s">
        <v>318</v>
      </c>
      <c r="AA55" s="90" t="s">
        <v>6</v>
      </c>
      <c r="AB55" s="50" t="s">
        <v>67</v>
      </c>
      <c r="AC55" s="67"/>
      <c r="AD55" s="67">
        <f>ROUNDUP(S55*V55,-3)</f>
        <v>20000</v>
      </c>
      <c r="AE55" s="56" t="s">
        <v>9</v>
      </c>
      <c r="AF55" s="2"/>
    </row>
    <row r="56" spans="1:32" s="11" customFormat="1" ht="21" customHeight="1">
      <c r="A56" s="44"/>
      <c r="B56" s="58"/>
      <c r="C56" s="58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83"/>
      <c r="O56" s="80"/>
      <c r="P56" s="80"/>
      <c r="Q56" s="80"/>
      <c r="R56" s="80"/>
      <c r="S56" s="79"/>
      <c r="T56" s="85"/>
      <c r="U56" s="85"/>
      <c r="V56" s="85"/>
      <c r="W56" s="79"/>
      <c r="X56" s="85"/>
      <c r="Y56" s="85"/>
      <c r="Z56" s="85"/>
      <c r="AA56" s="79"/>
      <c r="AB56" s="85"/>
      <c r="AC56" s="85"/>
      <c r="AD56" s="79"/>
      <c r="AE56" s="120"/>
      <c r="AF56" s="2"/>
    </row>
    <row r="57" spans="1:32" s="11" customFormat="1" ht="21" customHeight="1">
      <c r="A57" s="44"/>
      <c r="B57" s="45" t="s">
        <v>255</v>
      </c>
      <c r="C57" s="45" t="s">
        <v>4</v>
      </c>
      <c r="D57" s="108">
        <v>240</v>
      </c>
      <c r="E57" s="108">
        <f aca="true" t="shared" si="3" ref="E57:L57">SUM(E58,E60,E62)</f>
        <v>240</v>
      </c>
      <c r="F57" s="108">
        <f t="shared" si="3"/>
        <v>100</v>
      </c>
      <c r="G57" s="108">
        <f t="shared" si="3"/>
        <v>0</v>
      </c>
      <c r="H57" s="108">
        <f t="shared" si="3"/>
        <v>0</v>
      </c>
      <c r="I57" s="108">
        <f t="shared" si="3"/>
        <v>0</v>
      </c>
      <c r="J57" s="108">
        <f t="shared" si="3"/>
        <v>40</v>
      </c>
      <c r="K57" s="108">
        <f t="shared" si="3"/>
        <v>100</v>
      </c>
      <c r="L57" s="108">
        <f t="shared" si="3"/>
        <v>0</v>
      </c>
      <c r="M57" s="108">
        <f>E57-D57</f>
        <v>0</v>
      </c>
      <c r="N57" s="69">
        <f>IF(D57=0,0,M57/D57)</f>
        <v>0</v>
      </c>
      <c r="O57" s="31" t="s">
        <v>301</v>
      </c>
      <c r="P57" s="31"/>
      <c r="Q57" s="31"/>
      <c r="R57" s="31"/>
      <c r="S57" s="32"/>
      <c r="T57" s="32"/>
      <c r="U57" s="32"/>
      <c r="V57" s="32"/>
      <c r="W57" s="88"/>
      <c r="X57" s="88"/>
      <c r="Y57" s="88"/>
      <c r="Z57" s="88"/>
      <c r="AA57" s="88"/>
      <c r="AB57" s="88"/>
      <c r="AC57" s="93"/>
      <c r="AD57" s="93">
        <f>SUM(AD58,AD60,AD62)</f>
        <v>240000</v>
      </c>
      <c r="AE57" s="94" t="s">
        <v>9</v>
      </c>
      <c r="AF57" s="5"/>
    </row>
    <row r="58" spans="1:31" s="11" customFormat="1" ht="21" customHeight="1">
      <c r="A58" s="44"/>
      <c r="B58" s="45" t="s">
        <v>38</v>
      </c>
      <c r="C58" s="35" t="s">
        <v>271</v>
      </c>
      <c r="D58" s="112">
        <v>0</v>
      </c>
      <c r="E58" s="112">
        <f>SUM(F58:L58)</f>
        <v>0</v>
      </c>
      <c r="F58" s="112">
        <f>SUMIF($AB$59:$AB$59,"보조",$AD$59:$AD$59)/1000</f>
        <v>0</v>
      </c>
      <c r="G58" s="112">
        <f>SUMIF($AB$59:$AB$59,"7종",$AD$59:$AD$59)/1000</f>
        <v>0</v>
      </c>
      <c r="H58" s="112">
        <f>SUMIF($AB$59:$AB$59,"시비",$AD$59:$AD$59)/1000</f>
        <v>0</v>
      </c>
      <c r="I58" s="112">
        <f>SUMIF($AB$59:$AB$59,"후원",$AD$59:$AD$59)/1000</f>
        <v>0</v>
      </c>
      <c r="J58" s="112">
        <f>SUMIF($AB$59:$AB$59,"입소",$AD$59:$AD$59)/1000</f>
        <v>0</v>
      </c>
      <c r="K58" s="112">
        <f>SUMIF($AB$59:$AB$59,"법인",$AD$59:$AD$59)/1000</f>
        <v>0</v>
      </c>
      <c r="L58" s="112">
        <f>SUMIF($AB$59:$AB$59,"잡수",$AD$59:$AD$59)/1000</f>
        <v>0</v>
      </c>
      <c r="M58" s="111">
        <f>E58-D58</f>
        <v>0</v>
      </c>
      <c r="N58" s="119">
        <f>IF(D58=0,0,M58/D58)</f>
        <v>0</v>
      </c>
      <c r="O58" s="96" t="s">
        <v>212</v>
      </c>
      <c r="P58" s="135"/>
      <c r="Q58" s="137"/>
      <c r="R58" s="137"/>
      <c r="S58" s="137"/>
      <c r="T58" s="87"/>
      <c r="U58" s="87"/>
      <c r="V58" s="87"/>
      <c r="W58" s="87"/>
      <c r="X58" s="87"/>
      <c r="Y58" s="149" t="s">
        <v>27</v>
      </c>
      <c r="Z58" s="149"/>
      <c r="AA58" s="149"/>
      <c r="AB58" s="149"/>
      <c r="AC58" s="151"/>
      <c r="AD58" s="151">
        <f>AD59</f>
        <v>0</v>
      </c>
      <c r="AE58" s="150" t="s">
        <v>9</v>
      </c>
    </row>
    <row r="59" spans="1:32" s="11" customFormat="1" ht="21" customHeight="1">
      <c r="A59" s="44"/>
      <c r="B59" s="45"/>
      <c r="C59" s="45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69"/>
      <c r="O59" s="49"/>
      <c r="P59" s="49"/>
      <c r="Q59" s="49"/>
      <c r="R59" s="49"/>
      <c r="S59" s="50"/>
      <c r="T59" s="54"/>
      <c r="U59" s="54"/>
      <c r="V59" s="50"/>
      <c r="W59" s="49"/>
      <c r="X59" s="50"/>
      <c r="Y59" s="50"/>
      <c r="Z59" s="50"/>
      <c r="AA59" s="50"/>
      <c r="AB59" s="50"/>
      <c r="AC59" s="50"/>
      <c r="AD59" s="50"/>
      <c r="AE59" s="56" t="s">
        <v>9</v>
      </c>
      <c r="AF59" s="2"/>
    </row>
    <row r="60" spans="1:32" s="11" customFormat="1" ht="21" customHeight="1">
      <c r="A60" s="44"/>
      <c r="B60" s="45"/>
      <c r="C60" s="35" t="s">
        <v>235</v>
      </c>
      <c r="D60" s="112">
        <v>0</v>
      </c>
      <c r="E60" s="112">
        <f>SUM(F60:L60)</f>
        <v>0</v>
      </c>
      <c r="F60" s="112">
        <f>SUMIF($AB$61:$AB$61,"보조",$AD$61:$AD$61)/1000</f>
        <v>0</v>
      </c>
      <c r="G60" s="112">
        <f>SUMIF($AB$61:$AB$61,"7종",$AD$61:$AD$61)/1000</f>
        <v>0</v>
      </c>
      <c r="H60" s="112">
        <f>SUMIF($AB$61:$AB$61,"시비",$AD$61:$AD$61)/1000</f>
        <v>0</v>
      </c>
      <c r="I60" s="112">
        <f>SUMIF($AB$61:$AB$61,"후원",$AD$61:$AD$61)/1000</f>
        <v>0</v>
      </c>
      <c r="J60" s="112">
        <f>SUMIF($AB$61:$AB$61,"입소",$AD$61:$AD$61)/1000</f>
        <v>0</v>
      </c>
      <c r="K60" s="112">
        <f>SUMIF($AB$61:$AB$61,"법인",$AD$61:$AD$61)/1000</f>
        <v>0</v>
      </c>
      <c r="L60" s="112">
        <f>SUMIF($AB$61:$AB$61,"잡수",$AD$61:$AD$61)/1000</f>
        <v>0</v>
      </c>
      <c r="M60" s="111">
        <f>E60-D60</f>
        <v>0</v>
      </c>
      <c r="N60" s="119">
        <f>IF(D60=0,0,M60/D60)</f>
        <v>0</v>
      </c>
      <c r="O60" s="96" t="s">
        <v>288</v>
      </c>
      <c r="P60" s="148"/>
      <c r="Q60" s="92"/>
      <c r="R60" s="92"/>
      <c r="S60" s="92"/>
      <c r="T60" s="88"/>
      <c r="U60" s="88"/>
      <c r="V60" s="88"/>
      <c r="W60" s="88"/>
      <c r="X60" s="88"/>
      <c r="Y60" s="149" t="s">
        <v>27</v>
      </c>
      <c r="Z60" s="149"/>
      <c r="AA60" s="149"/>
      <c r="AB60" s="149"/>
      <c r="AC60" s="151"/>
      <c r="AD60" s="151">
        <v>0</v>
      </c>
      <c r="AE60" s="150" t="s">
        <v>9</v>
      </c>
      <c r="AF60" s="1"/>
    </row>
    <row r="61" spans="1:32" s="11" customFormat="1" ht="21" customHeight="1">
      <c r="A61" s="44"/>
      <c r="B61" s="45"/>
      <c r="C61" s="58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83"/>
      <c r="O61" s="80"/>
      <c r="P61" s="80"/>
      <c r="Q61" s="80"/>
      <c r="R61" s="80"/>
      <c r="S61" s="79"/>
      <c r="T61" s="84"/>
      <c r="U61" s="84"/>
      <c r="V61" s="79"/>
      <c r="W61" s="80"/>
      <c r="X61" s="79"/>
      <c r="Y61" s="79"/>
      <c r="Z61" s="79"/>
      <c r="AA61" s="79"/>
      <c r="AB61" s="79"/>
      <c r="AC61" s="79"/>
      <c r="AD61" s="79"/>
      <c r="AE61" s="72"/>
      <c r="AF61" s="1"/>
    </row>
    <row r="62" spans="1:32" s="11" customFormat="1" ht="21" customHeight="1">
      <c r="A62" s="44"/>
      <c r="B62" s="45"/>
      <c r="C62" s="45" t="s">
        <v>216</v>
      </c>
      <c r="D62" s="112">
        <v>240</v>
      </c>
      <c r="E62" s="112">
        <f>SUM(F62:L62)</f>
        <v>240</v>
      </c>
      <c r="F62" s="112">
        <f>SUMIF($AB$63:$AB$66,"보조",$AD$63:$AD$66)/1000</f>
        <v>100</v>
      </c>
      <c r="G62" s="112">
        <f>SUMIF($AB$63:$AB$66,"7종",$AD$63:$AD$66)/1000</f>
        <v>0</v>
      </c>
      <c r="H62" s="112">
        <f>SUMIF($AB$63:$AB$66,"시비",$AD$63:$AD$66)/1000</f>
        <v>0</v>
      </c>
      <c r="I62" s="112">
        <f>SUMIF($AB$63:$AB$66,"후원",$AD$63:$AD$66)/1000</f>
        <v>0</v>
      </c>
      <c r="J62" s="112">
        <f>SUMIF($AB$63:$AB$66,"입소",$AD$63:$AD$66)/1000</f>
        <v>40</v>
      </c>
      <c r="K62" s="112">
        <f>SUMIF($AB$63:$AB$66,"법인",$AD$63:$AD$66)/1000</f>
        <v>100</v>
      </c>
      <c r="L62" s="112">
        <f>SUMIF($AB$63:$AB$66,"잡수",$AD$63:$AD$66)/1000</f>
        <v>0</v>
      </c>
      <c r="M62" s="108">
        <f>E62-D62</f>
        <v>0</v>
      </c>
      <c r="N62" s="69">
        <f>IF(D62=0,0,M62/D62)</f>
        <v>0</v>
      </c>
      <c r="O62" s="114" t="s">
        <v>218</v>
      </c>
      <c r="P62" s="31"/>
      <c r="Q62" s="31"/>
      <c r="R62" s="31"/>
      <c r="S62" s="31"/>
      <c r="T62" s="32"/>
      <c r="U62" s="32"/>
      <c r="V62" s="32"/>
      <c r="W62" s="32"/>
      <c r="X62" s="32"/>
      <c r="Y62" s="149" t="s">
        <v>27</v>
      </c>
      <c r="Z62" s="149"/>
      <c r="AA62" s="149"/>
      <c r="AB62" s="149"/>
      <c r="AC62" s="151"/>
      <c r="AD62" s="151">
        <f>SUM(AD63:AD65)</f>
        <v>240000</v>
      </c>
      <c r="AE62" s="150" t="s">
        <v>9</v>
      </c>
      <c r="AF62" s="1"/>
    </row>
    <row r="63" spans="1:32" s="11" customFormat="1" ht="21" customHeight="1">
      <c r="A63" s="44"/>
      <c r="B63" s="45"/>
      <c r="C63" s="45"/>
      <c r="D63" s="334"/>
      <c r="E63" s="334"/>
      <c r="F63" s="108"/>
      <c r="G63" s="108"/>
      <c r="H63" s="108"/>
      <c r="I63" s="108"/>
      <c r="J63" s="108"/>
      <c r="K63" s="108"/>
      <c r="L63" s="108"/>
      <c r="M63" s="108"/>
      <c r="N63" s="69"/>
      <c r="O63" s="49" t="s">
        <v>167</v>
      </c>
      <c r="P63" s="49"/>
      <c r="Q63" s="49"/>
      <c r="R63" s="49"/>
      <c r="S63" s="343">
        <v>50000</v>
      </c>
      <c r="T63" s="50" t="s">
        <v>9</v>
      </c>
      <c r="U63" s="49" t="s">
        <v>13</v>
      </c>
      <c r="V63" s="335">
        <v>2</v>
      </c>
      <c r="W63" s="49" t="s">
        <v>13</v>
      </c>
      <c r="X63" s="336">
        <v>1</v>
      </c>
      <c r="Y63" s="55"/>
      <c r="Z63" s="90"/>
      <c r="AA63" s="90" t="s">
        <v>6</v>
      </c>
      <c r="AB63" s="90" t="s">
        <v>12</v>
      </c>
      <c r="AC63" s="50"/>
      <c r="AD63" s="50">
        <f>S63*V63*X63</f>
        <v>100000</v>
      </c>
      <c r="AE63" s="56" t="s">
        <v>9</v>
      </c>
      <c r="AF63" s="1"/>
    </row>
    <row r="64" spans="1:32" s="11" customFormat="1" ht="21" customHeight="1">
      <c r="A64" s="44"/>
      <c r="B64" s="45"/>
      <c r="C64" s="45"/>
      <c r="D64" s="334"/>
      <c r="E64" s="334"/>
      <c r="F64" s="108"/>
      <c r="G64" s="108"/>
      <c r="H64" s="108"/>
      <c r="I64" s="108"/>
      <c r="J64" s="108"/>
      <c r="K64" s="108"/>
      <c r="L64" s="108"/>
      <c r="M64" s="108"/>
      <c r="N64" s="69"/>
      <c r="O64" s="49"/>
      <c r="P64" s="49"/>
      <c r="Q64" s="49"/>
      <c r="R64" s="49"/>
      <c r="S64" s="343">
        <v>50000</v>
      </c>
      <c r="T64" s="50" t="s">
        <v>9</v>
      </c>
      <c r="U64" s="49" t="s">
        <v>13</v>
      </c>
      <c r="V64" s="335">
        <v>2</v>
      </c>
      <c r="W64" s="49" t="s">
        <v>13</v>
      </c>
      <c r="X64" s="336">
        <v>1</v>
      </c>
      <c r="Y64" s="55"/>
      <c r="Z64" s="90"/>
      <c r="AA64" s="90" t="s">
        <v>6</v>
      </c>
      <c r="AB64" s="90" t="s">
        <v>48</v>
      </c>
      <c r="AC64" s="50"/>
      <c r="AD64" s="50">
        <f>S64*V64*X64</f>
        <v>100000</v>
      </c>
      <c r="AE64" s="56" t="s">
        <v>9</v>
      </c>
      <c r="AF64" s="1"/>
    </row>
    <row r="65" spans="1:32" s="14" customFormat="1" ht="21" customHeight="1">
      <c r="A65" s="44"/>
      <c r="B65" s="45"/>
      <c r="C65" s="45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69"/>
      <c r="O65" s="49" t="s">
        <v>111</v>
      </c>
      <c r="P65" s="49"/>
      <c r="Q65" s="49"/>
      <c r="R65" s="49"/>
      <c r="S65" s="343">
        <v>10000</v>
      </c>
      <c r="T65" s="50" t="s">
        <v>9</v>
      </c>
      <c r="U65" s="49" t="s">
        <v>13</v>
      </c>
      <c r="V65" s="50">
        <v>4</v>
      </c>
      <c r="W65" s="50" t="s">
        <v>14</v>
      </c>
      <c r="X65" s="49"/>
      <c r="Y65" s="55"/>
      <c r="Z65" s="90"/>
      <c r="AA65" s="90" t="s">
        <v>6</v>
      </c>
      <c r="AB65" s="90" t="s">
        <v>336</v>
      </c>
      <c r="AC65" s="50"/>
      <c r="AD65" s="50">
        <f>S65*V65</f>
        <v>40000</v>
      </c>
      <c r="AE65" s="56" t="s">
        <v>9</v>
      </c>
      <c r="AF65" s="4"/>
    </row>
    <row r="66" spans="1:32" s="14" customFormat="1" ht="21" customHeight="1">
      <c r="A66" s="44"/>
      <c r="B66" s="45"/>
      <c r="C66" s="45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69"/>
      <c r="O66" s="49"/>
      <c r="P66" s="49"/>
      <c r="Q66" s="49"/>
      <c r="R66" s="49"/>
      <c r="S66" s="50"/>
      <c r="T66" s="54"/>
      <c r="U66" s="54"/>
      <c r="V66" s="50"/>
      <c r="W66" s="49"/>
      <c r="X66" s="50"/>
      <c r="Y66" s="50"/>
      <c r="Z66" s="50"/>
      <c r="AA66" s="50"/>
      <c r="AB66" s="50"/>
      <c r="AC66" s="50"/>
      <c r="AD66" s="50"/>
      <c r="AE66" s="56"/>
      <c r="AF66" s="4"/>
    </row>
    <row r="67" spans="1:32" s="11" customFormat="1" ht="21" customHeight="1">
      <c r="A67" s="44"/>
      <c r="B67" s="35" t="s">
        <v>10</v>
      </c>
      <c r="C67" s="145" t="s">
        <v>4</v>
      </c>
      <c r="D67" s="146">
        <v>10108</v>
      </c>
      <c r="E67" s="146">
        <f aca="true" t="shared" si="4" ref="E67:L67">SUM(E68,E71,E80,E86,E92,E97)</f>
        <v>8586</v>
      </c>
      <c r="F67" s="146">
        <f t="shared" si="4"/>
        <v>3856</v>
      </c>
      <c r="G67" s="146">
        <f t="shared" si="4"/>
        <v>0</v>
      </c>
      <c r="H67" s="146">
        <f t="shared" si="4"/>
        <v>0</v>
      </c>
      <c r="I67" s="146">
        <f t="shared" si="4"/>
        <v>250</v>
      </c>
      <c r="J67" s="146">
        <f t="shared" si="4"/>
        <v>3639</v>
      </c>
      <c r="K67" s="146">
        <f t="shared" si="4"/>
        <v>246</v>
      </c>
      <c r="L67" s="146">
        <f t="shared" si="4"/>
        <v>595</v>
      </c>
      <c r="M67" s="146">
        <f>E67-D67</f>
        <v>-1522</v>
      </c>
      <c r="N67" s="147">
        <f>IF(D67=0,0,M67/D67)</f>
        <v>-0.15057380292837358</v>
      </c>
      <c r="O67" s="148" t="s">
        <v>10</v>
      </c>
      <c r="P67" s="148"/>
      <c r="Q67" s="148"/>
      <c r="R67" s="148"/>
      <c r="S67" s="149"/>
      <c r="T67" s="154"/>
      <c r="U67" s="149"/>
      <c r="V67" s="457"/>
      <c r="W67" s="458"/>
      <c r="X67" s="149"/>
      <c r="Y67" s="149"/>
      <c r="Z67" s="149"/>
      <c r="AA67" s="149"/>
      <c r="AB67" s="149"/>
      <c r="AC67" s="149"/>
      <c r="AD67" s="149">
        <f>SUM(AD68,AD71,AD80,AD86,AD92,AD97)</f>
        <v>8586000</v>
      </c>
      <c r="AE67" s="150" t="s">
        <v>9</v>
      </c>
      <c r="AF67" s="1"/>
    </row>
    <row r="68" spans="1:34" s="11" customFormat="1" ht="21" customHeight="1">
      <c r="A68" s="44"/>
      <c r="B68" s="45"/>
      <c r="C68" s="45" t="s">
        <v>241</v>
      </c>
      <c r="D68" s="112">
        <v>200</v>
      </c>
      <c r="E68" s="112">
        <f>SUM(F68:L68)</f>
        <v>100</v>
      </c>
      <c r="F68" s="112">
        <f>SUMIF($AB$69:$AB$70,"보조",$AD$69:$AD$70)/1000</f>
        <v>0</v>
      </c>
      <c r="G68" s="112">
        <f>SUMIF($AB$69:$AB$70,"7종",$AD$69:$AD$70)/1000</f>
        <v>0</v>
      </c>
      <c r="H68" s="112">
        <f>SUMIF($AB$69:$AB$70,"시비",$AD$69:$AD$70)/1000</f>
        <v>0</v>
      </c>
      <c r="I68" s="112">
        <f>SUMIF($AB$69:$AB$70,"후원",$AD$69:$AD$70)/1000</f>
        <v>100</v>
      </c>
      <c r="J68" s="112">
        <f>SUMIF($AB$69:$AB$70,"입소",$AD$69:$AD$70)/1000</f>
        <v>0</v>
      </c>
      <c r="K68" s="112">
        <f>SUMIF($AB$69:$AB$70,"법인",$AD$69:$AD$70)/1000</f>
        <v>0</v>
      </c>
      <c r="L68" s="112">
        <f>SUMIF($AB$69:$AB$70,"잡수",$AD$69:$AD$70)/1000</f>
        <v>0</v>
      </c>
      <c r="M68" s="108">
        <f>E68-D68</f>
        <v>-100</v>
      </c>
      <c r="N68" s="69">
        <f>IF(D68=0,0,M68/D68)</f>
        <v>-0.5</v>
      </c>
      <c r="O68" s="114" t="s">
        <v>240</v>
      </c>
      <c r="P68" s="31"/>
      <c r="Q68" s="31"/>
      <c r="R68" s="31"/>
      <c r="S68" s="31"/>
      <c r="T68" s="32"/>
      <c r="U68" s="32"/>
      <c r="V68" s="32"/>
      <c r="W68" s="32"/>
      <c r="X68" s="32"/>
      <c r="Y68" s="149" t="s">
        <v>27</v>
      </c>
      <c r="Z68" s="149"/>
      <c r="AA68" s="149"/>
      <c r="AB68" s="149"/>
      <c r="AC68" s="151"/>
      <c r="AD68" s="151">
        <f>SUM(AD69:AD69)</f>
        <v>100000</v>
      </c>
      <c r="AE68" s="150" t="s">
        <v>9</v>
      </c>
      <c r="AF68" s="20"/>
      <c r="AG68" s="19"/>
      <c r="AH68" s="19"/>
    </row>
    <row r="69" spans="1:32" s="11" customFormat="1" ht="21" customHeight="1">
      <c r="A69" s="44"/>
      <c r="B69" s="45"/>
      <c r="C69" s="45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69"/>
      <c r="O69" s="49" t="s">
        <v>196</v>
      </c>
      <c r="P69" s="49"/>
      <c r="Q69" s="49"/>
      <c r="R69" s="49"/>
      <c r="S69" s="50">
        <v>50000</v>
      </c>
      <c r="T69" s="54" t="s">
        <v>9</v>
      </c>
      <c r="U69" s="54" t="s">
        <v>13</v>
      </c>
      <c r="V69" s="50">
        <v>1</v>
      </c>
      <c r="W69" s="54" t="s">
        <v>26</v>
      </c>
      <c r="X69" s="50" t="s">
        <v>13</v>
      </c>
      <c r="Y69" s="50">
        <v>2</v>
      </c>
      <c r="Z69" s="50" t="s">
        <v>14</v>
      </c>
      <c r="AA69" s="50" t="s">
        <v>6</v>
      </c>
      <c r="AB69" s="50" t="s">
        <v>330</v>
      </c>
      <c r="AC69" s="50"/>
      <c r="AD69" s="50">
        <f>S69*V69*Y69</f>
        <v>100000</v>
      </c>
      <c r="AE69" s="56" t="s">
        <v>9</v>
      </c>
      <c r="AF69" s="2"/>
    </row>
    <row r="70" spans="1:32" s="11" customFormat="1" ht="21" customHeight="1">
      <c r="A70" s="44"/>
      <c r="B70" s="45"/>
      <c r="C70" s="45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69"/>
      <c r="O70" s="49"/>
      <c r="P70" s="49"/>
      <c r="Q70" s="49"/>
      <c r="R70" s="49"/>
      <c r="S70" s="50"/>
      <c r="T70" s="54"/>
      <c r="U70" s="54"/>
      <c r="V70" s="50"/>
      <c r="W70" s="54"/>
      <c r="X70" s="50"/>
      <c r="Y70" s="50"/>
      <c r="Z70" s="50"/>
      <c r="AA70" s="50"/>
      <c r="AB70" s="50"/>
      <c r="AC70" s="50"/>
      <c r="AD70" s="50"/>
      <c r="AE70" s="56" t="s">
        <v>9</v>
      </c>
      <c r="AF70" s="2"/>
    </row>
    <row r="71" spans="1:32" s="11" customFormat="1" ht="21" customHeight="1">
      <c r="A71" s="44"/>
      <c r="B71" s="45"/>
      <c r="C71" s="35" t="s">
        <v>259</v>
      </c>
      <c r="D71" s="112">
        <v>2483</v>
      </c>
      <c r="E71" s="112">
        <f>SUM(F71:L71)</f>
        <v>2921</v>
      </c>
      <c r="F71" s="112">
        <f>SUMIF($AB$72:$AB$79,"보조",$AD$72:$AD$79)/1000</f>
        <v>836</v>
      </c>
      <c r="G71" s="112">
        <f>SUMIF($AB$72:$AB$79,"7종",$AD$72:$AD$79)/1000</f>
        <v>0</v>
      </c>
      <c r="H71" s="112">
        <f>SUMIF($AB$72:$AB$79,"시비",$AD$72:$AD$79)/1000</f>
        <v>0</v>
      </c>
      <c r="I71" s="112">
        <f>SUMIF($AB$72:$AB$79,"후원",$AD$72:$AD$79)/1000</f>
        <v>0</v>
      </c>
      <c r="J71" s="112">
        <f>SUMIF($AB$72:$AB$79,"입소",$AD$72:$AD$79)/1000</f>
        <v>1839</v>
      </c>
      <c r="K71" s="112">
        <f>SUMIF($AB$72:$AB$79,"법인",$AD$72:$AD$79)/1000</f>
        <v>246</v>
      </c>
      <c r="L71" s="112">
        <f>SUMIF($AB$72:$AB$79,"잡수",$AD$72:$AD$79)/1000</f>
        <v>0</v>
      </c>
      <c r="M71" s="111">
        <f>E71-D71</f>
        <v>438</v>
      </c>
      <c r="N71" s="119">
        <f>IF(D71=0,0,M71/D71)</f>
        <v>0.17639951671365284</v>
      </c>
      <c r="O71" s="96" t="s">
        <v>73</v>
      </c>
      <c r="P71" s="92"/>
      <c r="Q71" s="92"/>
      <c r="R71" s="92"/>
      <c r="S71" s="92"/>
      <c r="T71" s="88"/>
      <c r="U71" s="88"/>
      <c r="V71" s="88"/>
      <c r="W71" s="88"/>
      <c r="X71" s="88"/>
      <c r="Y71" s="149" t="s">
        <v>244</v>
      </c>
      <c r="Z71" s="149"/>
      <c r="AA71" s="149"/>
      <c r="AB71" s="149"/>
      <c r="AC71" s="151"/>
      <c r="AD71" s="151">
        <f>ROUNDDOWN(SUM(AD72:AD78),-3)</f>
        <v>2921000</v>
      </c>
      <c r="AE71" s="150" t="s">
        <v>9</v>
      </c>
      <c r="AF71" s="1"/>
    </row>
    <row r="72" spans="1:32" s="11" customFormat="1" ht="21" customHeight="1">
      <c r="A72" s="44"/>
      <c r="B72" s="45"/>
      <c r="C72" s="45" t="s">
        <v>37</v>
      </c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69"/>
      <c r="O72" s="137" t="s">
        <v>189</v>
      </c>
      <c r="P72" s="49"/>
      <c r="Q72" s="49"/>
      <c r="R72" s="49"/>
      <c r="S72" s="50"/>
      <c r="T72" s="54"/>
      <c r="U72" s="50"/>
      <c r="V72" s="247"/>
      <c r="W72" s="248"/>
      <c r="X72" s="248"/>
      <c r="Y72" s="247"/>
      <c r="Z72" s="249"/>
      <c r="AA72" s="247"/>
      <c r="AB72" s="87" t="s">
        <v>12</v>
      </c>
      <c r="AC72" s="87"/>
      <c r="AD72" s="50">
        <v>495000</v>
      </c>
      <c r="AE72" s="280" t="s">
        <v>9</v>
      </c>
      <c r="AF72" s="1"/>
    </row>
    <row r="73" spans="1:32" s="11" customFormat="1" ht="21" customHeight="1">
      <c r="A73" s="44"/>
      <c r="B73" s="45"/>
      <c r="C73" s="45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69"/>
      <c r="O73" s="49"/>
      <c r="P73" s="49"/>
      <c r="Q73" s="49"/>
      <c r="R73" s="49"/>
      <c r="S73" s="50"/>
      <c r="T73" s="54"/>
      <c r="U73" s="50"/>
      <c r="V73" s="247"/>
      <c r="W73" s="248"/>
      <c r="X73" s="248"/>
      <c r="Y73" s="247"/>
      <c r="Z73" s="249"/>
      <c r="AA73" s="247"/>
      <c r="AB73" s="50" t="s">
        <v>332</v>
      </c>
      <c r="AC73" s="50"/>
      <c r="AD73" s="50">
        <v>246000</v>
      </c>
      <c r="AE73" s="56" t="s">
        <v>9</v>
      </c>
      <c r="AF73" s="1"/>
    </row>
    <row r="74" spans="1:32" s="11" customFormat="1" ht="21" customHeight="1">
      <c r="A74" s="44"/>
      <c r="B74" s="45"/>
      <c r="C74" s="45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69"/>
      <c r="O74" s="49" t="s">
        <v>163</v>
      </c>
      <c r="P74" s="49"/>
      <c r="Q74" s="49"/>
      <c r="R74" s="49"/>
      <c r="S74" s="50"/>
      <c r="T74" s="54"/>
      <c r="U74" s="54"/>
      <c r="V74" s="247"/>
      <c r="W74" s="248"/>
      <c r="X74" s="248"/>
      <c r="Y74" s="247"/>
      <c r="Z74" s="249"/>
      <c r="AA74" s="247"/>
      <c r="AB74" s="50" t="s">
        <v>67</v>
      </c>
      <c r="AC74" s="50"/>
      <c r="AD74" s="50">
        <v>328000</v>
      </c>
      <c r="AE74" s="56" t="s">
        <v>9</v>
      </c>
      <c r="AF74" s="20"/>
    </row>
    <row r="75" spans="1:32" s="11" customFormat="1" ht="21" customHeight="1">
      <c r="A75" s="44"/>
      <c r="B75" s="45"/>
      <c r="C75" s="45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69"/>
      <c r="O75" s="49" t="s">
        <v>162</v>
      </c>
      <c r="P75" s="49"/>
      <c r="Q75" s="49"/>
      <c r="R75" s="49"/>
      <c r="S75" s="50">
        <v>31000</v>
      </c>
      <c r="T75" s="54" t="s">
        <v>9</v>
      </c>
      <c r="U75" s="54" t="s">
        <v>13</v>
      </c>
      <c r="V75" s="50">
        <v>11</v>
      </c>
      <c r="W75" s="49" t="s">
        <v>2</v>
      </c>
      <c r="X75" s="50"/>
      <c r="Y75" s="50"/>
      <c r="Z75" s="50"/>
      <c r="AA75" s="50" t="s">
        <v>6</v>
      </c>
      <c r="AB75" s="50" t="s">
        <v>12</v>
      </c>
      <c r="AC75" s="50"/>
      <c r="AD75" s="50">
        <f>S75*V75</f>
        <v>341000</v>
      </c>
      <c r="AE75" s="56" t="s">
        <v>9</v>
      </c>
      <c r="AF75" s="20"/>
    </row>
    <row r="76" spans="1:32" s="11" customFormat="1" ht="21" customHeight="1">
      <c r="A76" s="44"/>
      <c r="B76" s="45"/>
      <c r="C76" s="45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69"/>
      <c r="O76" s="49"/>
      <c r="P76" s="49"/>
      <c r="Q76" s="49"/>
      <c r="R76" s="49"/>
      <c r="S76" s="50">
        <v>31000</v>
      </c>
      <c r="T76" s="54" t="s">
        <v>9</v>
      </c>
      <c r="U76" s="54" t="s">
        <v>13</v>
      </c>
      <c r="V76" s="50">
        <v>1</v>
      </c>
      <c r="W76" s="49" t="s">
        <v>2</v>
      </c>
      <c r="X76" s="50"/>
      <c r="Y76" s="50"/>
      <c r="Z76" s="50"/>
      <c r="AA76" s="50" t="s">
        <v>6</v>
      </c>
      <c r="AB76" s="50" t="s">
        <v>67</v>
      </c>
      <c r="AC76" s="50"/>
      <c r="AD76" s="50">
        <f>S76*V76</f>
        <v>31000</v>
      </c>
      <c r="AE76" s="56" t="s">
        <v>9</v>
      </c>
      <c r="AF76" s="20"/>
    </row>
    <row r="77" spans="1:32" s="11" customFormat="1" ht="21" customHeight="1">
      <c r="A77" s="44"/>
      <c r="B77" s="45"/>
      <c r="C77" s="45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69"/>
      <c r="O77" s="353" t="s">
        <v>186</v>
      </c>
      <c r="P77" s="353"/>
      <c r="Q77" s="353"/>
      <c r="R77" s="353"/>
      <c r="S77" s="343"/>
      <c r="T77" s="354"/>
      <c r="U77" s="354"/>
      <c r="V77" s="343"/>
      <c r="W77" s="343"/>
      <c r="X77" s="343"/>
      <c r="Y77" s="343"/>
      <c r="Z77" s="343"/>
      <c r="AA77" s="343"/>
      <c r="AB77" s="343" t="s">
        <v>67</v>
      </c>
      <c r="AC77" s="343"/>
      <c r="AD77" s="343">
        <v>1020000</v>
      </c>
      <c r="AE77" s="355" t="s">
        <v>9</v>
      </c>
      <c r="AF77" s="20"/>
    </row>
    <row r="78" spans="1:32" s="11" customFormat="1" ht="21" customHeight="1">
      <c r="A78" s="44"/>
      <c r="B78" s="45"/>
      <c r="C78" s="45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69"/>
      <c r="O78" s="353" t="s">
        <v>207</v>
      </c>
      <c r="P78" s="353"/>
      <c r="Q78" s="353"/>
      <c r="R78" s="353"/>
      <c r="S78" s="343"/>
      <c r="T78" s="354"/>
      <c r="U78" s="354"/>
      <c r="V78" s="343"/>
      <c r="W78" s="353"/>
      <c r="X78" s="343"/>
      <c r="Y78" s="343"/>
      <c r="Z78" s="343"/>
      <c r="AA78" s="343"/>
      <c r="AB78" s="343" t="s">
        <v>67</v>
      </c>
      <c r="AC78" s="343"/>
      <c r="AD78" s="343">
        <v>460000</v>
      </c>
      <c r="AE78" s="355" t="s">
        <v>9</v>
      </c>
      <c r="AF78" s="20"/>
    </row>
    <row r="79" spans="1:32" s="11" customFormat="1" ht="21" customHeight="1">
      <c r="A79" s="44"/>
      <c r="B79" s="45"/>
      <c r="C79" s="58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83"/>
      <c r="O79" s="273"/>
      <c r="P79" s="273"/>
      <c r="Q79" s="273"/>
      <c r="R79" s="273"/>
      <c r="S79" s="273"/>
      <c r="T79" s="273"/>
      <c r="U79" s="273"/>
      <c r="V79" s="273"/>
      <c r="W79" s="273"/>
      <c r="X79" s="273"/>
      <c r="Y79" s="273"/>
      <c r="Z79" s="273"/>
      <c r="AA79" s="273"/>
      <c r="AB79" s="273"/>
      <c r="AC79" s="273"/>
      <c r="AD79" s="274"/>
      <c r="AE79" s="275"/>
      <c r="AF79" s="1"/>
    </row>
    <row r="80" spans="1:32" s="11" customFormat="1" ht="21" customHeight="1">
      <c r="A80" s="44"/>
      <c r="B80" s="45"/>
      <c r="C80" s="45" t="s">
        <v>219</v>
      </c>
      <c r="D80" s="112">
        <v>5820</v>
      </c>
      <c r="E80" s="112">
        <f>SUM(F80:L80)</f>
        <v>4120</v>
      </c>
      <c r="F80" s="112">
        <f>SUMIF($AB$81:$AB$85,"보조",$AD$81:$AD$85)/1000</f>
        <v>3020</v>
      </c>
      <c r="G80" s="112">
        <f>SUMIF($AB$81:$AB$85,"7종",$AD$81:$AD$85)/1000</f>
        <v>0</v>
      </c>
      <c r="H80" s="112">
        <f>SUMIF($AB$81:$AB$85,"시비",$AD$81:$AD$85)/1000</f>
        <v>0</v>
      </c>
      <c r="I80" s="112">
        <f>SUMIF($AB$81:$AB$85,"후원",$AD$81:$AD$85)/1000</f>
        <v>0</v>
      </c>
      <c r="J80" s="112">
        <f>SUMIF($AB$81:$AB$85,"입소",$AD$81:$AD$85)/1000</f>
        <v>1100</v>
      </c>
      <c r="K80" s="112">
        <f>SUMIF($AB$81:$AB$85,"법인",$AD$81:$AD$85)/1000</f>
        <v>0</v>
      </c>
      <c r="L80" s="112">
        <f>SUMIF($AB$81:$AB$85,"잡수",$AD$81:$AD$85)/1000</f>
        <v>0</v>
      </c>
      <c r="M80" s="108">
        <f>E80-D80</f>
        <v>-1700</v>
      </c>
      <c r="N80" s="69">
        <f>IF(D80=0,0,M80/D80)</f>
        <v>-0.2920962199312715</v>
      </c>
      <c r="O80" s="114" t="s">
        <v>226</v>
      </c>
      <c r="P80" s="31"/>
      <c r="Q80" s="31"/>
      <c r="R80" s="31"/>
      <c r="S80" s="31"/>
      <c r="T80" s="32"/>
      <c r="U80" s="32"/>
      <c r="V80" s="32"/>
      <c r="W80" s="32"/>
      <c r="X80" s="32"/>
      <c r="Y80" s="149" t="s">
        <v>27</v>
      </c>
      <c r="Z80" s="149"/>
      <c r="AA80" s="149"/>
      <c r="AB80" s="149"/>
      <c r="AC80" s="151"/>
      <c r="AD80" s="151">
        <f>ROUND(SUM(AD81:AD84),-3)</f>
        <v>4120000</v>
      </c>
      <c r="AE80" s="150" t="s">
        <v>9</v>
      </c>
      <c r="AF80" s="1"/>
    </row>
    <row r="81" spans="1:32" s="11" customFormat="1" ht="21" customHeight="1">
      <c r="A81" s="44"/>
      <c r="B81" s="45"/>
      <c r="C81" s="45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69"/>
      <c r="O81" s="137" t="s">
        <v>179</v>
      </c>
      <c r="P81" s="49"/>
      <c r="Q81" s="49"/>
      <c r="R81" s="49"/>
      <c r="S81" s="50">
        <v>45000</v>
      </c>
      <c r="T81" s="248" t="s">
        <v>9</v>
      </c>
      <c r="U81" s="248" t="s">
        <v>13</v>
      </c>
      <c r="V81" s="247">
        <v>12</v>
      </c>
      <c r="W81" s="249" t="s">
        <v>2</v>
      </c>
      <c r="X81" s="247" t="s">
        <v>6</v>
      </c>
      <c r="Y81" s="50"/>
      <c r="Z81" s="50"/>
      <c r="AA81" s="50"/>
      <c r="AB81" s="50" t="s">
        <v>12</v>
      </c>
      <c r="AC81" s="50"/>
      <c r="AD81" s="50">
        <f>S81*V81</f>
        <v>540000</v>
      </c>
      <c r="AE81" s="56" t="s">
        <v>9</v>
      </c>
      <c r="AF81" s="1"/>
    </row>
    <row r="82" spans="1:32" s="11" customFormat="1" ht="21" customHeight="1">
      <c r="A82" s="44"/>
      <c r="B82" s="45"/>
      <c r="C82" s="45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69"/>
      <c r="O82" s="49" t="s">
        <v>147</v>
      </c>
      <c r="P82" s="49"/>
      <c r="Q82" s="49"/>
      <c r="R82" s="49"/>
      <c r="S82" s="50">
        <v>310000</v>
      </c>
      <c r="T82" s="54" t="s">
        <v>9</v>
      </c>
      <c r="U82" s="54" t="s">
        <v>13</v>
      </c>
      <c r="V82" s="50">
        <v>8</v>
      </c>
      <c r="W82" s="49" t="s">
        <v>2</v>
      </c>
      <c r="X82" s="50" t="s">
        <v>6</v>
      </c>
      <c r="Y82" s="50"/>
      <c r="Z82" s="50"/>
      <c r="AA82" s="50"/>
      <c r="AB82" s="50" t="s">
        <v>12</v>
      </c>
      <c r="AC82" s="50"/>
      <c r="AD82" s="50">
        <f>S82*V82</f>
        <v>2480000</v>
      </c>
      <c r="AE82" s="56" t="s">
        <v>9</v>
      </c>
      <c r="AF82" s="1"/>
    </row>
    <row r="83" spans="1:32" s="11" customFormat="1" ht="21" customHeight="1">
      <c r="A83" s="44"/>
      <c r="B83" s="45"/>
      <c r="C83" s="45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69"/>
      <c r="O83" s="49"/>
      <c r="P83" s="49"/>
      <c r="Q83" s="49"/>
      <c r="R83" s="49"/>
      <c r="S83" s="50">
        <v>250000</v>
      </c>
      <c r="T83" s="54" t="s">
        <v>9</v>
      </c>
      <c r="U83" s="54" t="s">
        <v>13</v>
      </c>
      <c r="V83" s="50">
        <v>4</v>
      </c>
      <c r="W83" s="49" t="s">
        <v>2</v>
      </c>
      <c r="X83" s="50" t="s">
        <v>6</v>
      </c>
      <c r="Y83" s="50"/>
      <c r="Z83" s="50"/>
      <c r="AA83" s="50"/>
      <c r="AB83" s="50" t="s">
        <v>67</v>
      </c>
      <c r="AC83" s="50"/>
      <c r="AD83" s="50">
        <f>S83*V83</f>
        <v>1000000</v>
      </c>
      <c r="AE83" s="56" t="s">
        <v>9</v>
      </c>
      <c r="AF83" s="1"/>
    </row>
    <row r="84" spans="1:32" s="14" customFormat="1" ht="21" customHeight="1">
      <c r="A84" s="44"/>
      <c r="B84" s="45"/>
      <c r="C84" s="45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69"/>
      <c r="O84" s="49" t="s">
        <v>166</v>
      </c>
      <c r="P84" s="49"/>
      <c r="Q84" s="49"/>
      <c r="R84" s="49"/>
      <c r="S84" s="50"/>
      <c r="T84" s="54"/>
      <c r="U84" s="54"/>
      <c r="V84" s="50"/>
      <c r="W84" s="49"/>
      <c r="X84" s="50"/>
      <c r="Y84" s="50"/>
      <c r="Z84" s="50"/>
      <c r="AA84" s="50"/>
      <c r="AB84" s="50" t="s">
        <v>67</v>
      </c>
      <c r="AC84" s="50"/>
      <c r="AD84" s="50">
        <v>100000</v>
      </c>
      <c r="AE84" s="56" t="s">
        <v>9</v>
      </c>
      <c r="AF84" s="4"/>
    </row>
    <row r="85" spans="1:32" s="14" customFormat="1" ht="21" customHeight="1">
      <c r="A85" s="44"/>
      <c r="B85" s="45"/>
      <c r="C85" s="45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69"/>
      <c r="O85" s="118"/>
      <c r="P85" s="49"/>
      <c r="Q85" s="49"/>
      <c r="R85" s="49"/>
      <c r="S85" s="50"/>
      <c r="T85" s="54"/>
      <c r="U85" s="54"/>
      <c r="V85" s="50"/>
      <c r="W85" s="49"/>
      <c r="X85" s="50"/>
      <c r="Y85" s="50"/>
      <c r="Z85" s="50"/>
      <c r="AA85" s="50"/>
      <c r="AB85" s="50"/>
      <c r="AC85" s="50"/>
      <c r="AD85" s="50"/>
      <c r="AE85" s="56"/>
      <c r="AF85" s="4"/>
    </row>
    <row r="86" spans="1:31" ht="21" customHeight="1">
      <c r="A86" s="44"/>
      <c r="B86" s="45"/>
      <c r="C86" s="35" t="s">
        <v>232</v>
      </c>
      <c r="D86" s="112">
        <v>450</v>
      </c>
      <c r="E86" s="112">
        <f>SUM(F86:L86)</f>
        <v>460</v>
      </c>
      <c r="F86" s="112">
        <f>SUMIF($AB$87:$AB$91,"보조",$AD$87:$AD$91)/1000</f>
        <v>0</v>
      </c>
      <c r="G86" s="112">
        <f>SUMIF($AB$87:$AB$91,"7종",$AD$87:$AD$91)/1000</f>
        <v>0</v>
      </c>
      <c r="H86" s="112">
        <f>SUMIF($AB$87:$AB$91,"시비",$AD$87:$AD$91)/1000</f>
        <v>0</v>
      </c>
      <c r="I86" s="112">
        <f>SUMIF($AB$87:$AB$91,"후원",$AD$87:$AD$91)/1000</f>
        <v>0</v>
      </c>
      <c r="J86" s="112">
        <f>SUMIF($AB$87:$AB$91,"입소",$AD$87:$AD$91)/1000</f>
        <v>340</v>
      </c>
      <c r="K86" s="112">
        <f>SUMIF($AB$87:$AB$91,"법인",$AD$87:$AD$91)/1000</f>
        <v>0</v>
      </c>
      <c r="L86" s="112">
        <f>SUMIF($AB$87:$AB$91,"잡수",$AD$87:$AD$91)/1000</f>
        <v>120</v>
      </c>
      <c r="M86" s="111">
        <f>E86-D86</f>
        <v>10</v>
      </c>
      <c r="N86" s="119">
        <f>IF(D86=0,0,M86/D86)</f>
        <v>0.022222222222222223</v>
      </c>
      <c r="O86" s="96" t="s">
        <v>251</v>
      </c>
      <c r="P86" s="92"/>
      <c r="Q86" s="92"/>
      <c r="R86" s="92"/>
      <c r="S86" s="92"/>
      <c r="T86" s="88"/>
      <c r="U86" s="88"/>
      <c r="V86" s="88"/>
      <c r="W86" s="88"/>
      <c r="X86" s="88"/>
      <c r="Y86" s="149" t="s">
        <v>27</v>
      </c>
      <c r="Z86" s="149"/>
      <c r="AA86" s="149"/>
      <c r="AB86" s="149"/>
      <c r="AC86" s="151"/>
      <c r="AD86" s="151">
        <f>SUM(AD87:AD91)</f>
        <v>460000</v>
      </c>
      <c r="AE86" s="150" t="s">
        <v>9</v>
      </c>
    </row>
    <row r="87" spans="1:32" s="11" customFormat="1" ht="21" customHeight="1">
      <c r="A87" s="44"/>
      <c r="B87" s="45"/>
      <c r="C87" s="45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69"/>
      <c r="O87" s="49" t="s">
        <v>130</v>
      </c>
      <c r="P87" s="267"/>
      <c r="Q87" s="267"/>
      <c r="R87" s="267"/>
      <c r="S87" s="49"/>
      <c r="T87" s="67"/>
      <c r="U87" s="266"/>
      <c r="V87" s="350">
        <v>20000</v>
      </c>
      <c r="W87" s="248" t="s">
        <v>9</v>
      </c>
      <c r="X87" s="248" t="s">
        <v>13</v>
      </c>
      <c r="Y87" s="247">
        <v>1</v>
      </c>
      <c r="Z87" s="249" t="s">
        <v>14</v>
      </c>
      <c r="AA87" s="247" t="s">
        <v>6</v>
      </c>
      <c r="AB87" s="50" t="s">
        <v>67</v>
      </c>
      <c r="AC87" s="50"/>
      <c r="AD87" s="50">
        <f>V87*Y87</f>
        <v>20000</v>
      </c>
      <c r="AE87" s="56" t="s">
        <v>9</v>
      </c>
      <c r="AF87" s="1"/>
    </row>
    <row r="88" spans="1:32" s="11" customFormat="1" ht="21" customHeight="1">
      <c r="A88" s="44"/>
      <c r="B88" s="45"/>
      <c r="C88" s="45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69"/>
      <c r="O88" s="49" t="s">
        <v>266</v>
      </c>
      <c r="P88" s="267"/>
      <c r="Q88" s="267"/>
      <c r="R88" s="267"/>
      <c r="S88" s="50">
        <v>660000</v>
      </c>
      <c r="T88" s="54" t="s">
        <v>9</v>
      </c>
      <c r="U88" s="54" t="s">
        <v>13</v>
      </c>
      <c r="V88" s="50">
        <v>1</v>
      </c>
      <c r="W88" s="49" t="s">
        <v>14</v>
      </c>
      <c r="X88" s="90" t="s">
        <v>16</v>
      </c>
      <c r="Y88" s="277">
        <v>3</v>
      </c>
      <c r="Z88" s="50"/>
      <c r="AA88" s="50" t="s">
        <v>6</v>
      </c>
      <c r="AB88" s="50" t="s">
        <v>67</v>
      </c>
      <c r="AC88" s="50"/>
      <c r="AD88" s="50">
        <f>ROUNDDOWN(S88*V88/Y88,-4)</f>
        <v>220000</v>
      </c>
      <c r="AE88" s="56" t="s">
        <v>9</v>
      </c>
      <c r="AF88" s="1"/>
    </row>
    <row r="89" spans="1:32" s="11" customFormat="1" ht="21" customHeight="1">
      <c r="A89" s="44"/>
      <c r="B89" s="45"/>
      <c r="C89" s="45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69"/>
      <c r="O89" s="49" t="s">
        <v>170</v>
      </c>
      <c r="P89" s="267"/>
      <c r="Q89" s="267"/>
      <c r="R89" s="267"/>
      <c r="S89" s="49"/>
      <c r="T89" s="67"/>
      <c r="U89" s="266"/>
      <c r="V89" s="247"/>
      <c r="W89" s="248"/>
      <c r="X89" s="248"/>
      <c r="Y89" s="247"/>
      <c r="Z89" s="249"/>
      <c r="AA89" s="386" t="s">
        <v>6</v>
      </c>
      <c r="AB89" s="368" t="s">
        <v>67</v>
      </c>
      <c r="AC89" s="368"/>
      <c r="AD89" s="368">
        <v>100000</v>
      </c>
      <c r="AE89" s="378" t="s">
        <v>9</v>
      </c>
      <c r="AF89" s="1"/>
    </row>
    <row r="90" spans="1:32" s="11" customFormat="1" ht="21" customHeight="1">
      <c r="A90" s="44"/>
      <c r="B90" s="45"/>
      <c r="C90" s="45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69"/>
      <c r="O90" s="49"/>
      <c r="P90" s="267"/>
      <c r="Q90" s="267"/>
      <c r="R90" s="267"/>
      <c r="S90" s="49"/>
      <c r="T90" s="67"/>
      <c r="U90" s="266"/>
      <c r="V90" s="247"/>
      <c r="W90" s="248"/>
      <c r="X90" s="248"/>
      <c r="Y90" s="247"/>
      <c r="Z90" s="249"/>
      <c r="AA90" s="386" t="s">
        <v>6</v>
      </c>
      <c r="AB90" s="368" t="s">
        <v>363</v>
      </c>
      <c r="AC90" s="368"/>
      <c r="AD90" s="368">
        <v>120000</v>
      </c>
      <c r="AE90" s="378" t="s">
        <v>9</v>
      </c>
      <c r="AF90" s="1"/>
    </row>
    <row r="91" spans="1:32" s="11" customFormat="1" ht="21" customHeight="1">
      <c r="A91" s="44"/>
      <c r="B91" s="45"/>
      <c r="C91" s="45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69"/>
      <c r="O91" s="49"/>
      <c r="P91" s="121"/>
      <c r="Q91" s="121"/>
      <c r="R91" s="121"/>
      <c r="S91" s="121"/>
      <c r="T91" s="121"/>
      <c r="U91" s="121"/>
      <c r="V91" s="121"/>
      <c r="W91" s="121"/>
      <c r="X91" s="121"/>
      <c r="Y91" s="74"/>
      <c r="Z91" s="74"/>
      <c r="AA91" s="387"/>
      <c r="AB91" s="387"/>
      <c r="AC91" s="387"/>
      <c r="AD91" s="368"/>
      <c r="AE91" s="378"/>
      <c r="AF91" s="1"/>
    </row>
    <row r="92" spans="1:32" s="11" customFormat="1" ht="21" customHeight="1">
      <c r="A92" s="44"/>
      <c r="B92" s="45"/>
      <c r="C92" s="35" t="s">
        <v>220</v>
      </c>
      <c r="D92" s="112">
        <v>955</v>
      </c>
      <c r="E92" s="112">
        <f>SUM(F92:L92)</f>
        <v>835</v>
      </c>
      <c r="F92" s="112">
        <f>SUMIF($AB$93:$AB$96,"보조",$AD$93:$AD$96)/1000</f>
        <v>0</v>
      </c>
      <c r="G92" s="112">
        <f>SUMIF($AB$93:$AB$96,"7종",$AD$93:$AD$96)/1000</f>
        <v>0</v>
      </c>
      <c r="H92" s="112">
        <f>SUMIF($AB$93:$AB$96,"시비",$AD$93:$AD$96)/1000</f>
        <v>0</v>
      </c>
      <c r="I92" s="112">
        <f>SUMIF($AB$93:$AB$96,"후원",$AD$93:$AD$96)/1000</f>
        <v>0</v>
      </c>
      <c r="J92" s="112">
        <f>SUMIF($AB$93:$AB$96,"입소",$AD$93:$AD$96)/1000</f>
        <v>360</v>
      </c>
      <c r="K92" s="112">
        <v>0</v>
      </c>
      <c r="L92" s="112">
        <f>SUMIF($AB$93:$AB$96,"잡수",$AD$93:$AD$96)/1000</f>
        <v>475</v>
      </c>
      <c r="M92" s="111">
        <f>E92-D92</f>
        <v>-120</v>
      </c>
      <c r="N92" s="119">
        <f>IF(D92=0,0,M92/D92)</f>
        <v>-0.1256544502617801</v>
      </c>
      <c r="O92" s="96" t="s">
        <v>214</v>
      </c>
      <c r="P92" s="92"/>
      <c r="Q92" s="92"/>
      <c r="R92" s="92"/>
      <c r="S92" s="92"/>
      <c r="T92" s="88"/>
      <c r="U92" s="88"/>
      <c r="V92" s="88"/>
      <c r="W92" s="88"/>
      <c r="X92" s="88"/>
      <c r="Y92" s="149" t="s">
        <v>27</v>
      </c>
      <c r="Z92" s="149"/>
      <c r="AA92" s="388"/>
      <c r="AB92" s="388"/>
      <c r="AC92" s="389"/>
      <c r="AD92" s="389">
        <f>SUM(AD93:AD95)</f>
        <v>835000</v>
      </c>
      <c r="AE92" s="390" t="s">
        <v>9</v>
      </c>
      <c r="AF92" s="1"/>
    </row>
    <row r="93" spans="1:32" s="11" customFormat="1" ht="21" customHeight="1">
      <c r="A93" s="44"/>
      <c r="B93" s="45"/>
      <c r="C93" s="45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69"/>
      <c r="O93" s="49" t="s">
        <v>303</v>
      </c>
      <c r="P93" s="49"/>
      <c r="Q93" s="49"/>
      <c r="R93" s="49"/>
      <c r="S93" s="50">
        <v>30000</v>
      </c>
      <c r="T93" s="54" t="s">
        <v>9</v>
      </c>
      <c r="U93" s="54" t="s">
        <v>13</v>
      </c>
      <c r="V93" s="50">
        <v>12</v>
      </c>
      <c r="W93" s="49" t="s">
        <v>2</v>
      </c>
      <c r="X93" s="50" t="s">
        <v>6</v>
      </c>
      <c r="Y93" s="50"/>
      <c r="Z93" s="50"/>
      <c r="AA93" s="368"/>
      <c r="AB93" s="368" t="s">
        <v>67</v>
      </c>
      <c r="AC93" s="368"/>
      <c r="AD93" s="368">
        <f>S93*V93</f>
        <v>360000</v>
      </c>
      <c r="AE93" s="378" t="s">
        <v>9</v>
      </c>
      <c r="AF93" s="1"/>
    </row>
    <row r="94" spans="1:32" s="11" customFormat="1" ht="21" customHeight="1">
      <c r="A94" s="44"/>
      <c r="B94" s="45"/>
      <c r="C94" s="45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69"/>
      <c r="O94" s="49"/>
      <c r="P94" s="49"/>
      <c r="Q94" s="49"/>
      <c r="R94" s="49"/>
      <c r="S94" s="50">
        <v>10000</v>
      </c>
      <c r="T94" s="54" t="s">
        <v>9</v>
      </c>
      <c r="U94" s="54" t="s">
        <v>13</v>
      </c>
      <c r="V94" s="50">
        <v>12</v>
      </c>
      <c r="W94" s="49" t="s">
        <v>2</v>
      </c>
      <c r="X94" s="50" t="s">
        <v>6</v>
      </c>
      <c r="Y94" s="50"/>
      <c r="Z94" s="50"/>
      <c r="AA94" s="368"/>
      <c r="AB94" s="368" t="s">
        <v>339</v>
      </c>
      <c r="AC94" s="368"/>
      <c r="AD94" s="368">
        <f>S94*V94</f>
        <v>120000</v>
      </c>
      <c r="AE94" s="378" t="s">
        <v>9</v>
      </c>
      <c r="AF94" s="1"/>
    </row>
    <row r="95" spans="1:32" s="11" customFormat="1" ht="21" customHeight="1">
      <c r="A95" s="44"/>
      <c r="B95" s="45"/>
      <c r="C95" s="45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69"/>
      <c r="O95" s="49" t="s">
        <v>188</v>
      </c>
      <c r="P95" s="49"/>
      <c r="Q95" s="49"/>
      <c r="R95" s="49"/>
      <c r="S95" s="50"/>
      <c r="T95" s="54"/>
      <c r="U95" s="54"/>
      <c r="V95" s="50"/>
      <c r="W95" s="49"/>
      <c r="X95" s="50"/>
      <c r="Y95" s="50"/>
      <c r="Z95" s="50"/>
      <c r="AA95" s="368"/>
      <c r="AB95" s="368" t="s">
        <v>338</v>
      </c>
      <c r="AC95" s="368"/>
      <c r="AD95" s="368">
        <v>355000</v>
      </c>
      <c r="AE95" s="378" t="s">
        <v>9</v>
      </c>
      <c r="AF95" s="1"/>
    </row>
    <row r="96" spans="1:32" s="11" customFormat="1" ht="21" customHeight="1">
      <c r="A96" s="44"/>
      <c r="B96" s="45"/>
      <c r="C96" s="58"/>
      <c r="D96" s="109"/>
      <c r="E96" s="109"/>
      <c r="F96" s="109"/>
      <c r="G96" s="109"/>
      <c r="H96" s="109"/>
      <c r="I96" s="109"/>
      <c r="J96" s="109"/>
      <c r="K96" s="109"/>
      <c r="L96" s="109"/>
      <c r="M96" s="109"/>
      <c r="N96" s="83"/>
      <c r="O96" s="80"/>
      <c r="P96" s="80"/>
      <c r="Q96" s="80"/>
      <c r="R96" s="80"/>
      <c r="S96" s="79"/>
      <c r="T96" s="84"/>
      <c r="U96" s="79"/>
      <c r="V96" s="455"/>
      <c r="W96" s="456"/>
      <c r="X96" s="79"/>
      <c r="Y96" s="79"/>
      <c r="Z96" s="79"/>
      <c r="AA96" s="79"/>
      <c r="AB96" s="79"/>
      <c r="AC96" s="79"/>
      <c r="AD96" s="79"/>
      <c r="AE96" s="72"/>
      <c r="AF96" s="1"/>
    </row>
    <row r="97" spans="1:32" s="11" customFormat="1" ht="21" customHeight="1">
      <c r="A97" s="44"/>
      <c r="B97" s="45"/>
      <c r="C97" s="35" t="s">
        <v>215</v>
      </c>
      <c r="D97" s="112">
        <v>200</v>
      </c>
      <c r="E97" s="112">
        <f>SUM(F97:L97)</f>
        <v>150</v>
      </c>
      <c r="F97" s="112">
        <f>SUMIF($AB$98:$AB$99,"보조",$AD$98:$AD$99)/1000</f>
        <v>0</v>
      </c>
      <c r="G97" s="112">
        <f>SUMIF($AB$98:$AB$99,"7종",$AD$98:$AD$99)/1000</f>
        <v>0</v>
      </c>
      <c r="H97" s="112">
        <f>SUMIF($AB$98:$AB$99,"시비",$AD$98:$AD$99)/1000</f>
        <v>0</v>
      </c>
      <c r="I97" s="112">
        <f>SUMIF($AB$98:$AB$99,"후원",$AD$98:$AD$99)/1000</f>
        <v>150</v>
      </c>
      <c r="J97" s="112">
        <f>SUMIF($AB$98:$AB$99,"입소",$AD$98:$AD$99)/1000</f>
        <v>0</v>
      </c>
      <c r="K97" s="112">
        <f>SUMIF($AB$98:$AB$99,"법인",$AD$98:$AD$99)/1000</f>
        <v>0</v>
      </c>
      <c r="L97" s="112">
        <f>SUMIF($AB$98:$AB$99,"잡수",$AD$98:$AD$99)/1000</f>
        <v>0</v>
      </c>
      <c r="M97" s="111">
        <f>E97-D97</f>
        <v>-50</v>
      </c>
      <c r="N97" s="119">
        <f>IF(D97=0,0,M97/D97)</f>
        <v>-0.25</v>
      </c>
      <c r="O97" s="114" t="s">
        <v>108</v>
      </c>
      <c r="P97" s="92"/>
      <c r="Q97" s="92"/>
      <c r="R97" s="92"/>
      <c r="S97" s="92"/>
      <c r="T97" s="88"/>
      <c r="U97" s="88"/>
      <c r="V97" s="88"/>
      <c r="W97" s="88"/>
      <c r="X97" s="88"/>
      <c r="Y97" s="149" t="s">
        <v>27</v>
      </c>
      <c r="Z97" s="149"/>
      <c r="AA97" s="149"/>
      <c r="AB97" s="149"/>
      <c r="AC97" s="151"/>
      <c r="AD97" s="151">
        <f>SUM(AD98:AD98)</f>
        <v>150000</v>
      </c>
      <c r="AE97" s="150" t="s">
        <v>9</v>
      </c>
      <c r="AF97" s="1"/>
    </row>
    <row r="98" spans="1:32" s="11" customFormat="1" ht="20.25" customHeight="1">
      <c r="A98" s="44"/>
      <c r="B98" s="45"/>
      <c r="C98" s="46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69"/>
      <c r="O98" s="49"/>
      <c r="P98" s="49"/>
      <c r="Q98" s="49"/>
      <c r="R98" s="49"/>
      <c r="S98" s="343">
        <v>50000</v>
      </c>
      <c r="T98" s="50" t="s">
        <v>9</v>
      </c>
      <c r="U98" s="73" t="s">
        <v>13</v>
      </c>
      <c r="V98" s="50">
        <v>3</v>
      </c>
      <c r="W98" s="50" t="s">
        <v>318</v>
      </c>
      <c r="X98" s="73" t="s">
        <v>13</v>
      </c>
      <c r="Y98" s="50">
        <v>1</v>
      </c>
      <c r="Z98" s="50" t="s">
        <v>319</v>
      </c>
      <c r="AA98" s="50" t="s">
        <v>6</v>
      </c>
      <c r="AB98" s="50" t="s">
        <v>331</v>
      </c>
      <c r="AC98" s="67"/>
      <c r="AD98" s="67">
        <f>S98*V98</f>
        <v>150000</v>
      </c>
      <c r="AE98" s="56" t="s">
        <v>9</v>
      </c>
      <c r="AF98" s="2"/>
    </row>
    <row r="99" spans="1:32" s="11" customFormat="1" ht="21" customHeight="1">
      <c r="A99" s="44"/>
      <c r="B99" s="45"/>
      <c r="C99" s="46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83"/>
      <c r="O99" s="80"/>
      <c r="P99" s="80"/>
      <c r="Q99" s="80"/>
      <c r="R99" s="80"/>
      <c r="S99" s="79"/>
      <c r="T99" s="80"/>
      <c r="U99" s="79"/>
      <c r="V99" s="122"/>
      <c r="W99" s="122"/>
      <c r="X99" s="79"/>
      <c r="Y99" s="79"/>
      <c r="Z99" s="79"/>
      <c r="AA99" s="79"/>
      <c r="AB99" s="79"/>
      <c r="AC99" s="79"/>
      <c r="AD99" s="79"/>
      <c r="AE99" s="72"/>
      <c r="AF99" s="2"/>
    </row>
    <row r="100" spans="1:32" s="11" customFormat="1" ht="21" customHeight="1">
      <c r="A100" s="110" t="s">
        <v>250</v>
      </c>
      <c r="B100" s="448" t="s">
        <v>229</v>
      </c>
      <c r="C100" s="448"/>
      <c r="D100" s="156">
        <v>6848</v>
      </c>
      <c r="E100" s="156">
        <f aca="true" t="shared" si="5" ref="E100:L100">E101</f>
        <v>6818</v>
      </c>
      <c r="F100" s="156">
        <f t="shared" si="5"/>
        <v>0</v>
      </c>
      <c r="G100" s="156">
        <f t="shared" si="5"/>
        <v>2000</v>
      </c>
      <c r="H100" s="156">
        <f t="shared" si="5"/>
        <v>0</v>
      </c>
      <c r="I100" s="156">
        <f t="shared" si="5"/>
        <v>498</v>
      </c>
      <c r="J100" s="156">
        <f t="shared" si="5"/>
        <v>4320</v>
      </c>
      <c r="K100" s="156">
        <f t="shared" si="5"/>
        <v>0</v>
      </c>
      <c r="L100" s="156">
        <f t="shared" si="5"/>
        <v>0</v>
      </c>
      <c r="M100" s="156">
        <f>E100-D100</f>
        <v>-30</v>
      </c>
      <c r="N100" s="143">
        <f>IF(D100=0,0,M100/D100)</f>
        <v>-0.004380841121495327</v>
      </c>
      <c r="O100" s="31" t="s">
        <v>289</v>
      </c>
      <c r="P100" s="31"/>
      <c r="Q100" s="31"/>
      <c r="R100" s="31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>
        <f>AD101</f>
        <v>6818000</v>
      </c>
      <c r="AE100" s="33" t="s">
        <v>9</v>
      </c>
      <c r="AF100" s="2"/>
    </row>
    <row r="101" spans="1:32" s="11" customFormat="1" ht="21" customHeight="1">
      <c r="A101" s="155" t="s">
        <v>33</v>
      </c>
      <c r="B101" s="45" t="s">
        <v>20</v>
      </c>
      <c r="C101" s="45" t="s">
        <v>4</v>
      </c>
      <c r="D101" s="108">
        <v>6848</v>
      </c>
      <c r="E101" s="108">
        <f aca="true" t="shared" si="6" ref="E101:L101">SUM(E102,E104,E109)</f>
        <v>6818</v>
      </c>
      <c r="F101" s="108">
        <f t="shared" si="6"/>
        <v>0</v>
      </c>
      <c r="G101" s="108">
        <f t="shared" si="6"/>
        <v>2000</v>
      </c>
      <c r="H101" s="108">
        <f t="shared" si="6"/>
        <v>0</v>
      </c>
      <c r="I101" s="108">
        <f t="shared" si="6"/>
        <v>498</v>
      </c>
      <c r="J101" s="108">
        <f t="shared" si="6"/>
        <v>4320</v>
      </c>
      <c r="K101" s="108">
        <f t="shared" si="6"/>
        <v>0</v>
      </c>
      <c r="L101" s="108">
        <f t="shared" si="6"/>
        <v>0</v>
      </c>
      <c r="M101" s="108">
        <f>E101-D101</f>
        <v>-30</v>
      </c>
      <c r="N101" s="69">
        <f>IF(D101=0,0,M101/D101)</f>
        <v>-0.004380841121495327</v>
      </c>
      <c r="O101" s="92" t="s">
        <v>20</v>
      </c>
      <c r="P101" s="92"/>
      <c r="Q101" s="92"/>
      <c r="R101" s="92"/>
      <c r="S101" s="92"/>
      <c r="T101" s="88"/>
      <c r="U101" s="88"/>
      <c r="V101" s="88"/>
      <c r="W101" s="88"/>
      <c r="X101" s="88"/>
      <c r="Y101" s="88"/>
      <c r="Z101" s="88"/>
      <c r="AA101" s="88"/>
      <c r="AB101" s="88"/>
      <c r="AC101" s="93"/>
      <c r="AD101" s="93">
        <f>SUM(AD102,AD104,AD109)</f>
        <v>6818000</v>
      </c>
      <c r="AE101" s="94" t="s">
        <v>9</v>
      </c>
      <c r="AF101" s="1"/>
    </row>
    <row r="102" spans="1:32" s="11" customFormat="1" ht="21" customHeight="1">
      <c r="A102" s="44"/>
      <c r="B102" s="45"/>
      <c r="C102" s="35" t="s">
        <v>20</v>
      </c>
      <c r="D102" s="112">
        <v>0</v>
      </c>
      <c r="E102" s="112">
        <f>SUM(F102:L102)</f>
        <v>0</v>
      </c>
      <c r="F102" s="112">
        <f>SUMIF($AB$103:$AB$103,"보조",$AD$103:$AD$103)/1000</f>
        <v>0</v>
      </c>
      <c r="G102" s="112">
        <f>SUMIF($AB$103:$AB$103,"7종",$AD$103:$AD$103)/1000</f>
        <v>0</v>
      </c>
      <c r="H102" s="112">
        <f>SUMIF($AB$103:$AB$103,"시비",$AD$103:$AD$103)/1000</f>
        <v>0</v>
      </c>
      <c r="I102" s="112">
        <f>SUMIF($AB$103:$AB$103,"후원",$AD$103:$AD$103)/1000</f>
        <v>0</v>
      </c>
      <c r="J102" s="112">
        <f>SUMIF($AB$103:$AB$103,"입소",$AD$103:$AD$103)/1000</f>
        <v>0</v>
      </c>
      <c r="K102" s="112">
        <f>SUMIF($AB$103:$AB$103,"법인",$AD$103:$AD$103)/1000</f>
        <v>0</v>
      </c>
      <c r="L102" s="112">
        <f>SUMIF($AB$103:$AB$103,"잡수",$AD$103:$AD$103)/1000</f>
        <v>0</v>
      </c>
      <c r="M102" s="111">
        <f>E102-D102</f>
        <v>0</v>
      </c>
      <c r="N102" s="119">
        <f>IF(D102=0,0,M102/D102)</f>
        <v>0</v>
      </c>
      <c r="O102" s="96" t="s">
        <v>242</v>
      </c>
      <c r="P102" s="92"/>
      <c r="Q102" s="92"/>
      <c r="R102" s="92"/>
      <c r="S102" s="92"/>
      <c r="T102" s="88"/>
      <c r="U102" s="88"/>
      <c r="V102" s="88"/>
      <c r="W102" s="88"/>
      <c r="X102" s="88"/>
      <c r="Y102" s="149" t="s">
        <v>27</v>
      </c>
      <c r="Z102" s="149"/>
      <c r="AA102" s="149"/>
      <c r="AB102" s="149"/>
      <c r="AC102" s="151"/>
      <c r="AD102" s="151">
        <f>SUM(AD103:AD103)</f>
        <v>0</v>
      </c>
      <c r="AE102" s="150" t="s">
        <v>9</v>
      </c>
      <c r="AF102" s="1"/>
    </row>
    <row r="103" spans="1:32" s="11" customFormat="1" ht="21" customHeight="1">
      <c r="A103" s="44"/>
      <c r="B103" s="45"/>
      <c r="C103" s="45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69"/>
      <c r="O103" s="118"/>
      <c r="P103" s="31"/>
      <c r="Q103" s="31"/>
      <c r="R103" s="31"/>
      <c r="S103" s="31"/>
      <c r="T103" s="32"/>
      <c r="U103" s="32"/>
      <c r="V103" s="32"/>
      <c r="W103" s="32"/>
      <c r="X103" s="32"/>
      <c r="Y103" s="32"/>
      <c r="Z103" s="32"/>
      <c r="AA103" s="32"/>
      <c r="AB103" s="50"/>
      <c r="AC103" s="51"/>
      <c r="AD103" s="67"/>
      <c r="AE103" s="56"/>
      <c r="AF103" s="2"/>
    </row>
    <row r="104" spans="1:32" s="11" customFormat="1" ht="21" customHeight="1">
      <c r="A104" s="44"/>
      <c r="B104" s="45"/>
      <c r="C104" s="391" t="s">
        <v>227</v>
      </c>
      <c r="D104" s="392">
        <v>3548</v>
      </c>
      <c r="E104" s="392">
        <f>SUM(F104:L104)</f>
        <v>3618</v>
      </c>
      <c r="F104" s="392">
        <f>SUMIF($AB$105:$AB$108,"보조",$AD$105:$AD$108)/1000</f>
        <v>0</v>
      </c>
      <c r="G104" s="392">
        <f>SUMIF($AB$105:$AB$108,"7종",$AD$105:$AD$108)/1000</f>
        <v>2000</v>
      </c>
      <c r="H104" s="392">
        <f>SUMIF($AB$105:$AB$108,"시비",$AD$105:$AD$108)/1000</f>
        <v>0</v>
      </c>
      <c r="I104" s="392">
        <f>SUMIF($AB$105:$AB$108,"후원",$AD$105:$AD$108)/1000</f>
        <v>498</v>
      </c>
      <c r="J104" s="392">
        <f>SUMIF($AB$105:$AB$108,"입소",$AD$105:$AD$108)/1000</f>
        <v>1120</v>
      </c>
      <c r="K104" s="392">
        <f>SUMIF($AB$105:$AB$108,"법인",$AD$105:$AD$108)/1000</f>
        <v>0</v>
      </c>
      <c r="L104" s="392">
        <f>SUMIF($AB$105:$AB$108,"잡수",$AD$105:$AD$108)/1000</f>
        <v>0</v>
      </c>
      <c r="M104" s="393">
        <f>E104-D104</f>
        <v>70</v>
      </c>
      <c r="N104" s="394">
        <f>IF(D104=0,0,M104/D104)</f>
        <v>0.019729425028184894</v>
      </c>
      <c r="O104" s="395" t="s">
        <v>248</v>
      </c>
      <c r="P104" s="349"/>
      <c r="Q104" s="349"/>
      <c r="R104" s="349"/>
      <c r="S104" s="349"/>
      <c r="T104" s="396"/>
      <c r="U104" s="396"/>
      <c r="V104" s="396"/>
      <c r="W104" s="396"/>
      <c r="X104" s="396"/>
      <c r="Y104" s="397" t="s">
        <v>27</v>
      </c>
      <c r="Z104" s="397"/>
      <c r="AA104" s="397"/>
      <c r="AB104" s="397"/>
      <c r="AC104" s="398"/>
      <c r="AD104" s="398">
        <f>SUM(AD105:AD107)</f>
        <v>3618000</v>
      </c>
      <c r="AE104" s="399" t="s">
        <v>9</v>
      </c>
      <c r="AF104" s="1"/>
    </row>
    <row r="105" spans="1:32" s="11" customFormat="1" ht="21" customHeight="1">
      <c r="A105" s="44"/>
      <c r="B105" s="45"/>
      <c r="C105" s="400"/>
      <c r="D105" s="401"/>
      <c r="E105" s="401"/>
      <c r="F105" s="401"/>
      <c r="G105" s="401"/>
      <c r="H105" s="401"/>
      <c r="I105" s="401"/>
      <c r="J105" s="401"/>
      <c r="K105" s="401"/>
      <c r="L105" s="401"/>
      <c r="M105" s="401"/>
      <c r="N105" s="402"/>
      <c r="O105" s="353" t="s">
        <v>366</v>
      </c>
      <c r="P105" s="353"/>
      <c r="Q105" s="353"/>
      <c r="R105" s="353"/>
      <c r="S105" s="343"/>
      <c r="T105" s="354"/>
      <c r="U105" s="354"/>
      <c r="V105" s="343"/>
      <c r="W105" s="353"/>
      <c r="X105" s="343"/>
      <c r="Y105" s="343"/>
      <c r="Z105" s="343"/>
      <c r="AA105" s="343"/>
      <c r="AB105" s="343" t="s">
        <v>71</v>
      </c>
      <c r="AC105" s="343"/>
      <c r="AD105" s="343">
        <v>2000000</v>
      </c>
      <c r="AE105" s="355" t="s">
        <v>9</v>
      </c>
      <c r="AF105" s="2"/>
    </row>
    <row r="106" spans="1:32" s="11" customFormat="1" ht="21" customHeight="1">
      <c r="A106" s="44"/>
      <c r="B106" s="45"/>
      <c r="C106" s="400"/>
      <c r="D106" s="401"/>
      <c r="E106" s="401"/>
      <c r="F106" s="401"/>
      <c r="G106" s="401"/>
      <c r="H106" s="401"/>
      <c r="I106" s="401"/>
      <c r="J106" s="401"/>
      <c r="K106" s="401"/>
      <c r="L106" s="401"/>
      <c r="M106" s="401"/>
      <c r="N106" s="402"/>
      <c r="O106" s="353" t="s">
        <v>364</v>
      </c>
      <c r="P106" s="353"/>
      <c r="Q106" s="353"/>
      <c r="R106" s="353"/>
      <c r="S106" s="343"/>
      <c r="T106" s="354"/>
      <c r="U106" s="354"/>
      <c r="V106" s="343"/>
      <c r="W106" s="353"/>
      <c r="X106" s="343"/>
      <c r="Y106" s="343"/>
      <c r="Z106" s="343"/>
      <c r="AA106" s="343"/>
      <c r="AB106" s="343" t="s">
        <v>340</v>
      </c>
      <c r="AC106" s="343"/>
      <c r="AD106" s="343">
        <v>498000</v>
      </c>
      <c r="AE106" s="355" t="s">
        <v>341</v>
      </c>
      <c r="AF106" s="2"/>
    </row>
    <row r="107" spans="1:32" s="11" customFormat="1" ht="21" customHeight="1">
      <c r="A107" s="44"/>
      <c r="B107" s="45"/>
      <c r="C107" s="400"/>
      <c r="D107" s="401"/>
      <c r="E107" s="401"/>
      <c r="F107" s="401"/>
      <c r="G107" s="401"/>
      <c r="H107" s="401"/>
      <c r="I107" s="401"/>
      <c r="J107" s="401"/>
      <c r="K107" s="401"/>
      <c r="L107" s="401"/>
      <c r="M107" s="401"/>
      <c r="N107" s="402"/>
      <c r="O107" s="353" t="s">
        <v>365</v>
      </c>
      <c r="P107" s="353"/>
      <c r="Q107" s="353"/>
      <c r="R107" s="353"/>
      <c r="S107" s="343"/>
      <c r="T107" s="354"/>
      <c r="U107" s="354"/>
      <c r="V107" s="343"/>
      <c r="W107" s="353"/>
      <c r="X107" s="343"/>
      <c r="Y107" s="343"/>
      <c r="Z107" s="343"/>
      <c r="AA107" s="343"/>
      <c r="AB107" s="343" t="s">
        <v>67</v>
      </c>
      <c r="AC107" s="343"/>
      <c r="AD107" s="343">
        <v>1120000</v>
      </c>
      <c r="AE107" s="355" t="s">
        <v>9</v>
      </c>
      <c r="AF107" s="2"/>
    </row>
    <row r="108" spans="1:32" s="11" customFormat="1" ht="21" customHeight="1">
      <c r="A108" s="44"/>
      <c r="B108" s="45"/>
      <c r="C108" s="45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69"/>
      <c r="O108" s="49"/>
      <c r="P108" s="49"/>
      <c r="Q108" s="49"/>
      <c r="R108" s="49"/>
      <c r="S108" s="50"/>
      <c r="T108" s="115"/>
      <c r="U108" s="54"/>
      <c r="V108" s="67"/>
      <c r="W108" s="67"/>
      <c r="X108" s="50"/>
      <c r="Y108" s="50"/>
      <c r="Z108" s="50"/>
      <c r="AA108" s="50"/>
      <c r="AB108" s="50"/>
      <c r="AC108" s="50"/>
      <c r="AD108" s="50"/>
      <c r="AE108" s="56"/>
      <c r="AF108" s="2"/>
    </row>
    <row r="109" spans="1:32" s="11" customFormat="1" ht="21" customHeight="1">
      <c r="A109" s="44"/>
      <c r="B109" s="45"/>
      <c r="C109" s="35" t="s">
        <v>237</v>
      </c>
      <c r="D109" s="112">
        <v>3300</v>
      </c>
      <c r="E109" s="112">
        <f>SUM(F109:L109)</f>
        <v>3200</v>
      </c>
      <c r="F109" s="112">
        <f>SUMIF($AB$110:$AB$114,"보조",$AD$110:$AD$114)/1000</f>
        <v>0</v>
      </c>
      <c r="G109" s="112">
        <f>SUMIF($AB$110:$AB$114,"7종",$AD$110:$AD$114)/1000</f>
        <v>0</v>
      </c>
      <c r="H109" s="112">
        <f>SUMIF($AB$110:$AB$114,"시비",$AD$110:$AD$114)/1000</f>
        <v>0</v>
      </c>
      <c r="I109" s="112">
        <f>SUMIF($AB$110:$AB$114,"후원",$AD$110:$AD$114)/1000</f>
        <v>0</v>
      </c>
      <c r="J109" s="112">
        <f>SUMIF($AB$110:$AB$114,"입소",$AD$110:$AD$114)/1000</f>
        <v>3200</v>
      </c>
      <c r="K109" s="112">
        <f>SUMIF($AB$110:$AB$114,"법인",$AD$110:$AD$114)/1000</f>
        <v>0</v>
      </c>
      <c r="L109" s="112">
        <f>SUMIF($AB$110:$AB$114,"잡수",$AD$110:$AD$114)/1000</f>
        <v>0</v>
      </c>
      <c r="M109" s="111">
        <f>E109-D109</f>
        <v>-100</v>
      </c>
      <c r="N109" s="119">
        <f>IF(D109=0,0,M109/D109)</f>
        <v>-0.030303030303030304</v>
      </c>
      <c r="O109" s="96" t="s">
        <v>78</v>
      </c>
      <c r="P109" s="92"/>
      <c r="Q109" s="92"/>
      <c r="R109" s="92"/>
      <c r="S109" s="92"/>
      <c r="T109" s="88"/>
      <c r="U109" s="88"/>
      <c r="V109" s="88"/>
      <c r="W109" s="88"/>
      <c r="X109" s="88"/>
      <c r="Y109" s="149" t="s">
        <v>27</v>
      </c>
      <c r="Z109" s="149"/>
      <c r="AA109" s="149"/>
      <c r="AB109" s="149"/>
      <c r="AC109" s="151"/>
      <c r="AD109" s="151">
        <f>SUM(AD110:AD113)</f>
        <v>3200000</v>
      </c>
      <c r="AE109" s="150" t="s">
        <v>9</v>
      </c>
      <c r="AF109" s="1"/>
    </row>
    <row r="110" spans="1:32" s="1" customFormat="1" ht="21" customHeight="1">
      <c r="A110" s="44"/>
      <c r="B110" s="45"/>
      <c r="C110" s="45" t="s">
        <v>30</v>
      </c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69"/>
      <c r="O110" s="49" t="s">
        <v>181</v>
      </c>
      <c r="P110" s="49"/>
      <c r="Q110" s="49"/>
      <c r="R110" s="49"/>
      <c r="S110" s="50"/>
      <c r="T110" s="54"/>
      <c r="U110" s="54"/>
      <c r="V110" s="50"/>
      <c r="W110" s="49"/>
      <c r="X110" s="50"/>
      <c r="Y110" s="50"/>
      <c r="Z110" s="50"/>
      <c r="AA110" s="50"/>
      <c r="AB110" s="50" t="s">
        <v>12</v>
      </c>
      <c r="AC110" s="50"/>
      <c r="AD110" s="50">
        <v>0</v>
      </c>
      <c r="AE110" s="56" t="s">
        <v>9</v>
      </c>
      <c r="AF110" s="2"/>
    </row>
    <row r="111" spans="1:32" s="1" customFormat="1" ht="21" customHeight="1">
      <c r="A111" s="44"/>
      <c r="B111" s="45"/>
      <c r="C111" s="45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69"/>
      <c r="O111" s="49" t="s">
        <v>342</v>
      </c>
      <c r="P111" s="49"/>
      <c r="Q111" s="49"/>
      <c r="R111" s="49"/>
      <c r="S111" s="50"/>
      <c r="T111" s="54"/>
      <c r="U111" s="54"/>
      <c r="V111" s="50"/>
      <c r="W111" s="49"/>
      <c r="X111" s="50"/>
      <c r="Y111" s="50"/>
      <c r="Z111" s="50"/>
      <c r="AA111" s="50"/>
      <c r="AB111" s="50" t="s">
        <v>67</v>
      </c>
      <c r="AC111" s="50"/>
      <c r="AD111" s="50">
        <v>3100000</v>
      </c>
      <c r="AE111" s="56" t="s">
        <v>9</v>
      </c>
      <c r="AF111" s="2"/>
    </row>
    <row r="112" spans="1:32" s="1" customFormat="1" ht="21" customHeight="1">
      <c r="A112" s="44"/>
      <c r="B112" s="45"/>
      <c r="C112" s="45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69"/>
      <c r="O112" s="49" t="s">
        <v>149</v>
      </c>
      <c r="P112" s="49"/>
      <c r="Q112" s="49"/>
      <c r="R112" s="49"/>
      <c r="S112" s="50"/>
      <c r="T112" s="54"/>
      <c r="U112" s="54"/>
      <c r="V112" s="50">
        <v>60000</v>
      </c>
      <c r="W112" s="49" t="s">
        <v>9</v>
      </c>
      <c r="X112" s="50" t="s">
        <v>13</v>
      </c>
      <c r="Y112" s="50">
        <v>1</v>
      </c>
      <c r="Z112" s="50" t="s">
        <v>14</v>
      </c>
      <c r="AA112" s="50" t="s">
        <v>6</v>
      </c>
      <c r="AB112" s="50" t="s">
        <v>67</v>
      </c>
      <c r="AC112" s="50"/>
      <c r="AD112" s="50">
        <f>V112*Y112</f>
        <v>60000</v>
      </c>
      <c r="AE112" s="56" t="s">
        <v>9</v>
      </c>
      <c r="AF112" s="2"/>
    </row>
    <row r="113" spans="1:32" s="1" customFormat="1" ht="21" customHeight="1">
      <c r="A113" s="44"/>
      <c r="B113" s="45"/>
      <c r="C113" s="45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69"/>
      <c r="O113" s="49" t="s">
        <v>131</v>
      </c>
      <c r="P113" s="49"/>
      <c r="Q113" s="49"/>
      <c r="R113" s="49"/>
      <c r="S113" s="50"/>
      <c r="T113" s="54"/>
      <c r="U113" s="54"/>
      <c r="V113" s="50">
        <v>40000</v>
      </c>
      <c r="W113" s="49" t="s">
        <v>9</v>
      </c>
      <c r="X113" s="50" t="s">
        <v>13</v>
      </c>
      <c r="Y113" s="50">
        <v>1</v>
      </c>
      <c r="Z113" s="50" t="s">
        <v>14</v>
      </c>
      <c r="AA113" s="50" t="s">
        <v>6</v>
      </c>
      <c r="AB113" s="50" t="s">
        <v>67</v>
      </c>
      <c r="AC113" s="50"/>
      <c r="AD113" s="50">
        <f>V113*Y113</f>
        <v>40000</v>
      </c>
      <c r="AE113" s="56" t="s">
        <v>9</v>
      </c>
      <c r="AF113" s="2"/>
    </row>
    <row r="114" spans="1:32" s="1" customFormat="1" ht="21" customHeight="1">
      <c r="A114" s="44"/>
      <c r="B114" s="45"/>
      <c r="C114" s="45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69"/>
      <c r="O114" s="49"/>
      <c r="P114" s="49"/>
      <c r="Q114" s="49"/>
      <c r="R114" s="49"/>
      <c r="S114" s="50"/>
      <c r="T114" s="54"/>
      <c r="U114" s="54"/>
      <c r="V114" s="50"/>
      <c r="W114" s="49"/>
      <c r="X114" s="50"/>
      <c r="Y114" s="50"/>
      <c r="Z114" s="50"/>
      <c r="AA114" s="50"/>
      <c r="AB114" s="50"/>
      <c r="AC114" s="50"/>
      <c r="AD114" s="50"/>
      <c r="AE114" s="56"/>
      <c r="AF114" s="2"/>
    </row>
    <row r="115" spans="1:32" s="11" customFormat="1" ht="21" customHeight="1">
      <c r="A115" s="157" t="s">
        <v>22</v>
      </c>
      <c r="B115" s="446" t="s">
        <v>229</v>
      </c>
      <c r="C115" s="447"/>
      <c r="D115" s="158">
        <v>18455</v>
      </c>
      <c r="E115" s="158">
        <f aca="true" t="shared" si="7" ref="E115:L115">SUM(E116,E139)</f>
        <v>17870</v>
      </c>
      <c r="F115" s="158">
        <f t="shared" si="7"/>
        <v>5100</v>
      </c>
      <c r="G115" s="158">
        <f t="shared" si="7"/>
        <v>0</v>
      </c>
      <c r="H115" s="158">
        <f t="shared" si="7"/>
        <v>0</v>
      </c>
      <c r="I115" s="158">
        <f t="shared" si="7"/>
        <v>1120</v>
      </c>
      <c r="J115" s="158">
        <f t="shared" si="7"/>
        <v>10464</v>
      </c>
      <c r="K115" s="158">
        <f t="shared" si="7"/>
        <v>0</v>
      </c>
      <c r="L115" s="158">
        <f t="shared" si="7"/>
        <v>1186</v>
      </c>
      <c r="M115" s="158">
        <f>SUM(M116,M125,M129,M132,M136)</f>
        <v>-320</v>
      </c>
      <c r="N115" s="159">
        <f>IF(D115=0,0,M115/D115)</f>
        <v>-0.017339474397182336</v>
      </c>
      <c r="O115" s="92" t="s">
        <v>22</v>
      </c>
      <c r="P115" s="92"/>
      <c r="Q115" s="92"/>
      <c r="R115" s="92"/>
      <c r="S115" s="92"/>
      <c r="T115" s="88"/>
      <c r="U115" s="88"/>
      <c r="V115" s="88"/>
      <c r="W115" s="88"/>
      <c r="X115" s="88"/>
      <c r="Y115" s="88"/>
      <c r="Z115" s="88"/>
      <c r="AA115" s="88"/>
      <c r="AB115" s="88"/>
      <c r="AC115" s="88"/>
      <c r="AD115" s="88">
        <f>SUM(AD116,AD139)</f>
        <v>17870000</v>
      </c>
      <c r="AE115" s="94" t="s">
        <v>9</v>
      </c>
      <c r="AF115" s="13"/>
    </row>
    <row r="116" spans="1:32" s="11" customFormat="1" ht="21" customHeight="1">
      <c r="A116" s="45"/>
      <c r="B116" s="35" t="s">
        <v>10</v>
      </c>
      <c r="C116" s="35" t="s">
        <v>4</v>
      </c>
      <c r="D116" s="111">
        <v>14540</v>
      </c>
      <c r="E116" s="111">
        <f aca="true" t="shared" si="8" ref="E116:L116">SUM(E117,E125,E129,E132,E136)</f>
        <v>14580</v>
      </c>
      <c r="F116" s="111">
        <f t="shared" si="8"/>
        <v>5100</v>
      </c>
      <c r="G116" s="111">
        <f t="shared" si="8"/>
        <v>0</v>
      </c>
      <c r="H116" s="111">
        <f t="shared" si="8"/>
        <v>0</v>
      </c>
      <c r="I116" s="111">
        <f t="shared" si="8"/>
        <v>1120</v>
      </c>
      <c r="J116" s="111">
        <f t="shared" si="8"/>
        <v>7174</v>
      </c>
      <c r="K116" s="111">
        <f t="shared" si="8"/>
        <v>0</v>
      </c>
      <c r="L116" s="111">
        <f t="shared" si="8"/>
        <v>1186</v>
      </c>
      <c r="M116" s="111">
        <f>E116-D116</f>
        <v>40</v>
      </c>
      <c r="N116" s="119">
        <f>IF(D116=0,0,M116/D116)</f>
        <v>0.002751031636863824</v>
      </c>
      <c r="O116" s="92"/>
      <c r="P116" s="92"/>
      <c r="Q116" s="92"/>
      <c r="R116" s="92"/>
      <c r="S116" s="92"/>
      <c r="T116" s="88"/>
      <c r="U116" s="88"/>
      <c r="V116" s="88"/>
      <c r="W116" s="88"/>
      <c r="X116" s="88"/>
      <c r="Y116" s="88" t="s">
        <v>244</v>
      </c>
      <c r="Z116" s="88"/>
      <c r="AA116" s="88"/>
      <c r="AB116" s="88"/>
      <c r="AC116" s="93"/>
      <c r="AD116" s="93">
        <f>SUM(AD117,AD125,AD129,AD132,AD136)</f>
        <v>14580000</v>
      </c>
      <c r="AE116" s="94" t="s">
        <v>9</v>
      </c>
      <c r="AF116" s="1"/>
    </row>
    <row r="117" spans="1:32" s="11" customFormat="1" ht="21" customHeight="1">
      <c r="A117" s="45"/>
      <c r="B117" s="45"/>
      <c r="C117" s="35" t="s">
        <v>32</v>
      </c>
      <c r="D117" s="112">
        <v>12060</v>
      </c>
      <c r="E117" s="112">
        <f>SUM(F117:L117)</f>
        <v>12460</v>
      </c>
      <c r="F117" s="112">
        <f>SUMIF($AB$118:$AB$124,"보조",$AD$118:$AD$124)/1000</f>
        <v>5100</v>
      </c>
      <c r="G117" s="112">
        <f>SUMIF($AB$118:$AB$124,"7종",$AD$118:$AD$124)/1000</f>
        <v>0</v>
      </c>
      <c r="H117" s="112">
        <f>SUMIF($AB$118:$AB$124,"시비",$AD$118:$AD$124)/1000</f>
        <v>0</v>
      </c>
      <c r="I117" s="112">
        <f>SUMIF($AB$118:$AB$124,"후원",$AD$118:$AD$124)/1000</f>
        <v>1120</v>
      </c>
      <c r="J117" s="112">
        <f>SUMIF($AB$118:$AB$124,"입소",$AD$118:$AD$124)/1000</f>
        <v>5520</v>
      </c>
      <c r="K117" s="112">
        <f>SUMIF($AB$118:$AB$124,"법인",$AD$118:$AD$124)/1000</f>
        <v>0</v>
      </c>
      <c r="L117" s="112">
        <f>SUMIF($AB$118:$AB$124,"잡수",$AD$118:$AD$124)/1000</f>
        <v>720</v>
      </c>
      <c r="M117" s="111">
        <f>E117-D117</f>
        <v>400</v>
      </c>
      <c r="N117" s="119">
        <f>IF(D117=0,0,M117/D117)</f>
        <v>0.03316749585406302</v>
      </c>
      <c r="O117" s="96" t="s">
        <v>213</v>
      </c>
      <c r="P117" s="92"/>
      <c r="Q117" s="92"/>
      <c r="R117" s="92"/>
      <c r="S117" s="92"/>
      <c r="T117" s="88"/>
      <c r="U117" s="88"/>
      <c r="V117" s="88"/>
      <c r="W117" s="88"/>
      <c r="X117" s="88"/>
      <c r="Y117" s="149" t="s">
        <v>27</v>
      </c>
      <c r="Z117" s="149"/>
      <c r="AA117" s="149"/>
      <c r="AB117" s="149"/>
      <c r="AC117" s="151"/>
      <c r="AD117" s="151">
        <f>ROUND(SUM(AD118:AD123),-3)</f>
        <v>12460000</v>
      </c>
      <c r="AE117" s="150" t="s">
        <v>9</v>
      </c>
      <c r="AF117" s="1"/>
    </row>
    <row r="118" spans="1:32" s="11" customFormat="1" ht="21" customHeight="1">
      <c r="A118" s="45"/>
      <c r="B118" s="45"/>
      <c r="C118" s="45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69"/>
      <c r="O118" s="49" t="s">
        <v>326</v>
      </c>
      <c r="P118" s="49"/>
      <c r="Q118" s="50"/>
      <c r="R118" s="50"/>
      <c r="S118" s="50">
        <v>200000</v>
      </c>
      <c r="T118" s="50" t="s">
        <v>9</v>
      </c>
      <c r="U118" s="54" t="s">
        <v>13</v>
      </c>
      <c r="V118" s="50">
        <v>6</v>
      </c>
      <c r="W118" s="50" t="s">
        <v>2</v>
      </c>
      <c r="X118" s="54" t="s">
        <v>13</v>
      </c>
      <c r="Y118" s="50">
        <v>4</v>
      </c>
      <c r="Z118" s="50" t="s">
        <v>26</v>
      </c>
      <c r="AA118" s="90" t="s">
        <v>6</v>
      </c>
      <c r="AB118" s="50" t="s">
        <v>12</v>
      </c>
      <c r="AC118" s="67"/>
      <c r="AD118" s="67">
        <f>S118*V118*Y118</f>
        <v>4800000</v>
      </c>
      <c r="AE118" s="56" t="s">
        <v>9</v>
      </c>
      <c r="AF118" s="2"/>
    </row>
    <row r="119" spans="1:32" s="11" customFormat="1" ht="21" customHeight="1">
      <c r="A119" s="45"/>
      <c r="B119" s="45"/>
      <c r="C119" s="45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69"/>
      <c r="O119" s="49" t="s">
        <v>326</v>
      </c>
      <c r="P119" s="49"/>
      <c r="Q119" s="50"/>
      <c r="R119" s="50"/>
      <c r="S119" s="50">
        <v>30000</v>
      </c>
      <c r="T119" s="50" t="s">
        <v>9</v>
      </c>
      <c r="U119" s="54" t="s">
        <v>13</v>
      </c>
      <c r="V119" s="50">
        <v>6</v>
      </c>
      <c r="W119" s="50" t="s">
        <v>2</v>
      </c>
      <c r="X119" s="54" t="s">
        <v>13</v>
      </c>
      <c r="Y119" s="50">
        <v>4</v>
      </c>
      <c r="Z119" s="50" t="s">
        <v>26</v>
      </c>
      <c r="AA119" s="90" t="s">
        <v>6</v>
      </c>
      <c r="AB119" s="50" t="s">
        <v>335</v>
      </c>
      <c r="AC119" s="67"/>
      <c r="AD119" s="67">
        <f>S119*V119*Y119</f>
        <v>720000</v>
      </c>
      <c r="AE119" s="56" t="s">
        <v>9</v>
      </c>
      <c r="AF119" s="383"/>
    </row>
    <row r="120" spans="1:32" s="11" customFormat="1" ht="21" customHeight="1">
      <c r="A120" s="45"/>
      <c r="B120" s="45"/>
      <c r="C120" s="45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69"/>
      <c r="O120" s="49" t="s">
        <v>326</v>
      </c>
      <c r="P120" s="49"/>
      <c r="Q120" s="49"/>
      <c r="R120" s="49"/>
      <c r="S120" s="50">
        <v>230000</v>
      </c>
      <c r="T120" s="50" t="s">
        <v>9</v>
      </c>
      <c r="U120" s="54" t="s">
        <v>13</v>
      </c>
      <c r="V120" s="50">
        <v>6</v>
      </c>
      <c r="W120" s="50" t="s">
        <v>327</v>
      </c>
      <c r="X120" s="54" t="s">
        <v>13</v>
      </c>
      <c r="Y120" s="50">
        <v>4</v>
      </c>
      <c r="Z120" s="50" t="s">
        <v>26</v>
      </c>
      <c r="AA120" s="90" t="s">
        <v>6</v>
      </c>
      <c r="AB120" s="50" t="s">
        <v>67</v>
      </c>
      <c r="AC120" s="67"/>
      <c r="AD120" s="67">
        <f>S120*V120*Y120</f>
        <v>5520000</v>
      </c>
      <c r="AE120" s="56" t="s">
        <v>9</v>
      </c>
      <c r="AF120" s="2"/>
    </row>
    <row r="121" spans="1:32" s="11" customFormat="1" ht="21" customHeight="1">
      <c r="A121" s="45"/>
      <c r="B121" s="45"/>
      <c r="C121" s="45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69"/>
      <c r="O121" s="49" t="s">
        <v>356</v>
      </c>
      <c r="P121" s="49"/>
      <c r="Q121" s="49"/>
      <c r="R121" s="49"/>
      <c r="S121" s="50">
        <v>25000</v>
      </c>
      <c r="T121" s="50" t="s">
        <v>9</v>
      </c>
      <c r="U121" s="54" t="s">
        <v>13</v>
      </c>
      <c r="V121" s="50">
        <v>12</v>
      </c>
      <c r="W121" s="50" t="s">
        <v>357</v>
      </c>
      <c r="X121" s="54"/>
      <c r="Y121" s="50"/>
      <c r="Z121" s="50"/>
      <c r="AA121" s="90" t="s">
        <v>6</v>
      </c>
      <c r="AB121" s="50" t="s">
        <v>358</v>
      </c>
      <c r="AC121" s="67"/>
      <c r="AD121" s="67">
        <f>S121*V121</f>
        <v>300000</v>
      </c>
      <c r="AE121" s="56" t="s">
        <v>9</v>
      </c>
      <c r="AF121" s="2"/>
    </row>
    <row r="122" spans="1:32" s="11" customFormat="1" ht="21" customHeight="1">
      <c r="A122" s="45"/>
      <c r="B122" s="45"/>
      <c r="C122" s="45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69"/>
      <c r="O122" s="49" t="s">
        <v>328</v>
      </c>
      <c r="P122" s="49"/>
      <c r="Q122" s="49"/>
      <c r="R122" s="49"/>
      <c r="S122" s="50">
        <v>60000</v>
      </c>
      <c r="T122" s="50" t="s">
        <v>9</v>
      </c>
      <c r="U122" s="54" t="s">
        <v>13</v>
      </c>
      <c r="V122" s="50">
        <v>12</v>
      </c>
      <c r="W122" s="50" t="s">
        <v>329</v>
      </c>
      <c r="X122" s="54" t="s">
        <v>13</v>
      </c>
      <c r="Y122" s="50">
        <v>1</v>
      </c>
      <c r="Z122" s="50" t="s">
        <v>26</v>
      </c>
      <c r="AA122" s="90" t="s">
        <v>6</v>
      </c>
      <c r="AB122" s="50" t="s">
        <v>60</v>
      </c>
      <c r="AC122" s="67"/>
      <c r="AD122" s="67">
        <f>S122*V122*Y122</f>
        <v>720000</v>
      </c>
      <c r="AE122" s="56" t="s">
        <v>9</v>
      </c>
      <c r="AF122" s="2"/>
    </row>
    <row r="123" spans="1:32" s="11" customFormat="1" ht="21" customHeight="1">
      <c r="A123" s="45"/>
      <c r="B123" s="45"/>
      <c r="C123" s="45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69"/>
      <c r="O123" s="49" t="s">
        <v>141</v>
      </c>
      <c r="P123" s="49"/>
      <c r="Q123" s="50"/>
      <c r="R123" s="50"/>
      <c r="S123" s="50"/>
      <c r="T123" s="50"/>
      <c r="U123" s="54"/>
      <c r="V123" s="50"/>
      <c r="W123" s="50"/>
      <c r="X123" s="54"/>
      <c r="Y123" s="50"/>
      <c r="Z123" s="50"/>
      <c r="AA123" s="90"/>
      <c r="AB123" s="50" t="s">
        <v>61</v>
      </c>
      <c r="AC123" s="67"/>
      <c r="AD123" s="67">
        <v>400000</v>
      </c>
      <c r="AE123" s="56" t="s">
        <v>9</v>
      </c>
      <c r="AF123" s="2"/>
    </row>
    <row r="124" spans="1:32" s="11" customFormat="1" ht="21" customHeight="1">
      <c r="A124" s="45"/>
      <c r="B124" s="45"/>
      <c r="C124" s="58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83"/>
      <c r="O124" s="115"/>
      <c r="P124" s="115"/>
      <c r="Q124" s="115"/>
      <c r="R124" s="115"/>
      <c r="S124" s="115"/>
      <c r="T124" s="115"/>
      <c r="U124" s="115"/>
      <c r="V124" s="115"/>
      <c r="W124" s="115"/>
      <c r="X124" s="115"/>
      <c r="Y124" s="115"/>
      <c r="Z124" s="115"/>
      <c r="AA124" s="115"/>
      <c r="AB124" s="115"/>
      <c r="AC124" s="115"/>
      <c r="AD124" s="123"/>
      <c r="AE124" s="120"/>
      <c r="AF124" s="2"/>
    </row>
    <row r="125" spans="1:32" s="11" customFormat="1" ht="21" customHeight="1">
      <c r="A125" s="45"/>
      <c r="B125" s="45"/>
      <c r="C125" s="45" t="s">
        <v>260</v>
      </c>
      <c r="D125" s="112">
        <v>1240</v>
      </c>
      <c r="E125" s="112">
        <f>SUM(F125:L125)</f>
        <v>1040</v>
      </c>
      <c r="F125" s="112">
        <f>SUMIF($AB$126:$AB$128,"보조",$AD$126:$AD$128)/1000</f>
        <v>0</v>
      </c>
      <c r="G125" s="112">
        <f>SUMIF($AB$126:$AB$128,"7종",$AD$126:$AD$128)/1000</f>
        <v>0</v>
      </c>
      <c r="H125" s="112">
        <f>SUMIF($AB$126:$AB$128,"시비",$AD$126:$AD$128)/1000</f>
        <v>0</v>
      </c>
      <c r="I125" s="112">
        <f>SUMIF($AB$126:$AB$128,"후원",$AD$126:$AD$128)/1000</f>
        <v>0</v>
      </c>
      <c r="J125" s="112">
        <f>SUMIF($AB$126:$AB$128,"입소",$AD$126:$AD$128)/1000</f>
        <v>574</v>
      </c>
      <c r="K125" s="112">
        <f>SUMIF($AB$126:$AB$128,"법인",$AD$126:$AD$128)/1000</f>
        <v>0</v>
      </c>
      <c r="L125" s="112">
        <f>SUMIF($AB$126:$AB$128,"잡수",$AD$126:$AD$128)/1000</f>
        <v>466</v>
      </c>
      <c r="M125" s="108">
        <f>E125-D125</f>
        <v>-200</v>
      </c>
      <c r="N125" s="69">
        <f>IF(D125=0,0,M125/D125)</f>
        <v>-0.16129032258064516</v>
      </c>
      <c r="O125" s="96" t="s">
        <v>100</v>
      </c>
      <c r="P125" s="92"/>
      <c r="Q125" s="92"/>
      <c r="R125" s="92"/>
      <c r="S125" s="92"/>
      <c r="T125" s="88"/>
      <c r="U125" s="88"/>
      <c r="V125" s="88"/>
      <c r="W125" s="88"/>
      <c r="X125" s="88"/>
      <c r="Y125" s="149" t="s">
        <v>27</v>
      </c>
      <c r="Z125" s="149"/>
      <c r="AA125" s="149"/>
      <c r="AB125" s="149"/>
      <c r="AC125" s="151"/>
      <c r="AD125" s="151">
        <f>ROUND(SUM(AD126:AD128),-3)</f>
        <v>1040000</v>
      </c>
      <c r="AE125" s="150" t="s">
        <v>9</v>
      </c>
      <c r="AF125" s="1"/>
    </row>
    <row r="126" spans="1:32" s="11" customFormat="1" ht="21" customHeight="1">
      <c r="A126" s="45"/>
      <c r="B126" s="45"/>
      <c r="C126" s="45" t="s">
        <v>54</v>
      </c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69"/>
      <c r="O126" s="49" t="s">
        <v>308</v>
      </c>
      <c r="P126" s="49"/>
      <c r="Q126" s="49"/>
      <c r="R126" s="49"/>
      <c r="S126" s="50"/>
      <c r="T126" s="54"/>
      <c r="U126" s="54"/>
      <c r="V126" s="50"/>
      <c r="W126" s="50"/>
      <c r="X126" s="50"/>
      <c r="Y126" s="50"/>
      <c r="Z126" s="50"/>
      <c r="AA126" s="50"/>
      <c r="AB126" s="50" t="s">
        <v>67</v>
      </c>
      <c r="AC126" s="50"/>
      <c r="AD126" s="50">
        <v>574000</v>
      </c>
      <c r="AE126" s="56" t="s">
        <v>9</v>
      </c>
      <c r="AF126" s="2"/>
    </row>
    <row r="127" spans="1:32" s="11" customFormat="1" ht="21" customHeight="1">
      <c r="A127" s="45"/>
      <c r="B127" s="45"/>
      <c r="C127" s="45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69"/>
      <c r="O127" s="49" t="s">
        <v>121</v>
      </c>
      <c r="P127" s="49"/>
      <c r="Q127" s="49"/>
      <c r="R127" s="49"/>
      <c r="S127" s="50"/>
      <c r="T127" s="54"/>
      <c r="U127" s="54"/>
      <c r="V127" s="50"/>
      <c r="W127" s="50"/>
      <c r="X127" s="50"/>
      <c r="Y127" s="50"/>
      <c r="Z127" s="50"/>
      <c r="AA127" s="50"/>
      <c r="AB127" s="50" t="s">
        <v>337</v>
      </c>
      <c r="AC127" s="50"/>
      <c r="AD127" s="50">
        <v>466000</v>
      </c>
      <c r="AE127" s="56" t="s">
        <v>9</v>
      </c>
      <c r="AF127" s="2"/>
    </row>
    <row r="128" spans="1:32" s="11" customFormat="1" ht="21" customHeight="1">
      <c r="A128" s="45"/>
      <c r="B128" s="45"/>
      <c r="C128" s="45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69"/>
      <c r="O128" s="238"/>
      <c r="P128" s="238"/>
      <c r="Q128" s="238"/>
      <c r="R128" s="238"/>
      <c r="S128" s="243"/>
      <c r="T128" s="244"/>
      <c r="U128" s="239"/>
      <c r="V128" s="245"/>
      <c r="W128" s="243"/>
      <c r="X128" s="243"/>
      <c r="Y128" s="243"/>
      <c r="Z128" s="243"/>
      <c r="AA128" s="243"/>
      <c r="AB128" s="243"/>
      <c r="AC128" s="243"/>
      <c r="AD128" s="243"/>
      <c r="AE128" s="246"/>
      <c r="AF128" s="1"/>
    </row>
    <row r="129" spans="1:32" s="11" customFormat="1" ht="21" customHeight="1">
      <c r="A129" s="45"/>
      <c r="B129" s="45"/>
      <c r="C129" s="35" t="s">
        <v>29</v>
      </c>
      <c r="D129" s="112">
        <v>800</v>
      </c>
      <c r="E129" s="112">
        <f>SUM(F129:L129)</f>
        <v>800</v>
      </c>
      <c r="F129" s="112">
        <f>SUMIF($AB$130:$AB$131,"보조",$AD$130:$AD$131)/1000</f>
        <v>0</v>
      </c>
      <c r="G129" s="112">
        <f>SUMIF($AB$130:$AB$131,"7종",$AD$130:$AD$131)/1000</f>
        <v>0</v>
      </c>
      <c r="H129" s="112">
        <f>SUMIF($AB$130:$AB$131,"시비",$AD$130:$AD$131)/1000</f>
        <v>0</v>
      </c>
      <c r="I129" s="112">
        <f>SUMIF($AB$130:$AB$131,"후원",$AD$130:$AD$131)/1000</f>
        <v>0</v>
      </c>
      <c r="J129" s="112">
        <f>SUMIF($AB$130:$AB$131,"입소",$AD$130:$AD$131)/1000</f>
        <v>800</v>
      </c>
      <c r="K129" s="112">
        <f>SUMIF($AB$130:$AB$131,"법인",$AD$130:$AD$131)/1000</f>
        <v>0</v>
      </c>
      <c r="L129" s="112">
        <f>SUMIF($AB$130:$AB$131,"잡수",$AD$130:$AD$131)/1000</f>
        <v>0</v>
      </c>
      <c r="M129" s="111">
        <f>E129-D129</f>
        <v>0</v>
      </c>
      <c r="N129" s="119">
        <f>IF(D129=0,0,M129/D129)</f>
        <v>0</v>
      </c>
      <c r="O129" s="96" t="s">
        <v>291</v>
      </c>
      <c r="P129" s="148"/>
      <c r="Q129" s="92"/>
      <c r="R129" s="92"/>
      <c r="S129" s="92"/>
      <c r="T129" s="88"/>
      <c r="U129" s="88"/>
      <c r="V129" s="88"/>
      <c r="W129" s="88"/>
      <c r="X129" s="88"/>
      <c r="Y129" s="149" t="s">
        <v>27</v>
      </c>
      <c r="Z129" s="149"/>
      <c r="AA129" s="149"/>
      <c r="AB129" s="149"/>
      <c r="AC129" s="151"/>
      <c r="AD129" s="151">
        <f>SUM(AD130:AD131)</f>
        <v>800000</v>
      </c>
      <c r="AE129" s="150" t="s">
        <v>9</v>
      </c>
      <c r="AF129" s="1"/>
    </row>
    <row r="130" spans="1:32" s="11" customFormat="1" ht="21" customHeight="1">
      <c r="A130" s="45"/>
      <c r="B130" s="45"/>
      <c r="C130" s="45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69"/>
      <c r="O130" s="49" t="s">
        <v>273</v>
      </c>
      <c r="P130" s="49"/>
      <c r="Q130" s="50"/>
      <c r="R130" s="50"/>
      <c r="S130" s="343">
        <v>200000</v>
      </c>
      <c r="T130" s="50" t="s">
        <v>9</v>
      </c>
      <c r="U130" s="49" t="s">
        <v>13</v>
      </c>
      <c r="V130" s="50">
        <v>4</v>
      </c>
      <c r="W130" s="50" t="s">
        <v>26</v>
      </c>
      <c r="X130" s="49"/>
      <c r="Y130" s="50"/>
      <c r="Z130" s="50"/>
      <c r="AA130" s="50" t="s">
        <v>6</v>
      </c>
      <c r="AB130" s="50" t="s">
        <v>67</v>
      </c>
      <c r="AC130" s="67"/>
      <c r="AD130" s="67">
        <f>S130*V130</f>
        <v>800000</v>
      </c>
      <c r="AE130" s="56" t="s">
        <v>9</v>
      </c>
      <c r="AF130" s="1"/>
    </row>
    <row r="131" spans="1:32" s="11" customFormat="1" ht="21" customHeight="1">
      <c r="A131" s="45"/>
      <c r="B131" s="45"/>
      <c r="C131" s="45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69"/>
      <c r="O131" s="49"/>
      <c r="P131" s="49"/>
      <c r="Q131" s="50"/>
      <c r="R131" s="50"/>
      <c r="S131" s="343"/>
      <c r="T131" s="50"/>
      <c r="U131" s="49"/>
      <c r="V131" s="50"/>
      <c r="W131" s="50"/>
      <c r="X131" s="49"/>
      <c r="Y131" s="50"/>
      <c r="Z131" s="50"/>
      <c r="AA131" s="50"/>
      <c r="AB131" s="50"/>
      <c r="AC131" s="67"/>
      <c r="AD131" s="67"/>
      <c r="AE131" s="56"/>
      <c r="AF131" s="1"/>
    </row>
    <row r="132" spans="1:32" s="11" customFormat="1" ht="21" customHeight="1">
      <c r="A132" s="45"/>
      <c r="B132" s="45"/>
      <c r="C132" s="35" t="s">
        <v>36</v>
      </c>
      <c r="D132" s="112">
        <v>260</v>
      </c>
      <c r="E132" s="112">
        <f>SUM(F132:L132)</f>
        <v>220</v>
      </c>
      <c r="F132" s="112">
        <f>SUMIF($AB$133:$AB$135,"보조",$AD$133:$AD$135)/1000</f>
        <v>0</v>
      </c>
      <c r="G132" s="112">
        <f>SUMIF($AB$133:$AB$135,"7종",$AD$133:$AD$135)/1000</f>
        <v>0</v>
      </c>
      <c r="H132" s="112">
        <f>SUMIF($AB$133:$AB$135,"시비",$AD$133:$AD$135)/1000</f>
        <v>0</v>
      </c>
      <c r="I132" s="112">
        <f>SUMIF($AB$133:$AB$135,"후원",$AD$133:$AD$135)/1000</f>
        <v>0</v>
      </c>
      <c r="J132" s="112">
        <f>SUMIF($AB$133:$AB$135,"입소",$AD$133:$AD$135)/1000</f>
        <v>220</v>
      </c>
      <c r="K132" s="112">
        <f>SUMIF($AB$133:$AB$135,"법인",$AD$133:$AD$135)/1000</f>
        <v>0</v>
      </c>
      <c r="L132" s="112">
        <f>SUMIF($AB$133:$AB$135,"잡수",$AD$133:$AD$135)/1000</f>
        <v>0</v>
      </c>
      <c r="M132" s="111">
        <f>E132-D132</f>
        <v>-40</v>
      </c>
      <c r="N132" s="119">
        <f>IF(D132=0,0,M132/D132)</f>
        <v>-0.15384615384615385</v>
      </c>
      <c r="O132" s="96" t="s">
        <v>287</v>
      </c>
      <c r="P132" s="148"/>
      <c r="Q132" s="92"/>
      <c r="R132" s="92"/>
      <c r="S132" s="349"/>
      <c r="T132" s="88"/>
      <c r="U132" s="88"/>
      <c r="V132" s="88"/>
      <c r="W132" s="88"/>
      <c r="X132" s="88"/>
      <c r="Y132" s="149" t="s">
        <v>27</v>
      </c>
      <c r="Z132" s="149"/>
      <c r="AA132" s="149"/>
      <c r="AB132" s="149"/>
      <c r="AC132" s="151"/>
      <c r="AD132" s="151">
        <f>SUM(AD133:AD134)</f>
        <v>220000</v>
      </c>
      <c r="AE132" s="150" t="s">
        <v>9</v>
      </c>
      <c r="AF132" s="1"/>
    </row>
    <row r="133" spans="1:32" s="14" customFormat="1" ht="21" customHeight="1">
      <c r="A133" s="45"/>
      <c r="B133" s="45"/>
      <c r="C133" s="45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69"/>
      <c r="O133" s="49" t="s">
        <v>126</v>
      </c>
      <c r="P133" s="49"/>
      <c r="Q133" s="50"/>
      <c r="R133" s="50"/>
      <c r="S133" s="343">
        <v>40000</v>
      </c>
      <c r="T133" s="50" t="s">
        <v>9</v>
      </c>
      <c r="U133" s="49" t="s">
        <v>13</v>
      </c>
      <c r="V133" s="50">
        <v>1</v>
      </c>
      <c r="W133" s="50" t="s">
        <v>14</v>
      </c>
      <c r="X133" s="49" t="s">
        <v>13</v>
      </c>
      <c r="Y133" s="50">
        <v>3</v>
      </c>
      <c r="Z133" s="50" t="s">
        <v>26</v>
      </c>
      <c r="AA133" s="50" t="s">
        <v>6</v>
      </c>
      <c r="AB133" s="50" t="s">
        <v>67</v>
      </c>
      <c r="AC133" s="67"/>
      <c r="AD133" s="67">
        <f>S133*V133*Y133</f>
        <v>120000</v>
      </c>
      <c r="AE133" s="56" t="s">
        <v>9</v>
      </c>
      <c r="AF133" s="5"/>
    </row>
    <row r="134" spans="1:32" s="14" customFormat="1" ht="21" customHeight="1">
      <c r="A134" s="45"/>
      <c r="B134" s="45"/>
      <c r="C134" s="45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237"/>
      <c r="O134" s="66" t="s">
        <v>184</v>
      </c>
      <c r="P134" s="49"/>
      <c r="Q134" s="49"/>
      <c r="R134" s="49"/>
      <c r="S134" s="343"/>
      <c r="T134" s="50"/>
      <c r="U134" s="49"/>
      <c r="V134" s="50"/>
      <c r="W134" s="50"/>
      <c r="X134" s="49"/>
      <c r="Y134" s="55"/>
      <c r="Z134" s="90"/>
      <c r="AA134" s="90"/>
      <c r="AB134" s="50" t="s">
        <v>67</v>
      </c>
      <c r="AC134" s="67"/>
      <c r="AD134" s="50">
        <v>100000</v>
      </c>
      <c r="AE134" s="56" t="s">
        <v>9</v>
      </c>
      <c r="AF134" s="5"/>
    </row>
    <row r="135" spans="1:32" s="11" customFormat="1" ht="21" customHeight="1">
      <c r="A135" s="45"/>
      <c r="B135" s="45"/>
      <c r="C135" s="58"/>
      <c r="D135" s="138"/>
      <c r="E135" s="138"/>
      <c r="F135" s="138"/>
      <c r="G135" s="138"/>
      <c r="H135" s="138"/>
      <c r="I135" s="138"/>
      <c r="J135" s="138"/>
      <c r="K135" s="138"/>
      <c r="L135" s="138"/>
      <c r="M135" s="124"/>
      <c r="N135" s="83"/>
      <c r="O135" s="283"/>
      <c r="P135" s="283"/>
      <c r="Q135" s="283"/>
      <c r="R135" s="283"/>
      <c r="S135" s="283"/>
      <c r="T135" s="125"/>
      <c r="U135" s="50"/>
      <c r="V135" s="90"/>
      <c r="W135" s="50"/>
      <c r="X135" s="50"/>
      <c r="Y135" s="50"/>
      <c r="Z135" s="50"/>
      <c r="AA135" s="50"/>
      <c r="AB135" s="50"/>
      <c r="AC135" s="50"/>
      <c r="AD135" s="50"/>
      <c r="AE135" s="56"/>
      <c r="AF135" s="1"/>
    </row>
    <row r="136" spans="1:32" s="11" customFormat="1" ht="21" customHeight="1">
      <c r="A136" s="45"/>
      <c r="B136" s="45"/>
      <c r="C136" s="45" t="s">
        <v>18</v>
      </c>
      <c r="D136" s="112">
        <v>180</v>
      </c>
      <c r="E136" s="112">
        <f>SUM(F136:L136)</f>
        <v>60</v>
      </c>
      <c r="F136" s="112">
        <f>SUMIF($AB$137:$AB$138,"보조",$AD$137:$AD$138)/1000</f>
        <v>0</v>
      </c>
      <c r="G136" s="112">
        <f>SUMIF($AB$137:$AB$138,"7종",$AD$137:$AD$138)/1000</f>
        <v>0</v>
      </c>
      <c r="H136" s="112">
        <f>SUMIF($AB$137:$AB$138,"시비",$AD$137:$AD$138)/1000</f>
        <v>0</v>
      </c>
      <c r="I136" s="112">
        <f>SUMIF($AB$137:$AB$138,"후원",$AD$137:$AD$138)/1000</f>
        <v>0</v>
      </c>
      <c r="J136" s="112">
        <f>SUMIF($AB$137:$AB$138,"입소",$AD$137:$AD$138)/1000</f>
        <v>60</v>
      </c>
      <c r="K136" s="112">
        <f>SUMIF($AB$137:$AB$138,"법인",$AD$137:$AD$138)/1000</f>
        <v>0</v>
      </c>
      <c r="L136" s="112">
        <f>SUMIF($AB$137:$AB$138,"잡수",$AD$137:$AD$138)/1000</f>
        <v>0</v>
      </c>
      <c r="M136" s="108">
        <f>E136-D136</f>
        <v>-120</v>
      </c>
      <c r="N136" s="69">
        <f>IF(D136=0,0,M136/D136)</f>
        <v>-0.6666666666666666</v>
      </c>
      <c r="O136" s="96" t="s">
        <v>252</v>
      </c>
      <c r="P136" s="92"/>
      <c r="Q136" s="92"/>
      <c r="R136" s="92"/>
      <c r="S136" s="92"/>
      <c r="T136" s="88"/>
      <c r="U136" s="88"/>
      <c r="V136" s="88"/>
      <c r="W136" s="88"/>
      <c r="X136" s="88"/>
      <c r="Y136" s="149" t="s">
        <v>27</v>
      </c>
      <c r="Z136" s="149"/>
      <c r="AA136" s="149"/>
      <c r="AB136" s="149"/>
      <c r="AC136" s="151"/>
      <c r="AD136" s="151">
        <f>ROUND(SUM(AD137:AD137),-3)</f>
        <v>60000</v>
      </c>
      <c r="AE136" s="150" t="s">
        <v>9</v>
      </c>
      <c r="AF136" s="1"/>
    </row>
    <row r="137" spans="1:32" s="11" customFormat="1" ht="21" customHeight="1">
      <c r="A137" s="45"/>
      <c r="B137" s="45"/>
      <c r="C137" s="45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69"/>
      <c r="O137" s="49" t="s">
        <v>150</v>
      </c>
      <c r="P137" s="49"/>
      <c r="Q137" s="49"/>
      <c r="R137" s="49"/>
      <c r="S137" s="50">
        <v>10000</v>
      </c>
      <c r="T137" s="54" t="s">
        <v>9</v>
      </c>
      <c r="U137" s="54" t="s">
        <v>13</v>
      </c>
      <c r="V137" s="50">
        <v>6</v>
      </c>
      <c r="W137" s="50" t="s">
        <v>2</v>
      </c>
      <c r="X137" s="90"/>
      <c r="Y137" s="281"/>
      <c r="Z137" s="74"/>
      <c r="AA137" s="282" t="s">
        <v>6</v>
      </c>
      <c r="AB137" s="50" t="s">
        <v>67</v>
      </c>
      <c r="AC137" s="50"/>
      <c r="AD137" s="50">
        <f>S137*V137</f>
        <v>60000</v>
      </c>
      <c r="AE137" s="56" t="s">
        <v>9</v>
      </c>
      <c r="AF137" s="1"/>
    </row>
    <row r="138" spans="1:32" s="11" customFormat="1" ht="21" customHeight="1">
      <c r="A138" s="45"/>
      <c r="B138" s="45"/>
      <c r="C138" s="45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69"/>
      <c r="O138" s="49"/>
      <c r="P138" s="49"/>
      <c r="Q138" s="49"/>
      <c r="R138" s="49"/>
      <c r="S138" s="50"/>
      <c r="T138" s="54"/>
      <c r="U138" s="49"/>
      <c r="V138" s="50"/>
      <c r="W138" s="49"/>
      <c r="X138" s="50"/>
      <c r="Y138" s="50"/>
      <c r="Z138" s="50"/>
      <c r="AA138" s="50"/>
      <c r="AB138" s="50"/>
      <c r="AC138" s="50"/>
      <c r="AD138" s="50"/>
      <c r="AE138" s="56"/>
      <c r="AF138" s="1"/>
    </row>
    <row r="139" spans="1:32" s="11" customFormat="1" ht="21" customHeight="1">
      <c r="A139" s="45"/>
      <c r="B139" s="35" t="s">
        <v>247</v>
      </c>
      <c r="C139" s="145" t="s">
        <v>4</v>
      </c>
      <c r="D139" s="146">
        <v>3915</v>
      </c>
      <c r="E139" s="146">
        <f aca="true" t="shared" si="9" ref="E139:L139">SUM(E140,E144,E147,E150,E155,E160,E164,E169)</f>
        <v>3290</v>
      </c>
      <c r="F139" s="146">
        <f t="shared" si="9"/>
        <v>0</v>
      </c>
      <c r="G139" s="146">
        <f t="shared" si="9"/>
        <v>0</v>
      </c>
      <c r="H139" s="146">
        <f t="shared" si="9"/>
        <v>0</v>
      </c>
      <c r="I139" s="146">
        <f t="shared" si="9"/>
        <v>0</v>
      </c>
      <c r="J139" s="146">
        <f t="shared" si="9"/>
        <v>3290</v>
      </c>
      <c r="K139" s="146">
        <f t="shared" si="9"/>
        <v>0</v>
      </c>
      <c r="L139" s="146">
        <f t="shared" si="9"/>
        <v>0</v>
      </c>
      <c r="M139" s="146">
        <f>E139-D139</f>
        <v>-625</v>
      </c>
      <c r="N139" s="147">
        <f>IF(D139=0,0,M139/D139)</f>
        <v>-0.15964240102171137</v>
      </c>
      <c r="O139" s="148"/>
      <c r="P139" s="148"/>
      <c r="Q139" s="148"/>
      <c r="R139" s="148"/>
      <c r="S139" s="148"/>
      <c r="T139" s="149"/>
      <c r="U139" s="149"/>
      <c r="V139" s="149"/>
      <c r="W139" s="149"/>
      <c r="X139" s="149"/>
      <c r="Y139" s="149" t="s">
        <v>244</v>
      </c>
      <c r="Z139" s="149"/>
      <c r="AA139" s="149"/>
      <c r="AB139" s="149"/>
      <c r="AC139" s="151"/>
      <c r="AD139" s="151">
        <f>SUM(AD140,AD144,AD147,AD150,AD155,AD160,AD164,AD169)</f>
        <v>3290000</v>
      </c>
      <c r="AE139" s="150" t="s">
        <v>9</v>
      </c>
      <c r="AF139" s="1"/>
    </row>
    <row r="140" spans="1:32" s="15" customFormat="1" ht="24" customHeight="1">
      <c r="A140" s="45"/>
      <c r="B140" s="45" t="s">
        <v>22</v>
      </c>
      <c r="C140" s="35" t="s">
        <v>264</v>
      </c>
      <c r="D140" s="112">
        <v>350</v>
      </c>
      <c r="E140" s="112">
        <f>SUM(F140:L140)</f>
        <v>300</v>
      </c>
      <c r="F140" s="112">
        <f>SUMIF($AB$141:$AB$143,"보조",$AD$141:$AD$143)/1000</f>
        <v>0</v>
      </c>
      <c r="G140" s="112">
        <f>SUMIF($AB$141:$AB$143,"7종",$AD$141:$AD$143)/1000</f>
        <v>0</v>
      </c>
      <c r="H140" s="112">
        <f>SUMIF($AB$141:$AB$143,"시비",$AD$141:$AD$143)/1000</f>
        <v>0</v>
      </c>
      <c r="I140" s="112">
        <f>SUMIF($AB$141:$AB$143,"후원",$AD$141:$AD$143)/1000</f>
        <v>0</v>
      </c>
      <c r="J140" s="112">
        <f>SUMIF($AB$141:$AB$143,"입소",$AD$141:$AD$143)/1000</f>
        <v>300</v>
      </c>
      <c r="K140" s="112">
        <f>SUMIF($AB$141:$AB$143,"법인",$AD$141:$AD$143)/1000</f>
        <v>0</v>
      </c>
      <c r="L140" s="112">
        <f>SUMIF($AB$141:$AB$143,"잡수",$AD$141:$AD$143)/1000</f>
        <v>0</v>
      </c>
      <c r="M140" s="108">
        <f>E140-D140</f>
        <v>-50</v>
      </c>
      <c r="N140" s="69">
        <f>IF(D140=0,0,M140/D140)</f>
        <v>-0.14285714285714285</v>
      </c>
      <c r="O140" s="240"/>
      <c r="P140" s="137"/>
      <c r="Q140" s="137"/>
      <c r="R140" s="137"/>
      <c r="S140" s="347"/>
      <c r="T140" s="87"/>
      <c r="U140" s="87"/>
      <c r="V140" s="87"/>
      <c r="W140" s="132" t="s">
        <v>236</v>
      </c>
      <c r="X140" s="132"/>
      <c r="Y140" s="132"/>
      <c r="Z140" s="132"/>
      <c r="AA140" s="132"/>
      <c r="AB140" s="132"/>
      <c r="AC140" s="133"/>
      <c r="AD140" s="133">
        <f>SUM(AD141:AD142)</f>
        <v>300000</v>
      </c>
      <c r="AE140" s="134" t="s">
        <v>9</v>
      </c>
      <c r="AF140" s="16"/>
    </row>
    <row r="141" spans="1:32" s="15" customFormat="1" ht="24" customHeight="1">
      <c r="A141" s="45"/>
      <c r="B141" s="45"/>
      <c r="C141" s="45" t="s">
        <v>274</v>
      </c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69"/>
      <c r="O141" s="49" t="s">
        <v>136</v>
      </c>
      <c r="P141" s="49"/>
      <c r="Q141" s="49"/>
      <c r="R141" s="49"/>
      <c r="S141" s="343">
        <v>50000</v>
      </c>
      <c r="T141" s="54" t="s">
        <v>9</v>
      </c>
      <c r="U141" s="54" t="s">
        <v>13</v>
      </c>
      <c r="V141" s="50">
        <v>3</v>
      </c>
      <c r="W141" s="50" t="s">
        <v>26</v>
      </c>
      <c r="X141" s="90"/>
      <c r="Y141" s="281"/>
      <c r="Z141" s="74"/>
      <c r="AA141" s="282" t="s">
        <v>6</v>
      </c>
      <c r="AB141" s="50" t="s">
        <v>67</v>
      </c>
      <c r="AC141" s="50"/>
      <c r="AD141" s="50">
        <f>S141*V141</f>
        <v>150000</v>
      </c>
      <c r="AE141" s="56" t="s">
        <v>9</v>
      </c>
      <c r="AF141" s="16"/>
    </row>
    <row r="142" spans="1:32" s="15" customFormat="1" ht="24" customHeight="1">
      <c r="A142" s="45"/>
      <c r="B142" s="45"/>
      <c r="C142" s="45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69"/>
      <c r="O142" s="49" t="s">
        <v>152</v>
      </c>
      <c r="P142" s="49"/>
      <c r="Q142" s="49"/>
      <c r="R142" s="49"/>
      <c r="S142" s="343">
        <v>15000</v>
      </c>
      <c r="T142" s="54" t="s">
        <v>9</v>
      </c>
      <c r="U142" s="54" t="s">
        <v>13</v>
      </c>
      <c r="V142" s="50">
        <v>5</v>
      </c>
      <c r="W142" s="50" t="s">
        <v>321</v>
      </c>
      <c r="X142" s="49" t="s">
        <v>13</v>
      </c>
      <c r="Y142" s="281">
        <v>2</v>
      </c>
      <c r="Z142" s="74" t="s">
        <v>318</v>
      </c>
      <c r="AA142" s="282" t="s">
        <v>6</v>
      </c>
      <c r="AB142" s="50" t="s">
        <v>67</v>
      </c>
      <c r="AC142" s="50"/>
      <c r="AD142" s="50">
        <f>S142*V142*Y142</f>
        <v>150000</v>
      </c>
      <c r="AE142" s="56" t="s">
        <v>9</v>
      </c>
      <c r="AF142" s="16"/>
    </row>
    <row r="143" spans="1:32" s="15" customFormat="1" ht="24" customHeight="1">
      <c r="A143" s="45"/>
      <c r="B143" s="45"/>
      <c r="C143" s="58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83"/>
      <c r="O143" s="80"/>
      <c r="P143" s="80"/>
      <c r="Q143" s="80"/>
      <c r="R143" s="80"/>
      <c r="S143" s="344"/>
      <c r="T143" s="79"/>
      <c r="U143" s="80"/>
      <c r="V143" s="79"/>
      <c r="W143" s="79"/>
      <c r="X143" s="79"/>
      <c r="Y143" s="79"/>
      <c r="Z143" s="79"/>
      <c r="AA143" s="79"/>
      <c r="AB143" s="79"/>
      <c r="AC143" s="79"/>
      <c r="AD143" s="79"/>
      <c r="AE143" s="72"/>
      <c r="AF143" s="16"/>
    </row>
    <row r="144" spans="1:32" s="15" customFormat="1" ht="24" customHeight="1">
      <c r="A144" s="45"/>
      <c r="B144" s="45"/>
      <c r="C144" s="35" t="s">
        <v>222</v>
      </c>
      <c r="D144" s="112">
        <v>200</v>
      </c>
      <c r="E144" s="112">
        <f>SUM(F144:L144)</f>
        <v>200</v>
      </c>
      <c r="F144" s="112">
        <f>SUMIF($AB$145:$AB$146,"보조",$AD$145:$AD$146)/1000</f>
        <v>0</v>
      </c>
      <c r="G144" s="112">
        <f>SUMIF($AB$145:$AB$146,"7종",$AD$145:$AD$146)/1000</f>
        <v>0</v>
      </c>
      <c r="H144" s="112">
        <f>SUMIF($AB$145:$AB$146,"시비",$AD$145:$AD$146)/1000</f>
        <v>0</v>
      </c>
      <c r="I144" s="112">
        <f>SUMIF($AB$145:$AB$146,"후원",$AD$145:$AD$146)/1000</f>
        <v>0</v>
      </c>
      <c r="J144" s="112">
        <f>SUMIF($AB$145:$AB$146,"입소",$AD$145:$AD$146)/1000</f>
        <v>200</v>
      </c>
      <c r="K144" s="112">
        <f>SUMIF($AB$145:$AB$146,"법인",$AD$145:$AD$146)/1000</f>
        <v>0</v>
      </c>
      <c r="L144" s="112">
        <f>SUMIF($AB$145:$AB$146,"잡수",$AD$145:$AD$146)/1000</f>
        <v>0</v>
      </c>
      <c r="M144" s="108">
        <f>E144-D144</f>
        <v>0</v>
      </c>
      <c r="N144" s="69">
        <f>IF(D144=0,0,M144/D144)</f>
        <v>0</v>
      </c>
      <c r="O144" s="240"/>
      <c r="P144" s="92"/>
      <c r="Q144" s="92"/>
      <c r="R144" s="302"/>
      <c r="S144" s="345"/>
      <c r="T144" s="302"/>
      <c r="U144" s="302"/>
      <c r="V144" s="302"/>
      <c r="W144" s="132" t="s">
        <v>236</v>
      </c>
      <c r="X144" s="132"/>
      <c r="Y144" s="132"/>
      <c r="Z144" s="132"/>
      <c r="AA144" s="132"/>
      <c r="AB144" s="132"/>
      <c r="AC144" s="133"/>
      <c r="AD144" s="133">
        <f>SUM(AD145:AD145)</f>
        <v>200000</v>
      </c>
      <c r="AE144" s="134" t="s">
        <v>9</v>
      </c>
      <c r="AF144" s="16"/>
    </row>
    <row r="145" spans="1:32" s="15" customFormat="1" ht="24" customHeight="1">
      <c r="A145" s="45"/>
      <c r="B145" s="45"/>
      <c r="C145" s="45" t="s">
        <v>22</v>
      </c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69"/>
      <c r="O145" s="49" t="s">
        <v>299</v>
      </c>
      <c r="P145" s="49"/>
      <c r="Q145" s="49"/>
      <c r="R145" s="49"/>
      <c r="S145" s="343">
        <v>200000</v>
      </c>
      <c r="T145" s="54" t="s">
        <v>9</v>
      </c>
      <c r="U145" s="54" t="s">
        <v>13</v>
      </c>
      <c r="V145" s="50">
        <v>1</v>
      </c>
      <c r="W145" s="49" t="s">
        <v>14</v>
      </c>
      <c r="X145" s="50"/>
      <c r="Y145" s="284"/>
      <c r="Z145" s="284" t="s">
        <v>6</v>
      </c>
      <c r="AA145" s="284"/>
      <c r="AB145" s="284" t="s">
        <v>67</v>
      </c>
      <c r="AC145" s="284"/>
      <c r="AD145" s="285">
        <f>S145*V145</f>
        <v>200000</v>
      </c>
      <c r="AE145" s="286" t="s">
        <v>9</v>
      </c>
      <c r="AF145" s="16"/>
    </row>
    <row r="146" spans="1:33" s="15" customFormat="1" ht="24" customHeight="1">
      <c r="A146" s="45"/>
      <c r="B146" s="45"/>
      <c r="C146" s="58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  <c r="N146" s="83"/>
      <c r="O146" s="80"/>
      <c r="P146" s="80"/>
      <c r="Q146" s="80"/>
      <c r="R146" s="80"/>
      <c r="S146" s="346"/>
      <c r="T146" s="79"/>
      <c r="U146" s="79"/>
      <c r="V146" s="79"/>
      <c r="W146" s="79"/>
      <c r="X146" s="79"/>
      <c r="Y146" s="79"/>
      <c r="Z146" s="79"/>
      <c r="AA146" s="79"/>
      <c r="AB146" s="79"/>
      <c r="AC146" s="71"/>
      <c r="AD146" s="71"/>
      <c r="AE146" s="72"/>
      <c r="AF146" s="16"/>
      <c r="AG146" s="16"/>
    </row>
    <row r="147" spans="1:33" s="15" customFormat="1" ht="24" customHeight="1">
      <c r="A147" s="45"/>
      <c r="B147" s="45"/>
      <c r="C147" s="35" t="s">
        <v>272</v>
      </c>
      <c r="D147" s="112">
        <v>300</v>
      </c>
      <c r="E147" s="112">
        <f>SUM(F147:L147)</f>
        <v>300</v>
      </c>
      <c r="F147" s="112">
        <f>SUMIF($AB$148:$AB$149,"보조",$AD$148:$AD$149)/1000</f>
        <v>0</v>
      </c>
      <c r="G147" s="112">
        <f>SUMIF($AB$148:$AB$149,"7종",$AD$148:$AD$149)/1000</f>
        <v>0</v>
      </c>
      <c r="H147" s="112">
        <f>SUMIF($AB$148:$AB$149,"시비",$AD$148:$AD$149)/1000</f>
        <v>0</v>
      </c>
      <c r="I147" s="112">
        <f>SUMIF($AB$148:$AB$149,"후원",$AD$148:$AD$149)/1000</f>
        <v>0</v>
      </c>
      <c r="J147" s="112">
        <f>SUMIF($AB$148:$AB$149,"입소",$AD$148:$AD$149)/1000</f>
        <v>300</v>
      </c>
      <c r="K147" s="112">
        <f>SUMIF($AB$148:$AB$149,"법인",$AD$148:$AD$149)/1000</f>
        <v>0</v>
      </c>
      <c r="L147" s="112">
        <f>SUMIF($AB$148:$AB$149,"잡수",$AD$148:$AD$149)/1000</f>
        <v>0</v>
      </c>
      <c r="M147" s="111">
        <f>E147-D147</f>
        <v>0</v>
      </c>
      <c r="N147" s="119">
        <f>IF(D147=0,0,M147/D147)</f>
        <v>0</v>
      </c>
      <c r="O147" s="240"/>
      <c r="P147" s="92"/>
      <c r="Q147" s="92"/>
      <c r="R147" s="302"/>
      <c r="S147" s="345"/>
      <c r="T147" s="302"/>
      <c r="U147" s="302"/>
      <c r="V147" s="302"/>
      <c r="W147" s="132" t="s">
        <v>236</v>
      </c>
      <c r="X147" s="132"/>
      <c r="Y147" s="132"/>
      <c r="Z147" s="132"/>
      <c r="AA147" s="132"/>
      <c r="AB147" s="132"/>
      <c r="AC147" s="133"/>
      <c r="AD147" s="133">
        <f>SUM(AD148:AD148)</f>
        <v>300000</v>
      </c>
      <c r="AE147" s="134" t="s">
        <v>9</v>
      </c>
      <c r="AF147" s="16"/>
      <c r="AG147" s="16"/>
    </row>
    <row r="148" spans="1:33" s="15" customFormat="1" ht="24" customHeight="1">
      <c r="A148" s="45"/>
      <c r="B148" s="45"/>
      <c r="C148" s="45" t="s">
        <v>274</v>
      </c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69"/>
      <c r="O148" s="49" t="s">
        <v>298</v>
      </c>
      <c r="P148" s="31"/>
      <c r="Q148" s="31"/>
      <c r="R148" s="267"/>
      <c r="S148" s="343">
        <v>10000</v>
      </c>
      <c r="T148" s="50" t="s">
        <v>9</v>
      </c>
      <c r="U148" s="49" t="s">
        <v>13</v>
      </c>
      <c r="V148" s="50">
        <v>5</v>
      </c>
      <c r="W148" s="50" t="s">
        <v>26</v>
      </c>
      <c r="X148" s="49" t="s">
        <v>13</v>
      </c>
      <c r="Y148" s="55">
        <v>6</v>
      </c>
      <c r="Z148" s="90" t="s">
        <v>14</v>
      </c>
      <c r="AA148" s="90" t="s">
        <v>6</v>
      </c>
      <c r="AB148" s="50" t="s">
        <v>67</v>
      </c>
      <c r="AC148" s="67"/>
      <c r="AD148" s="50">
        <f>S148*V148*Y148</f>
        <v>300000</v>
      </c>
      <c r="AE148" s="56" t="s">
        <v>9</v>
      </c>
      <c r="AF148" s="16"/>
      <c r="AG148" s="16"/>
    </row>
    <row r="149" spans="1:32" s="15" customFormat="1" ht="24" customHeight="1">
      <c r="A149" s="45"/>
      <c r="B149" s="45"/>
      <c r="C149" s="58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83"/>
      <c r="O149" s="80"/>
      <c r="P149" s="80"/>
      <c r="Q149" s="80"/>
      <c r="R149" s="80"/>
      <c r="S149" s="346"/>
      <c r="T149" s="79"/>
      <c r="U149" s="79"/>
      <c r="V149" s="79"/>
      <c r="W149" s="79"/>
      <c r="X149" s="79"/>
      <c r="Y149" s="79"/>
      <c r="Z149" s="79"/>
      <c r="AA149" s="79"/>
      <c r="AB149" s="79"/>
      <c r="AC149" s="71"/>
      <c r="AD149" s="303"/>
      <c r="AE149" s="72"/>
      <c r="AF149" s="16"/>
    </row>
    <row r="150" spans="1:32" s="15" customFormat="1" ht="24" customHeight="1">
      <c r="A150" s="45"/>
      <c r="B150" s="45"/>
      <c r="C150" s="35" t="s">
        <v>323</v>
      </c>
      <c r="D150" s="112">
        <v>2000</v>
      </c>
      <c r="E150" s="112">
        <f>SUM(F150:L150)</f>
        <v>1400</v>
      </c>
      <c r="F150" s="112">
        <f>SUMIF($AB$151:$AB$154,"보조",$AD$151:$AD$154)/1000</f>
        <v>0</v>
      </c>
      <c r="G150" s="112">
        <f>SUMIF($AB$151:$AB$154,"7종",$AD$151:$AD$154)/1000</f>
        <v>0</v>
      </c>
      <c r="H150" s="112">
        <f>SUMIF($AB$151:$AB$154,"시비",$AD$151:$AD$154)/1000</f>
        <v>0</v>
      </c>
      <c r="I150" s="112">
        <f>SUMIF($AB$151:$AB$154,"후원",$AD$151:$AD$154)/1000</f>
        <v>0</v>
      </c>
      <c r="J150" s="112">
        <f>SUMIF($AB$151:$AB$154,"입소",$AD$151:$AD$154)/1000</f>
        <v>1400</v>
      </c>
      <c r="K150" s="112">
        <f>SUMIF($AB$151:$AB$154,"법인",$AD$151:$AD$154)/1000</f>
        <v>0</v>
      </c>
      <c r="L150" s="112">
        <f>SUMIF($AB$151:$AB$154,"잡수",$AD$151:$AD$154)/1000</f>
        <v>0</v>
      </c>
      <c r="M150" s="111">
        <f>E150-D150</f>
        <v>-600</v>
      </c>
      <c r="N150" s="119">
        <f>IF(D150=0,0,M150/D150)</f>
        <v>-0.3</v>
      </c>
      <c r="O150" s="240"/>
      <c r="P150" s="92"/>
      <c r="Q150" s="92"/>
      <c r="R150" s="302"/>
      <c r="S150" s="302"/>
      <c r="T150" s="302"/>
      <c r="U150" s="302"/>
      <c r="V150" s="302"/>
      <c r="W150" s="132" t="s">
        <v>236</v>
      </c>
      <c r="X150" s="132"/>
      <c r="Y150" s="132"/>
      <c r="Z150" s="132"/>
      <c r="AA150" s="132"/>
      <c r="AB150" s="132"/>
      <c r="AC150" s="133"/>
      <c r="AD150" s="133">
        <f>SUM(AD151:AD153)</f>
        <v>1400000</v>
      </c>
      <c r="AE150" s="134" t="s">
        <v>9</v>
      </c>
      <c r="AF150" s="16"/>
    </row>
    <row r="151" spans="1:32" s="15" customFormat="1" ht="24" customHeight="1">
      <c r="A151" s="45"/>
      <c r="B151" s="45"/>
      <c r="C151" s="45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69"/>
      <c r="O151" s="283" t="s">
        <v>279</v>
      </c>
      <c r="P151" s="283"/>
      <c r="Q151" s="283"/>
      <c r="R151" s="283"/>
      <c r="S151" s="343">
        <v>200000</v>
      </c>
      <c r="T151" s="54" t="s">
        <v>9</v>
      </c>
      <c r="U151" s="54" t="s">
        <v>13</v>
      </c>
      <c r="V151" s="50">
        <v>5</v>
      </c>
      <c r="W151" s="49" t="s">
        <v>26</v>
      </c>
      <c r="X151" s="50"/>
      <c r="Y151" s="284"/>
      <c r="Z151" s="284" t="s">
        <v>6</v>
      </c>
      <c r="AA151" s="284"/>
      <c r="AB151" s="284" t="s">
        <v>67</v>
      </c>
      <c r="AC151" s="284"/>
      <c r="AD151" s="285">
        <f>S151*V151</f>
        <v>1000000</v>
      </c>
      <c r="AE151" s="286" t="s">
        <v>9</v>
      </c>
      <c r="AF151" s="16"/>
    </row>
    <row r="152" spans="1:33" s="15" customFormat="1" ht="24" customHeight="1">
      <c r="A152" s="45"/>
      <c r="B152" s="45"/>
      <c r="C152" s="45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69"/>
      <c r="O152" s="283" t="s">
        <v>293</v>
      </c>
      <c r="P152" s="283"/>
      <c r="Q152" s="283"/>
      <c r="R152" s="283"/>
      <c r="S152" s="343">
        <v>40000</v>
      </c>
      <c r="T152" s="54" t="s">
        <v>9</v>
      </c>
      <c r="U152" s="54" t="s">
        <v>13</v>
      </c>
      <c r="V152" s="50">
        <v>5</v>
      </c>
      <c r="W152" s="49" t="s">
        <v>26</v>
      </c>
      <c r="X152" s="50"/>
      <c r="Y152" s="284"/>
      <c r="Z152" s="284" t="s">
        <v>6</v>
      </c>
      <c r="AA152" s="284"/>
      <c r="AB152" s="284" t="s">
        <v>67</v>
      </c>
      <c r="AC152" s="284"/>
      <c r="AD152" s="285">
        <f>S152*V152</f>
        <v>200000</v>
      </c>
      <c r="AE152" s="286" t="s">
        <v>9</v>
      </c>
      <c r="AG152" s="16"/>
    </row>
    <row r="153" spans="1:32" s="15" customFormat="1" ht="24" customHeight="1">
      <c r="A153" s="45"/>
      <c r="B153" s="45"/>
      <c r="C153" s="45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69"/>
      <c r="O153" s="283" t="s">
        <v>354</v>
      </c>
      <c r="P153" s="283"/>
      <c r="Q153" s="283"/>
      <c r="R153" s="283"/>
      <c r="S153" s="343">
        <v>40000</v>
      </c>
      <c r="T153" s="54" t="s">
        <v>9</v>
      </c>
      <c r="U153" s="54" t="s">
        <v>13</v>
      </c>
      <c r="V153" s="50">
        <v>5</v>
      </c>
      <c r="W153" s="49" t="s">
        <v>26</v>
      </c>
      <c r="X153" s="50"/>
      <c r="Y153" s="284"/>
      <c r="Z153" s="284" t="s">
        <v>6</v>
      </c>
      <c r="AA153" s="284"/>
      <c r="AB153" s="284" t="s">
        <v>67</v>
      </c>
      <c r="AC153" s="284"/>
      <c r="AD153" s="285">
        <f>S153*V153</f>
        <v>200000</v>
      </c>
      <c r="AE153" s="286" t="s">
        <v>9</v>
      </c>
      <c r="AF153" s="16"/>
    </row>
    <row r="154" spans="1:32" s="15" customFormat="1" ht="24" customHeight="1">
      <c r="A154" s="45"/>
      <c r="B154" s="45"/>
      <c r="C154" s="58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83"/>
      <c r="O154" s="299"/>
      <c r="P154" s="299"/>
      <c r="Q154" s="299"/>
      <c r="R154" s="299"/>
      <c r="S154" s="344"/>
      <c r="T154" s="84"/>
      <c r="U154" s="84"/>
      <c r="V154" s="79"/>
      <c r="W154" s="80"/>
      <c r="X154" s="79"/>
      <c r="Y154" s="299"/>
      <c r="Z154" s="299"/>
      <c r="AA154" s="299"/>
      <c r="AB154" s="299"/>
      <c r="AC154" s="299"/>
      <c r="AD154" s="300"/>
      <c r="AE154" s="301"/>
      <c r="AF154" s="16"/>
    </row>
    <row r="155" spans="1:32" s="15" customFormat="1" ht="24" customHeight="1">
      <c r="A155" s="45"/>
      <c r="B155" s="45"/>
      <c r="C155" s="35" t="s">
        <v>302</v>
      </c>
      <c r="D155" s="112">
        <v>400</v>
      </c>
      <c r="E155" s="112">
        <f>SUM(F155:L155)</f>
        <v>350</v>
      </c>
      <c r="F155" s="112">
        <f>SUMIF($AB$156:$AB$159,"보조",$AD$156:$AD$159)/1000</f>
        <v>0</v>
      </c>
      <c r="G155" s="112">
        <f>SUMIF($AB$156:$AB$159,"7종",$AD$156:$AD$159)/1000</f>
        <v>0</v>
      </c>
      <c r="H155" s="112">
        <f>SUMIF($AB$156:$AB$159,"시비",$AD$156:$AD$159)/1000</f>
        <v>0</v>
      </c>
      <c r="I155" s="112">
        <f>SUMIF($AB$156:$AB$159,"후원",$AD$156:$AD$159)/1000</f>
        <v>0</v>
      </c>
      <c r="J155" s="112">
        <f>SUMIF($AB$156:$AB$159,"입소",$AD$156:$AD$159)/1000</f>
        <v>350</v>
      </c>
      <c r="K155" s="112">
        <f>SUMIF($AB$156:$AB$159,"법인",$AD$156:$AD$159)/1000</f>
        <v>0</v>
      </c>
      <c r="L155" s="112">
        <f>SUMIF($AB$156:$AB$159,"잡수",$AD$156:$AD$159)/1000</f>
        <v>0</v>
      </c>
      <c r="M155" s="111">
        <f>E155-D155</f>
        <v>-50</v>
      </c>
      <c r="N155" s="119">
        <f>IF(D155=0,0,M155/D155)</f>
        <v>-0.125</v>
      </c>
      <c r="O155" s="240"/>
      <c r="P155" s="92"/>
      <c r="Q155" s="92"/>
      <c r="R155" s="302"/>
      <c r="S155" s="345"/>
      <c r="T155" s="302"/>
      <c r="U155" s="302"/>
      <c r="V155" s="302"/>
      <c r="W155" s="132" t="s">
        <v>236</v>
      </c>
      <c r="X155" s="132"/>
      <c r="Y155" s="132"/>
      <c r="Z155" s="132"/>
      <c r="AA155" s="132"/>
      <c r="AB155" s="132"/>
      <c r="AC155" s="133"/>
      <c r="AD155" s="133">
        <f>SUM(AD156:AD158)</f>
        <v>350000</v>
      </c>
      <c r="AE155" s="134" t="s">
        <v>9</v>
      </c>
      <c r="AF155" s="16"/>
    </row>
    <row r="156" spans="1:32" s="15" customFormat="1" ht="24" customHeight="1">
      <c r="A156" s="45"/>
      <c r="B156" s="45"/>
      <c r="C156" s="45" t="s">
        <v>274</v>
      </c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69"/>
      <c r="O156" s="49" t="s">
        <v>320</v>
      </c>
      <c r="P156" s="283"/>
      <c r="Q156" s="283"/>
      <c r="R156" s="283"/>
      <c r="S156" s="343">
        <v>5000</v>
      </c>
      <c r="T156" s="54" t="s">
        <v>9</v>
      </c>
      <c r="U156" s="54" t="s">
        <v>13</v>
      </c>
      <c r="V156" s="50">
        <v>5</v>
      </c>
      <c r="W156" s="49" t="s">
        <v>26</v>
      </c>
      <c r="X156" s="50" t="s">
        <v>13</v>
      </c>
      <c r="Y156" s="284">
        <v>4</v>
      </c>
      <c r="Z156" s="284" t="s">
        <v>14</v>
      </c>
      <c r="AA156" s="284" t="s">
        <v>6</v>
      </c>
      <c r="AB156" s="284" t="s">
        <v>67</v>
      </c>
      <c r="AC156" s="284"/>
      <c r="AD156" s="285">
        <f>S156*V156*Y156</f>
        <v>100000</v>
      </c>
      <c r="AE156" s="286" t="s">
        <v>9</v>
      </c>
      <c r="AF156" s="16"/>
    </row>
    <row r="157" spans="1:32" s="15" customFormat="1" ht="24" customHeight="1">
      <c r="A157" s="45"/>
      <c r="B157" s="45"/>
      <c r="C157" s="45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69"/>
      <c r="O157" s="49" t="s">
        <v>307</v>
      </c>
      <c r="P157" s="304"/>
      <c r="Q157" s="304"/>
      <c r="R157" s="304"/>
      <c r="S157" s="343">
        <v>10000</v>
      </c>
      <c r="T157" s="54" t="s">
        <v>9</v>
      </c>
      <c r="U157" s="54" t="s">
        <v>13</v>
      </c>
      <c r="V157" s="50">
        <v>5</v>
      </c>
      <c r="W157" s="49" t="s">
        <v>26</v>
      </c>
      <c r="X157" s="49" t="s">
        <v>13</v>
      </c>
      <c r="Y157" s="55">
        <v>3</v>
      </c>
      <c r="Z157" s="53" t="s">
        <v>14</v>
      </c>
      <c r="AA157" s="53" t="s">
        <v>6</v>
      </c>
      <c r="AB157" s="284" t="s">
        <v>67</v>
      </c>
      <c r="AC157" s="284"/>
      <c r="AD157" s="50">
        <f>S157*V157*3</f>
        <v>150000</v>
      </c>
      <c r="AE157" s="286" t="s">
        <v>9</v>
      </c>
      <c r="AF157" s="16"/>
    </row>
    <row r="158" spans="1:32" s="15" customFormat="1" ht="24" customHeight="1">
      <c r="A158" s="45"/>
      <c r="B158" s="45"/>
      <c r="C158" s="45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69"/>
      <c r="O158" s="49" t="s">
        <v>322</v>
      </c>
      <c r="P158" s="304"/>
      <c r="Q158" s="304"/>
      <c r="R158" s="304"/>
      <c r="S158" s="343">
        <v>20000</v>
      </c>
      <c r="T158" s="54" t="s">
        <v>9</v>
      </c>
      <c r="U158" s="54" t="s">
        <v>13</v>
      </c>
      <c r="V158" s="50">
        <v>5</v>
      </c>
      <c r="W158" s="49" t="s">
        <v>26</v>
      </c>
      <c r="X158" s="49" t="s">
        <v>13</v>
      </c>
      <c r="Y158" s="55">
        <v>1</v>
      </c>
      <c r="Z158" s="53" t="s">
        <v>14</v>
      </c>
      <c r="AA158" s="53" t="s">
        <v>6</v>
      </c>
      <c r="AB158" s="284" t="s">
        <v>67</v>
      </c>
      <c r="AC158" s="284"/>
      <c r="AD158" s="50">
        <f>S158*V158*Y158</f>
        <v>100000</v>
      </c>
      <c r="AE158" s="286" t="s">
        <v>9</v>
      </c>
      <c r="AF158" s="16"/>
    </row>
    <row r="159" spans="1:32" s="15" customFormat="1" ht="24" customHeight="1">
      <c r="A159" s="45"/>
      <c r="B159" s="45"/>
      <c r="C159" s="58"/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  <c r="N159" s="83"/>
      <c r="O159" s="80"/>
      <c r="P159" s="80"/>
      <c r="Q159" s="80"/>
      <c r="R159" s="80"/>
      <c r="S159" s="346"/>
      <c r="T159" s="79"/>
      <c r="U159" s="79"/>
      <c r="V159" s="79"/>
      <c r="W159" s="79"/>
      <c r="X159" s="79"/>
      <c r="Y159" s="79"/>
      <c r="Z159" s="79"/>
      <c r="AA159" s="79"/>
      <c r="AB159" s="79"/>
      <c r="AC159" s="71"/>
      <c r="AD159" s="303"/>
      <c r="AE159" s="72"/>
      <c r="AF159" s="16"/>
    </row>
    <row r="160" spans="1:32" s="15" customFormat="1" ht="24" customHeight="1">
      <c r="A160" s="45"/>
      <c r="B160" s="45"/>
      <c r="C160" s="35" t="s">
        <v>254</v>
      </c>
      <c r="D160" s="112">
        <v>225</v>
      </c>
      <c r="E160" s="112">
        <f>SUM(F160:L160)</f>
        <v>200</v>
      </c>
      <c r="F160" s="112">
        <f>SUMIF($AB$161:$AB$163,"보조",$AD$161:$AD$163)/1000</f>
        <v>0</v>
      </c>
      <c r="G160" s="112">
        <f>SUMIF($AB$161:$AB$163,"7종",$AD$161:$AD$163)/1000</f>
        <v>0</v>
      </c>
      <c r="H160" s="112">
        <f>SUMIF($AB$161:$AB$163,"시비",$AD$161:$AD$163)/1000</f>
        <v>0</v>
      </c>
      <c r="I160" s="112">
        <f>SUMIF($AB$161:$AB$163,"후원",$AD$161:$AD$163)/1000</f>
        <v>0</v>
      </c>
      <c r="J160" s="112">
        <f>SUMIF($AB$161:$AB$163,"입소",$AD$161:$AD$163)/1000</f>
        <v>200</v>
      </c>
      <c r="K160" s="112">
        <f>SUMIF($AB$161:$AB$163,"법인",$AD$161:$AD$163)/1000</f>
        <v>0</v>
      </c>
      <c r="L160" s="112">
        <f>SUMIF($AB$161:$AB$163,"잡수",$AD$161:$AD$163)/1000</f>
        <v>0</v>
      </c>
      <c r="M160" s="111">
        <f>E160-D160</f>
        <v>-25</v>
      </c>
      <c r="N160" s="119">
        <f>IF(D160=0,0,M160/D160)</f>
        <v>-0.1111111111111111</v>
      </c>
      <c r="O160" s="137"/>
      <c r="P160" s="137"/>
      <c r="Q160" s="137"/>
      <c r="R160" s="137"/>
      <c r="S160" s="347"/>
      <c r="T160" s="87"/>
      <c r="U160" s="87"/>
      <c r="V160" s="87"/>
      <c r="W160" s="132" t="s">
        <v>236</v>
      </c>
      <c r="X160" s="132"/>
      <c r="Y160" s="132"/>
      <c r="Z160" s="132"/>
      <c r="AA160" s="132"/>
      <c r="AB160" s="132"/>
      <c r="AC160" s="133"/>
      <c r="AD160" s="133">
        <f>SUM(AD161:AD162)</f>
        <v>200000</v>
      </c>
      <c r="AE160" s="134" t="s">
        <v>9</v>
      </c>
      <c r="AF160" s="16"/>
    </row>
    <row r="161" spans="1:32" s="15" customFormat="1" ht="24" customHeight="1">
      <c r="A161" s="45"/>
      <c r="B161" s="45"/>
      <c r="C161" s="45" t="s">
        <v>22</v>
      </c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69"/>
      <c r="O161" s="49" t="s">
        <v>139</v>
      </c>
      <c r="P161" s="49"/>
      <c r="Q161" s="49"/>
      <c r="R161" s="49"/>
      <c r="S161" s="343">
        <v>10000</v>
      </c>
      <c r="T161" s="50" t="s">
        <v>9</v>
      </c>
      <c r="U161" s="49" t="s">
        <v>13</v>
      </c>
      <c r="V161" s="50">
        <v>5</v>
      </c>
      <c r="W161" s="50" t="s">
        <v>26</v>
      </c>
      <c r="X161" s="49" t="s">
        <v>13</v>
      </c>
      <c r="Y161" s="55">
        <v>2</v>
      </c>
      <c r="Z161" s="90" t="s">
        <v>14</v>
      </c>
      <c r="AA161" s="90" t="s">
        <v>6</v>
      </c>
      <c r="AB161" s="50" t="s">
        <v>67</v>
      </c>
      <c r="AC161" s="67"/>
      <c r="AD161" s="50">
        <f>S161*V161*Y161</f>
        <v>100000</v>
      </c>
      <c r="AE161" s="56" t="s">
        <v>9</v>
      </c>
      <c r="AF161" s="16"/>
    </row>
    <row r="162" spans="1:32" s="15" customFormat="1" ht="24" customHeight="1">
      <c r="A162" s="45"/>
      <c r="B162" s="45"/>
      <c r="C162" s="45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69"/>
      <c r="O162" s="283" t="s">
        <v>151</v>
      </c>
      <c r="P162" s="31"/>
      <c r="Q162" s="31"/>
      <c r="R162" s="267"/>
      <c r="S162" s="343">
        <v>20000</v>
      </c>
      <c r="T162" s="50" t="s">
        <v>9</v>
      </c>
      <c r="U162" s="49" t="s">
        <v>13</v>
      </c>
      <c r="V162" s="50">
        <v>5</v>
      </c>
      <c r="W162" s="50" t="s">
        <v>26</v>
      </c>
      <c r="X162" s="49" t="s">
        <v>13</v>
      </c>
      <c r="Y162" s="55">
        <v>1</v>
      </c>
      <c r="Z162" s="90" t="s">
        <v>14</v>
      </c>
      <c r="AA162" s="90" t="s">
        <v>6</v>
      </c>
      <c r="AB162" s="50" t="s">
        <v>67</v>
      </c>
      <c r="AC162" s="67"/>
      <c r="AD162" s="50">
        <f>S162*V162*Y162</f>
        <v>100000</v>
      </c>
      <c r="AE162" s="56" t="s">
        <v>9</v>
      </c>
      <c r="AF162" s="16"/>
    </row>
    <row r="163" spans="1:32" s="15" customFormat="1" ht="24" customHeight="1">
      <c r="A163" s="45"/>
      <c r="B163" s="45"/>
      <c r="C163" s="58"/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  <c r="N163" s="83"/>
      <c r="O163" s="299"/>
      <c r="P163" s="299"/>
      <c r="Q163" s="299"/>
      <c r="R163" s="299"/>
      <c r="S163" s="348"/>
      <c r="T163" s="299"/>
      <c r="U163" s="299"/>
      <c r="V163" s="299"/>
      <c r="W163" s="299"/>
      <c r="X163" s="299"/>
      <c r="Y163" s="299"/>
      <c r="Z163" s="299"/>
      <c r="AA163" s="299"/>
      <c r="AB163" s="299"/>
      <c r="AC163" s="299"/>
      <c r="AD163" s="300"/>
      <c r="AE163" s="301"/>
      <c r="AF163" s="16"/>
    </row>
    <row r="164" spans="1:32" s="15" customFormat="1" ht="24" customHeight="1">
      <c r="A164" s="45"/>
      <c r="B164" s="45"/>
      <c r="C164" s="35" t="s">
        <v>50</v>
      </c>
      <c r="D164" s="112">
        <v>240</v>
      </c>
      <c r="E164" s="112">
        <f>SUM(F164:L164)</f>
        <v>540</v>
      </c>
      <c r="F164" s="112">
        <f>SUMIF($AB$165:$AB$168,"보조",$AD$165:$AD$168)/1000</f>
        <v>0</v>
      </c>
      <c r="G164" s="112">
        <f>SUMIF($AB$165:$AB$168,"7종",$AD$165:$AD$168)/1000</f>
        <v>0</v>
      </c>
      <c r="H164" s="112">
        <f>SUMIF($AB$165:$AB$168,"시비",$AD$165:$AD$168)/1000</f>
        <v>0</v>
      </c>
      <c r="I164" s="112">
        <f>SUMIF($AB$165:$AB$168,"후원",$AD$165:$AD$168)/1000</f>
        <v>0</v>
      </c>
      <c r="J164" s="112">
        <f>SUMIF($AB$165:$AB$168,"입소",$AD$165:$AD$168)/1000</f>
        <v>540</v>
      </c>
      <c r="K164" s="112">
        <f>SUMIF($AB$165:$AB$168,"법인",$AD$165:$AD$168)/1000</f>
        <v>0</v>
      </c>
      <c r="L164" s="112">
        <f>SUMIF($AB$165:$AB$168,"잡수",$AD$165:$AD$168)/1000</f>
        <v>0</v>
      </c>
      <c r="M164" s="111">
        <f>E164-D164</f>
        <v>300</v>
      </c>
      <c r="N164" s="119">
        <f>IF(D164=0,0,M164/D164)</f>
        <v>1.25</v>
      </c>
      <c r="O164" s="240"/>
      <c r="P164" s="92"/>
      <c r="Q164" s="92"/>
      <c r="R164" s="302"/>
      <c r="S164" s="345"/>
      <c r="T164" s="302"/>
      <c r="U164" s="302"/>
      <c r="V164" s="302"/>
      <c r="W164" s="132" t="s">
        <v>236</v>
      </c>
      <c r="X164" s="132"/>
      <c r="Y164" s="132"/>
      <c r="Z164" s="132"/>
      <c r="AA164" s="132"/>
      <c r="AB164" s="132"/>
      <c r="AC164" s="133"/>
      <c r="AD164" s="133">
        <f>SUM(AD165:AD167)</f>
        <v>540000</v>
      </c>
      <c r="AE164" s="134" t="s">
        <v>9</v>
      </c>
      <c r="AF164" s="16"/>
    </row>
    <row r="165" spans="1:32" s="15" customFormat="1" ht="24" customHeight="1">
      <c r="A165" s="45"/>
      <c r="B165" s="45"/>
      <c r="C165" s="45" t="s">
        <v>247</v>
      </c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69"/>
      <c r="O165" s="49" t="s">
        <v>306</v>
      </c>
      <c r="P165" s="31"/>
      <c r="Q165" s="31"/>
      <c r="R165" s="267"/>
      <c r="S165" s="343">
        <v>400000</v>
      </c>
      <c r="T165" s="54" t="s">
        <v>9</v>
      </c>
      <c r="U165" s="54" t="s">
        <v>13</v>
      </c>
      <c r="V165" s="50">
        <v>1</v>
      </c>
      <c r="W165" s="49" t="s">
        <v>14</v>
      </c>
      <c r="X165" s="50"/>
      <c r="Y165" s="283"/>
      <c r="Z165" s="283" t="s">
        <v>6</v>
      </c>
      <c r="AA165" s="283"/>
      <c r="AB165" s="283" t="s">
        <v>67</v>
      </c>
      <c r="AC165" s="283"/>
      <c r="AD165" s="298">
        <f>S165*V165</f>
        <v>400000</v>
      </c>
      <c r="AE165" s="286" t="s">
        <v>9</v>
      </c>
      <c r="AF165" s="16"/>
    </row>
    <row r="166" spans="1:32" s="15" customFormat="1" ht="24" customHeight="1">
      <c r="A166" s="45"/>
      <c r="B166" s="45"/>
      <c r="C166" s="45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69"/>
      <c r="O166" s="49" t="s">
        <v>316</v>
      </c>
      <c r="P166" s="31"/>
      <c r="Q166" s="31"/>
      <c r="R166" s="267"/>
      <c r="S166" s="343">
        <v>50000</v>
      </c>
      <c r="T166" s="54" t="s">
        <v>317</v>
      </c>
      <c r="U166" s="54" t="s">
        <v>13</v>
      </c>
      <c r="V166" s="50">
        <v>1</v>
      </c>
      <c r="W166" s="49" t="s">
        <v>14</v>
      </c>
      <c r="X166" s="50"/>
      <c r="Y166" s="283"/>
      <c r="Z166" s="283" t="s">
        <v>6</v>
      </c>
      <c r="AA166" s="283"/>
      <c r="AB166" s="283" t="s">
        <v>67</v>
      </c>
      <c r="AC166" s="283"/>
      <c r="AD166" s="298">
        <f>S166*V166</f>
        <v>50000</v>
      </c>
      <c r="AE166" s="286" t="s">
        <v>9</v>
      </c>
      <c r="AF166" s="16"/>
    </row>
    <row r="167" spans="1:32" s="15" customFormat="1" ht="24" customHeight="1">
      <c r="A167" s="45"/>
      <c r="B167" s="45"/>
      <c r="C167" s="45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69"/>
      <c r="O167" s="49" t="s">
        <v>343</v>
      </c>
      <c r="P167" s="31"/>
      <c r="Q167" s="31"/>
      <c r="R167" s="267"/>
      <c r="S167" s="343"/>
      <c r="T167" s="54"/>
      <c r="U167" s="54"/>
      <c r="V167" s="50"/>
      <c r="W167" s="49"/>
      <c r="X167" s="50"/>
      <c r="Y167" s="283"/>
      <c r="Z167" s="283"/>
      <c r="AA167" s="283"/>
      <c r="AB167" s="283" t="s">
        <v>67</v>
      </c>
      <c r="AC167" s="283"/>
      <c r="AD167" s="298">
        <v>90000</v>
      </c>
      <c r="AE167" s="286" t="s">
        <v>317</v>
      </c>
      <c r="AF167" s="16"/>
    </row>
    <row r="168" spans="1:32" s="15" customFormat="1" ht="24" customHeight="1">
      <c r="A168" s="45"/>
      <c r="B168" s="45"/>
      <c r="C168" s="45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69"/>
      <c r="O168" s="49"/>
      <c r="P168" s="31"/>
      <c r="Q168" s="31"/>
      <c r="R168" s="267"/>
      <c r="S168" s="50"/>
      <c r="T168" s="54"/>
      <c r="U168" s="54"/>
      <c r="V168" s="50"/>
      <c r="W168" s="49"/>
      <c r="X168" s="50"/>
      <c r="Y168" s="283"/>
      <c r="Z168" s="283"/>
      <c r="AA168" s="283"/>
      <c r="AB168" s="283"/>
      <c r="AC168" s="283"/>
      <c r="AD168" s="298"/>
      <c r="AE168" s="286"/>
      <c r="AF168" s="16"/>
    </row>
    <row r="169" spans="1:32" s="15" customFormat="1" ht="24" customHeight="1">
      <c r="A169" s="45"/>
      <c r="B169" s="45"/>
      <c r="C169" s="35" t="s">
        <v>296</v>
      </c>
      <c r="D169" s="112">
        <v>200</v>
      </c>
      <c r="E169" s="112">
        <f>SUM(F169:L169)</f>
        <v>0</v>
      </c>
      <c r="F169" s="112">
        <f>SUMIF($AB$170:$AB$171,"보조",$AD$170:$AD$171)/1000</f>
        <v>0</v>
      </c>
      <c r="G169" s="112">
        <f>SUMIF($AB$170:$AB$171,"7종",$AD$170:$AD$171)/1000</f>
        <v>0</v>
      </c>
      <c r="H169" s="112">
        <f>SUMIF($AB$170:$AB$171,"시비",$AD$170:$AD$171)/1000</f>
        <v>0</v>
      </c>
      <c r="I169" s="112">
        <f>SUMIF($AB$170:$AB$171,"후원",$AD$170:$AD$171)/1000</f>
        <v>0</v>
      </c>
      <c r="J169" s="112">
        <f>SUMIF($AB$170:$AB$171,"입소",$AD$170:$AD$171)/1000</f>
        <v>0</v>
      </c>
      <c r="K169" s="112">
        <f>SUMIF($AB$170:$AB$171,"법인",$AD$170:$AD$171)/1000</f>
        <v>0</v>
      </c>
      <c r="L169" s="112">
        <f>SUMIF($AB$170:$AB$171,"잡수",$AD$170:$AD$171)/1000</f>
        <v>0</v>
      </c>
      <c r="M169" s="111">
        <f>E169-D169</f>
        <v>-200</v>
      </c>
      <c r="N169" s="119">
        <f>IF(D169=0,0,M169/D169)</f>
        <v>-1</v>
      </c>
      <c r="O169" s="240"/>
      <c r="P169" s="92"/>
      <c r="Q169" s="92"/>
      <c r="R169" s="302"/>
      <c r="S169" s="302"/>
      <c r="T169" s="302"/>
      <c r="U169" s="302"/>
      <c r="V169" s="302"/>
      <c r="W169" s="132" t="s">
        <v>236</v>
      </c>
      <c r="X169" s="132"/>
      <c r="Y169" s="132"/>
      <c r="Z169" s="132"/>
      <c r="AA169" s="132"/>
      <c r="AB169" s="132"/>
      <c r="AC169" s="133"/>
      <c r="AD169" s="133">
        <f>SUM(AD170:AD170)</f>
        <v>0</v>
      </c>
      <c r="AE169" s="134" t="s">
        <v>9</v>
      </c>
      <c r="AF169" s="16"/>
    </row>
    <row r="170" spans="1:32" s="15" customFormat="1" ht="24" customHeight="1">
      <c r="A170" s="45"/>
      <c r="B170" s="45"/>
      <c r="C170" s="45" t="s">
        <v>22</v>
      </c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69"/>
      <c r="O170" s="49" t="s">
        <v>164</v>
      </c>
      <c r="P170" s="31"/>
      <c r="Q170" s="31"/>
      <c r="R170" s="267"/>
      <c r="S170" s="50"/>
      <c r="T170" s="54"/>
      <c r="U170" s="54"/>
      <c r="V170" s="50"/>
      <c r="W170" s="49"/>
      <c r="X170" s="50"/>
      <c r="Y170" s="283"/>
      <c r="Z170" s="283"/>
      <c r="AA170" s="283"/>
      <c r="AB170" s="283" t="s">
        <v>61</v>
      </c>
      <c r="AC170" s="283"/>
      <c r="AD170" s="382">
        <v>0</v>
      </c>
      <c r="AE170" s="286" t="s">
        <v>9</v>
      </c>
      <c r="AF170" s="16"/>
    </row>
    <row r="171" spans="1:32" s="15" customFormat="1" ht="24" customHeight="1">
      <c r="A171" s="45"/>
      <c r="B171" s="45"/>
      <c r="C171" s="58"/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  <c r="N171" s="83"/>
      <c r="O171" s="80"/>
      <c r="P171" s="114"/>
      <c r="Q171" s="114"/>
      <c r="R171" s="305"/>
      <c r="S171" s="305"/>
      <c r="T171" s="305"/>
      <c r="U171" s="305"/>
      <c r="V171" s="305"/>
      <c r="W171" s="79"/>
      <c r="X171" s="79"/>
      <c r="Y171" s="79"/>
      <c r="Z171" s="79"/>
      <c r="AA171" s="79"/>
      <c r="AB171" s="79"/>
      <c r="AC171" s="71"/>
      <c r="AD171" s="71"/>
      <c r="AE171" s="72"/>
      <c r="AF171" s="16"/>
    </row>
    <row r="172" spans="1:32" s="11" customFormat="1" ht="21" customHeight="1">
      <c r="A172" s="110" t="s">
        <v>47</v>
      </c>
      <c r="B172" s="444" t="s">
        <v>229</v>
      </c>
      <c r="C172" s="445"/>
      <c r="D172" s="146">
        <v>7</v>
      </c>
      <c r="E172" s="146">
        <f aca="true" t="shared" si="10" ref="E172:L172">SUM(E173)</f>
        <v>7</v>
      </c>
      <c r="F172" s="146">
        <f t="shared" si="10"/>
        <v>7</v>
      </c>
      <c r="G172" s="146">
        <f t="shared" si="10"/>
        <v>0</v>
      </c>
      <c r="H172" s="146">
        <f t="shared" si="10"/>
        <v>0</v>
      </c>
      <c r="I172" s="146">
        <f t="shared" si="10"/>
        <v>0</v>
      </c>
      <c r="J172" s="146">
        <f t="shared" si="10"/>
        <v>0</v>
      </c>
      <c r="K172" s="146">
        <f t="shared" si="10"/>
        <v>0</v>
      </c>
      <c r="L172" s="146">
        <f t="shared" si="10"/>
        <v>0</v>
      </c>
      <c r="M172" s="146">
        <f>E172-D172</f>
        <v>0</v>
      </c>
      <c r="N172" s="147">
        <f>IF(D172=0,0,M172/D172)</f>
        <v>0</v>
      </c>
      <c r="O172" s="96" t="s">
        <v>270</v>
      </c>
      <c r="P172" s="148"/>
      <c r="Q172" s="148"/>
      <c r="R172" s="148"/>
      <c r="S172" s="149"/>
      <c r="T172" s="149"/>
      <c r="U172" s="149"/>
      <c r="V172" s="149"/>
      <c r="W172" s="149"/>
      <c r="X172" s="149"/>
      <c r="Y172" s="149"/>
      <c r="Z172" s="149"/>
      <c r="AA172" s="149"/>
      <c r="AB172" s="149"/>
      <c r="AC172" s="149"/>
      <c r="AD172" s="149">
        <f>SUM(AD173)</f>
        <v>7000</v>
      </c>
      <c r="AE172" s="150" t="s">
        <v>9</v>
      </c>
      <c r="AF172" s="1"/>
    </row>
    <row r="173" spans="1:32" s="11" customFormat="1" ht="21" customHeight="1">
      <c r="A173" s="155" t="s">
        <v>40</v>
      </c>
      <c r="B173" s="45" t="s">
        <v>47</v>
      </c>
      <c r="C173" s="45" t="s">
        <v>47</v>
      </c>
      <c r="D173" s="112">
        <v>7</v>
      </c>
      <c r="E173" s="112">
        <f>SUM(F173:L173)</f>
        <v>7</v>
      </c>
      <c r="F173" s="112">
        <f>SUMIF($AB$174:$AB$181,"보조",$AD$174:$AD$181)/1000</f>
        <v>7</v>
      </c>
      <c r="G173" s="112">
        <f>SUMIF($AB$174:$AB$181,"7종",$AD$174:$AD$181)/1000</f>
        <v>0</v>
      </c>
      <c r="H173" s="112">
        <f>SUMIF($AB$174:$AB$181,"시비",$AD$174:$AD$181)/1000</f>
        <v>0</v>
      </c>
      <c r="I173" s="112">
        <f>SUMIF($AB$174:$AB$181,"후원",$AD$174:$AD$181)/1000</f>
        <v>0</v>
      </c>
      <c r="J173" s="112">
        <f>SUMIF($AB$174:$AB$181,"입소",$AD$174:$AD$181)/1000</f>
        <v>0</v>
      </c>
      <c r="K173" s="112">
        <f>SUMIF($AB$174:$AB$181,"법인",$AD$174:$AD$181)/1000</f>
        <v>0</v>
      </c>
      <c r="L173" s="112">
        <f>SUMIF($AB$174:$AB$181,"잡수",$AD$174:$AD$181)/1000</f>
        <v>0</v>
      </c>
      <c r="M173" s="108">
        <f>E173-D173</f>
        <v>0</v>
      </c>
      <c r="N173" s="69">
        <f>IF(D173=0,0,M173/D173)</f>
        <v>0</v>
      </c>
      <c r="O173" s="114" t="s">
        <v>197</v>
      </c>
      <c r="P173" s="31"/>
      <c r="Q173" s="31"/>
      <c r="R173" s="31"/>
      <c r="S173" s="31"/>
      <c r="T173" s="32"/>
      <c r="U173" s="32"/>
      <c r="V173" s="32"/>
      <c r="W173" s="32"/>
      <c r="X173" s="32"/>
      <c r="Y173" s="149" t="s">
        <v>27</v>
      </c>
      <c r="Z173" s="98"/>
      <c r="AA173" s="98"/>
      <c r="AB173" s="98"/>
      <c r="AC173" s="116"/>
      <c r="AD173" s="116">
        <f>ROUNDUP(SUM(AD174:AD179),-3)</f>
        <v>7000</v>
      </c>
      <c r="AE173" s="117" t="s">
        <v>9</v>
      </c>
      <c r="AF173" s="1"/>
    </row>
    <row r="174" spans="1:31" ht="21" customHeight="1">
      <c r="A174" s="44"/>
      <c r="B174" s="45" t="s">
        <v>40</v>
      </c>
      <c r="C174" s="45" t="s">
        <v>40</v>
      </c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69"/>
      <c r="O174" s="49" t="s">
        <v>175</v>
      </c>
      <c r="P174" s="49"/>
      <c r="Q174" s="49"/>
      <c r="R174" s="49"/>
      <c r="S174" s="50"/>
      <c r="T174" s="50"/>
      <c r="U174" s="50"/>
      <c r="V174" s="50"/>
      <c r="W174" s="50"/>
      <c r="X174" s="50"/>
      <c r="Y174" s="50"/>
      <c r="Z174" s="50"/>
      <c r="AA174" s="50"/>
      <c r="AB174" s="50" t="s">
        <v>12</v>
      </c>
      <c r="AC174" s="50"/>
      <c r="AD174" s="67"/>
      <c r="AE174" s="56" t="s">
        <v>9</v>
      </c>
    </row>
    <row r="175" spans="1:31" ht="21" customHeight="1">
      <c r="A175" s="44"/>
      <c r="B175" s="45"/>
      <c r="C175" s="45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69"/>
      <c r="O175" s="49" t="s">
        <v>176</v>
      </c>
      <c r="P175" s="49"/>
      <c r="Q175" s="49"/>
      <c r="R175" s="49"/>
      <c r="S175" s="50"/>
      <c r="T175" s="50"/>
      <c r="U175" s="50"/>
      <c r="V175" s="50"/>
      <c r="W175" s="50"/>
      <c r="X175" s="50"/>
      <c r="Y175" s="50"/>
      <c r="Z175" s="50"/>
      <c r="AA175" s="50"/>
      <c r="AB175" s="50" t="s">
        <v>12</v>
      </c>
      <c r="AC175" s="50"/>
      <c r="AD175" s="67">
        <v>7000</v>
      </c>
      <c r="AE175" s="56" t="s">
        <v>9</v>
      </c>
    </row>
    <row r="176" spans="1:31" ht="21" customHeight="1">
      <c r="A176" s="44"/>
      <c r="B176" s="45"/>
      <c r="C176" s="45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69"/>
      <c r="O176" s="49" t="s">
        <v>185</v>
      </c>
      <c r="P176" s="49"/>
      <c r="Q176" s="49"/>
      <c r="R176" s="49"/>
      <c r="S176" s="50"/>
      <c r="T176" s="50"/>
      <c r="U176" s="50"/>
      <c r="V176" s="50"/>
      <c r="W176" s="50"/>
      <c r="X176" s="50"/>
      <c r="Y176" s="50"/>
      <c r="Z176" s="50"/>
      <c r="AA176" s="50"/>
      <c r="AB176" s="50" t="s">
        <v>12</v>
      </c>
      <c r="AC176" s="50"/>
      <c r="AD176" s="67">
        <v>0</v>
      </c>
      <c r="AE176" s="56" t="s">
        <v>9</v>
      </c>
    </row>
    <row r="177" spans="1:31" ht="21" customHeight="1">
      <c r="A177" s="44"/>
      <c r="B177" s="45"/>
      <c r="C177" s="45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69"/>
      <c r="O177" s="49" t="s">
        <v>140</v>
      </c>
      <c r="P177" s="49"/>
      <c r="Q177" s="49"/>
      <c r="R177" s="49"/>
      <c r="S177" s="50"/>
      <c r="T177" s="50"/>
      <c r="U177" s="50"/>
      <c r="V177" s="50"/>
      <c r="W177" s="50"/>
      <c r="X177" s="50"/>
      <c r="Y177" s="50"/>
      <c r="Z177" s="50"/>
      <c r="AA177" s="50"/>
      <c r="AB177" s="50" t="s">
        <v>71</v>
      </c>
      <c r="AC177" s="50"/>
      <c r="AD177" s="67">
        <v>0</v>
      </c>
      <c r="AE177" s="56" t="s">
        <v>9</v>
      </c>
    </row>
    <row r="178" spans="1:31" ht="21" customHeight="1">
      <c r="A178" s="44"/>
      <c r="B178" s="45"/>
      <c r="C178" s="45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69"/>
      <c r="O178" s="49" t="s">
        <v>178</v>
      </c>
      <c r="P178" s="49"/>
      <c r="Q178" s="49"/>
      <c r="R178" s="49"/>
      <c r="S178" s="50"/>
      <c r="T178" s="50"/>
      <c r="U178" s="50"/>
      <c r="V178" s="50"/>
      <c r="W178" s="50"/>
      <c r="X178" s="50"/>
      <c r="Y178" s="50"/>
      <c r="Z178" s="50"/>
      <c r="AA178" s="50"/>
      <c r="AB178" s="50" t="s">
        <v>71</v>
      </c>
      <c r="AC178" s="50"/>
      <c r="AD178" s="67">
        <v>0</v>
      </c>
      <c r="AE178" s="56" t="s">
        <v>9</v>
      </c>
    </row>
    <row r="179" spans="1:31" ht="21" customHeight="1">
      <c r="A179" s="44"/>
      <c r="B179" s="45"/>
      <c r="C179" s="45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69"/>
      <c r="O179" s="49" t="s">
        <v>177</v>
      </c>
      <c r="P179" s="49"/>
      <c r="Q179" s="49"/>
      <c r="R179" s="49"/>
      <c r="S179" s="50"/>
      <c r="T179" s="50"/>
      <c r="U179" s="50"/>
      <c r="V179" s="50"/>
      <c r="W179" s="50"/>
      <c r="X179" s="50"/>
      <c r="Y179" s="50"/>
      <c r="Z179" s="50"/>
      <c r="AA179" s="50"/>
      <c r="AB179" s="50" t="s">
        <v>70</v>
      </c>
      <c r="AC179" s="50"/>
      <c r="AD179" s="67">
        <v>0</v>
      </c>
      <c r="AE179" s="56" t="s">
        <v>9</v>
      </c>
    </row>
    <row r="180" spans="1:31" ht="21" customHeight="1">
      <c r="A180" s="44"/>
      <c r="B180" s="45"/>
      <c r="C180" s="46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69"/>
      <c r="O180" s="49" t="s">
        <v>172</v>
      </c>
      <c r="P180" s="49"/>
      <c r="Q180" s="49"/>
      <c r="R180" s="49"/>
      <c r="S180" s="50"/>
      <c r="T180" s="50"/>
      <c r="U180" s="50"/>
      <c r="V180" s="50"/>
      <c r="W180" s="50"/>
      <c r="X180" s="50"/>
      <c r="Y180" s="50"/>
      <c r="Z180" s="50"/>
      <c r="AA180" s="50"/>
      <c r="AB180" s="50" t="s">
        <v>70</v>
      </c>
      <c r="AC180" s="50"/>
      <c r="AD180" s="67">
        <v>0</v>
      </c>
      <c r="AE180" s="56" t="s">
        <v>9</v>
      </c>
    </row>
    <row r="181" spans="1:32" s="14" customFormat="1" ht="21" customHeight="1">
      <c r="A181" s="44"/>
      <c r="B181" s="58"/>
      <c r="C181" s="46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6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  <c r="AA181" s="49"/>
      <c r="AB181" s="49"/>
      <c r="AC181" s="49"/>
      <c r="AD181" s="50"/>
      <c r="AE181" s="56"/>
      <c r="AF181" s="4"/>
    </row>
    <row r="182" spans="1:32" s="11" customFormat="1" ht="21" customHeight="1">
      <c r="A182" s="34" t="s">
        <v>34</v>
      </c>
      <c r="B182" s="444" t="s">
        <v>229</v>
      </c>
      <c r="C182" s="445"/>
      <c r="D182" s="146">
        <v>0</v>
      </c>
      <c r="E182" s="146">
        <f aca="true" t="shared" si="11" ref="E182:L182">E183</f>
        <v>0</v>
      </c>
      <c r="F182" s="146">
        <f t="shared" si="11"/>
        <v>0</v>
      </c>
      <c r="G182" s="146">
        <f t="shared" si="11"/>
        <v>0</v>
      </c>
      <c r="H182" s="146">
        <f t="shared" si="11"/>
        <v>0</v>
      </c>
      <c r="I182" s="146">
        <f t="shared" si="11"/>
        <v>0</v>
      </c>
      <c r="J182" s="146">
        <f t="shared" si="11"/>
        <v>0</v>
      </c>
      <c r="K182" s="146">
        <f t="shared" si="11"/>
        <v>0</v>
      </c>
      <c r="L182" s="146">
        <f t="shared" si="11"/>
        <v>0</v>
      </c>
      <c r="M182" s="146">
        <f>E182-D182</f>
        <v>0</v>
      </c>
      <c r="N182" s="147">
        <f>IF(D182=0,0,M182/D182)</f>
        <v>0</v>
      </c>
      <c r="O182" s="148" t="s">
        <v>34</v>
      </c>
      <c r="P182" s="148"/>
      <c r="Q182" s="148"/>
      <c r="R182" s="148"/>
      <c r="S182" s="149"/>
      <c r="T182" s="149"/>
      <c r="U182" s="149"/>
      <c r="V182" s="149"/>
      <c r="W182" s="149"/>
      <c r="X182" s="149"/>
      <c r="Y182" s="149"/>
      <c r="Z182" s="149"/>
      <c r="AA182" s="149"/>
      <c r="AB182" s="149"/>
      <c r="AC182" s="149"/>
      <c r="AD182" s="149">
        <f>SUM(AD183)</f>
        <v>0</v>
      </c>
      <c r="AE182" s="150" t="s">
        <v>9</v>
      </c>
      <c r="AF182" s="1"/>
    </row>
    <row r="183" spans="1:32" s="11" customFormat="1" ht="21" customHeight="1">
      <c r="A183" s="44"/>
      <c r="B183" s="45" t="s">
        <v>34</v>
      </c>
      <c r="C183" s="45" t="s">
        <v>34</v>
      </c>
      <c r="D183" s="112">
        <v>0</v>
      </c>
      <c r="E183" s="112">
        <f>SUM(F183:L183)</f>
        <v>0</v>
      </c>
      <c r="F183" s="112">
        <f>SUMIF($AB$184:$AB$184,"보조",$AD$184:$AD$184)/1000</f>
        <v>0</v>
      </c>
      <c r="G183" s="112">
        <f>SUMIF($AB$184:$AB$184,"7종",$AD$184:$AD$184)/1000</f>
        <v>0</v>
      </c>
      <c r="H183" s="112">
        <f>SUMIF($AB$184:$AB$184,"시비",$AD$184:$AD$184)/1000</f>
        <v>0</v>
      </c>
      <c r="I183" s="112">
        <f>SUMIF($AB$184:$AB$184,"후원",$AD$184:$AD$184)/1000</f>
        <v>0</v>
      </c>
      <c r="J183" s="112">
        <f>SUMIF($AB$184:$AB$184,"입소",$AD$184:$AD$184)/1000</f>
        <v>0</v>
      </c>
      <c r="K183" s="112">
        <f>SUMIF($AB$184:$AB$184,"법인",$AD$184:$AD$184)/1000</f>
        <v>0</v>
      </c>
      <c r="L183" s="112">
        <f>SUMIF($AB$184:$AB$184,"잡수",$AD$184:$AD$184)/1000</f>
        <v>0</v>
      </c>
      <c r="M183" s="108">
        <f>E183-D183</f>
        <v>0</v>
      </c>
      <c r="N183" s="69">
        <f>IF(D183=0,0,M183/D183)</f>
        <v>0</v>
      </c>
      <c r="O183" s="114" t="s">
        <v>253</v>
      </c>
      <c r="P183" s="31"/>
      <c r="Q183" s="31"/>
      <c r="R183" s="31"/>
      <c r="S183" s="31"/>
      <c r="T183" s="32"/>
      <c r="U183" s="32"/>
      <c r="V183" s="32"/>
      <c r="W183" s="32"/>
      <c r="X183" s="32"/>
      <c r="Y183" s="149" t="s">
        <v>27</v>
      </c>
      <c r="Z183" s="98"/>
      <c r="AA183" s="98"/>
      <c r="AB183" s="98"/>
      <c r="AC183" s="116"/>
      <c r="AD183" s="116">
        <v>0</v>
      </c>
      <c r="AE183" s="117" t="s">
        <v>9</v>
      </c>
      <c r="AF183" s="1"/>
    </row>
    <row r="184" spans="1:31" s="1" customFormat="1" ht="21" customHeight="1">
      <c r="A184" s="126"/>
      <c r="B184" s="45"/>
      <c r="C184" s="45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69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129"/>
    </row>
    <row r="185" spans="1:32" s="11" customFormat="1" ht="21" customHeight="1">
      <c r="A185" s="34" t="s">
        <v>7</v>
      </c>
      <c r="B185" s="442" t="s">
        <v>229</v>
      </c>
      <c r="C185" s="443"/>
      <c r="D185" s="160">
        <v>14</v>
      </c>
      <c r="E185" s="160">
        <f aca="true" t="shared" si="12" ref="E185:L185">SUM(E186)</f>
        <v>12</v>
      </c>
      <c r="F185" s="160">
        <f t="shared" si="12"/>
        <v>0</v>
      </c>
      <c r="G185" s="160">
        <f t="shared" si="12"/>
        <v>0</v>
      </c>
      <c r="H185" s="160">
        <f t="shared" si="12"/>
        <v>0</v>
      </c>
      <c r="I185" s="160">
        <f t="shared" si="12"/>
        <v>2</v>
      </c>
      <c r="J185" s="160">
        <f t="shared" si="12"/>
        <v>8</v>
      </c>
      <c r="K185" s="160">
        <f t="shared" si="12"/>
        <v>1</v>
      </c>
      <c r="L185" s="160">
        <f t="shared" si="12"/>
        <v>1</v>
      </c>
      <c r="M185" s="160">
        <f>E185-D185</f>
        <v>-2</v>
      </c>
      <c r="N185" s="161">
        <f>IF(D185=0,0,M185/D185)</f>
        <v>-0.14285714285714285</v>
      </c>
      <c r="O185" s="139" t="s">
        <v>7</v>
      </c>
      <c r="P185" s="140"/>
      <c r="Q185" s="140"/>
      <c r="R185" s="140"/>
      <c r="S185" s="141"/>
      <c r="T185" s="141"/>
      <c r="U185" s="141"/>
      <c r="V185" s="141"/>
      <c r="W185" s="141"/>
      <c r="X185" s="141"/>
      <c r="Y185" s="141"/>
      <c r="Z185" s="141"/>
      <c r="AA185" s="141"/>
      <c r="AB185" s="141"/>
      <c r="AC185" s="141"/>
      <c r="AD185" s="141">
        <f>AD186</f>
        <v>12000</v>
      </c>
      <c r="AE185" s="142" t="s">
        <v>9</v>
      </c>
      <c r="AF185" s="1"/>
    </row>
    <row r="186" spans="1:32" s="11" customFormat="1" ht="21" customHeight="1">
      <c r="A186" s="44"/>
      <c r="B186" s="45" t="s">
        <v>7</v>
      </c>
      <c r="C186" s="45" t="s">
        <v>7</v>
      </c>
      <c r="D186" s="112">
        <v>14</v>
      </c>
      <c r="E186" s="112">
        <f>SUM(F186:L186)</f>
        <v>12</v>
      </c>
      <c r="F186" s="112">
        <f>SUMIF($AB$187:$AB$191,"보조",$AD$187:$AD$191)/1000</f>
        <v>0</v>
      </c>
      <c r="G186" s="112">
        <f>SUMIF($AB$187:$AB$191,"7종",$AD$187:$AD$191)/1000</f>
        <v>0</v>
      </c>
      <c r="H186" s="112">
        <f>SUMIF($AB$187:$AB$191,"시비",$AD$187:$AD$191)/1000</f>
        <v>0</v>
      </c>
      <c r="I186" s="112">
        <f>SUMIF($AB$187:$AB$191,"후원",$AD$187:$AD$191)/1000</f>
        <v>2</v>
      </c>
      <c r="J186" s="112">
        <f>SUMIF($AB$187:$AB$191,"입소",$AD$187:$AD$191)/1000</f>
        <v>8</v>
      </c>
      <c r="K186" s="112">
        <f>SUMIF($AB$187:$AB$191,"법인",$AD$187:$AD$191)/1000</f>
        <v>1</v>
      </c>
      <c r="L186" s="112">
        <f>SUMIF($AB$187:$AB$191,"잡수",$AD$187:$AD$191)/1000</f>
        <v>1</v>
      </c>
      <c r="M186" s="108">
        <f>E186-D186</f>
        <v>-2</v>
      </c>
      <c r="N186" s="69">
        <f>IF(D186=0,0,M186/D186)</f>
        <v>-0.14285714285714285</v>
      </c>
      <c r="O186" s="114" t="s">
        <v>223</v>
      </c>
      <c r="P186" s="31"/>
      <c r="Q186" s="31"/>
      <c r="R186" s="31"/>
      <c r="S186" s="31"/>
      <c r="T186" s="32"/>
      <c r="U186" s="32"/>
      <c r="V186" s="32"/>
      <c r="W186" s="32"/>
      <c r="X186" s="32"/>
      <c r="Y186" s="149" t="s">
        <v>27</v>
      </c>
      <c r="Z186" s="98"/>
      <c r="AA186" s="98"/>
      <c r="AB186" s="98"/>
      <c r="AC186" s="116"/>
      <c r="AD186" s="116">
        <f>SUM(AD187:AD190)</f>
        <v>12000</v>
      </c>
      <c r="AE186" s="117" t="s">
        <v>9</v>
      </c>
      <c r="AF186" s="1"/>
    </row>
    <row r="187" spans="1:32" s="11" customFormat="1" ht="21" customHeight="1">
      <c r="A187" s="44"/>
      <c r="B187" s="45"/>
      <c r="C187" s="45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69"/>
      <c r="O187" s="49" t="s">
        <v>173</v>
      </c>
      <c r="P187" s="49"/>
      <c r="Q187" s="49"/>
      <c r="R187" s="49"/>
      <c r="S187" s="49"/>
      <c r="T187" s="50"/>
      <c r="U187" s="50"/>
      <c r="V187" s="50"/>
      <c r="W187" s="50"/>
      <c r="X187" s="50"/>
      <c r="Y187" s="50"/>
      <c r="Z187" s="50"/>
      <c r="AA187" s="50"/>
      <c r="AB187" s="50" t="s">
        <v>48</v>
      </c>
      <c r="AC187" s="67"/>
      <c r="AD187" s="67">
        <v>1000</v>
      </c>
      <c r="AE187" s="56" t="s">
        <v>9</v>
      </c>
      <c r="AF187" s="2"/>
    </row>
    <row r="188" spans="1:32" s="11" customFormat="1" ht="21" customHeight="1">
      <c r="A188" s="44"/>
      <c r="B188" s="45"/>
      <c r="C188" s="45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69"/>
      <c r="O188" s="49" t="s">
        <v>157</v>
      </c>
      <c r="P188" s="49"/>
      <c r="Q188" s="49"/>
      <c r="R188" s="49"/>
      <c r="S188" s="49"/>
      <c r="T188" s="50"/>
      <c r="U188" s="50"/>
      <c r="V188" s="50"/>
      <c r="W188" s="50"/>
      <c r="X188" s="50"/>
      <c r="Y188" s="50"/>
      <c r="Z188" s="50"/>
      <c r="AA188" s="50"/>
      <c r="AB188" s="50" t="s">
        <v>67</v>
      </c>
      <c r="AC188" s="67"/>
      <c r="AD188" s="67">
        <v>8000</v>
      </c>
      <c r="AE188" s="56" t="s">
        <v>9</v>
      </c>
      <c r="AF188" s="2"/>
    </row>
    <row r="189" spans="1:32" s="11" customFormat="1" ht="21" customHeight="1">
      <c r="A189" s="44"/>
      <c r="B189" s="45"/>
      <c r="C189" s="45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69"/>
      <c r="O189" s="49" t="s">
        <v>155</v>
      </c>
      <c r="P189" s="49"/>
      <c r="Q189" s="49"/>
      <c r="R189" s="49"/>
      <c r="S189" s="49"/>
      <c r="T189" s="50"/>
      <c r="U189" s="50"/>
      <c r="V189" s="50"/>
      <c r="W189" s="50"/>
      <c r="X189" s="50"/>
      <c r="Y189" s="50"/>
      <c r="Z189" s="50"/>
      <c r="AA189" s="50"/>
      <c r="AB189" s="50" t="s">
        <v>60</v>
      </c>
      <c r="AC189" s="67"/>
      <c r="AD189" s="67">
        <v>1000</v>
      </c>
      <c r="AE189" s="56" t="s">
        <v>9</v>
      </c>
      <c r="AF189" s="2"/>
    </row>
    <row r="190" spans="1:32" s="11" customFormat="1" ht="21" customHeight="1">
      <c r="A190" s="44"/>
      <c r="B190" s="45"/>
      <c r="C190" s="45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69"/>
      <c r="O190" s="49" t="s">
        <v>154</v>
      </c>
      <c r="P190" s="49"/>
      <c r="Q190" s="49"/>
      <c r="R190" s="49"/>
      <c r="S190" s="49"/>
      <c r="T190" s="50"/>
      <c r="U190" s="50"/>
      <c r="V190" s="50"/>
      <c r="W190" s="50"/>
      <c r="X190" s="50"/>
      <c r="Y190" s="50"/>
      <c r="Z190" s="50"/>
      <c r="AA190" s="50"/>
      <c r="AB190" s="50" t="s">
        <v>61</v>
      </c>
      <c r="AC190" s="67"/>
      <c r="AD190" s="67">
        <v>2000</v>
      </c>
      <c r="AE190" s="56" t="s">
        <v>9</v>
      </c>
      <c r="AF190" s="2"/>
    </row>
    <row r="191" spans="1:31" s="1" customFormat="1" ht="21" customHeight="1">
      <c r="A191" s="126"/>
      <c r="B191" s="101"/>
      <c r="C191" s="101"/>
      <c r="D191" s="127"/>
      <c r="E191" s="127"/>
      <c r="F191" s="127"/>
      <c r="G191" s="127"/>
      <c r="H191" s="127"/>
      <c r="I191" s="127"/>
      <c r="J191" s="127"/>
      <c r="K191" s="127"/>
      <c r="L191" s="127"/>
      <c r="M191" s="127"/>
      <c r="N191" s="128"/>
      <c r="O191" s="63"/>
      <c r="P191" s="63"/>
      <c r="Q191" s="63"/>
      <c r="R191" s="63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  <c r="AE191" s="65"/>
    </row>
    <row r="193" spans="5:6" ht="21" customHeight="1">
      <c r="E193" s="242"/>
      <c r="F193" s="242"/>
    </row>
    <row r="194" spans="5:6" ht="21" customHeight="1">
      <c r="E194" s="242"/>
      <c r="F194" s="242"/>
    </row>
    <row r="195" ht="21" customHeight="1">
      <c r="F195" s="242"/>
    </row>
    <row r="196" spans="5:6" ht="21" customHeight="1">
      <c r="E196" s="242"/>
      <c r="F196" s="242"/>
    </row>
    <row r="197" spans="5:6" ht="21" customHeight="1">
      <c r="E197" s="242"/>
      <c r="F197" s="242"/>
    </row>
    <row r="198" spans="5:6" ht="21" customHeight="1">
      <c r="E198" s="242"/>
      <c r="F198" s="242"/>
    </row>
  </sheetData>
  <sheetProtection/>
  <mergeCells count="15">
    <mergeCell ref="O2:AE3"/>
    <mergeCell ref="V96:W96"/>
    <mergeCell ref="V67:W67"/>
    <mergeCell ref="B5:C5"/>
    <mergeCell ref="A4:C4"/>
    <mergeCell ref="M2:N2"/>
    <mergeCell ref="A2:C2"/>
    <mergeCell ref="D2:D3"/>
    <mergeCell ref="E2:L2"/>
    <mergeCell ref="B185:C185"/>
    <mergeCell ref="B182:C182"/>
    <mergeCell ref="B172:C172"/>
    <mergeCell ref="B115:C115"/>
    <mergeCell ref="B100:C100"/>
    <mergeCell ref="A1:E1"/>
  </mergeCells>
  <printOptions horizontalCentered="1"/>
  <pageMargins left="0.19680555164813995" right="0.19680555164813995" top="0.35430556535720825" bottom="0.35430556535720825" header="0.1572222262620926" footer="0.1572222262620926"/>
  <pageSetup horizontalDpi="600" verticalDpi="600" orientation="landscape" paperSize="9" scale="60" r:id="rId3"/>
  <headerFooter alignWithMargins="0">
    <oddFooter>&amp;C&amp;"돋움,Regular"&amp;P/&amp;N&amp;R&amp;"돋움,Regular"공동생활가정 바르나바의 집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한컴오피스 셀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마르따의집</dc:creator>
  <cp:keywords/>
  <dc:description/>
  <cp:lastModifiedBy>마르따의집</cp:lastModifiedBy>
  <cp:lastPrinted>2019-12-02T02:50:44Z</cp:lastPrinted>
  <dcterms:created xsi:type="dcterms:W3CDTF">2003-12-18T04:11:57Z</dcterms:created>
  <dcterms:modified xsi:type="dcterms:W3CDTF">2020-01-03T02:16:00Z</dcterms:modified>
  <cp:category/>
  <cp:version/>
  <cp:contentType/>
  <cp:contentStatus/>
  <cp:revision>6</cp:revision>
</cp:coreProperties>
</file>