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2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" sheetId="27" r:id="rId6"/>
    <sheet name="운영비배정" sheetId="28" r:id="rId7"/>
    <sheet name="보조금 배정표" sheetId="29" r:id="rId8"/>
  </sheets>
  <externalReferences>
    <externalReference r:id="rId9"/>
    <externalReference r:id="rId10"/>
  </externalReferences>
  <definedNames>
    <definedName name="_xlnm.Print_Area" localSheetId="1">세입!$A$1:$X$92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세출!$AD$21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세출!$AD$25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110" i="5"/>
  <c r="G110"/>
  <c r="AD164"/>
  <c r="AD165"/>
  <c r="AD166"/>
  <c r="I125"/>
  <c r="AD126"/>
  <c r="AD117"/>
  <c r="AD93"/>
  <c r="F92" s="1"/>
  <c r="J84"/>
  <c r="AD80"/>
  <c r="AD81"/>
  <c r="AD79"/>
  <c r="AD127"/>
  <c r="AD74"/>
  <c r="F73" s="1"/>
  <c r="J61"/>
  <c r="J37"/>
  <c r="J15"/>
  <c r="AD26"/>
  <c r="AD27"/>
  <c r="AD18"/>
  <c r="AD17"/>
  <c r="W35" i="4"/>
  <c r="F105" i="5"/>
  <c r="AD105"/>
  <c r="J105"/>
  <c r="I116"/>
  <c r="F125" l="1"/>
  <c r="AD16"/>
  <c r="AD116"/>
  <c r="E193"/>
  <c r="E64"/>
  <c r="L196" l="1"/>
  <c r="I196"/>
  <c r="J196"/>
  <c r="AD196"/>
  <c r="E196" s="1"/>
  <c r="AD57"/>
  <c r="F30" i="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E4"/>
  <c r="D4"/>
  <c r="J24" i="30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J5"/>
  <c r="F5"/>
  <c r="E4"/>
  <c r="D4"/>
  <c r="F4" i="31" l="1"/>
  <c r="F4" i="30"/>
  <c r="W25" i="4" l="1"/>
  <c r="F13" i="18"/>
  <c r="AD35" i="5"/>
  <c r="J33" s="1"/>
  <c r="J73"/>
  <c r="I105"/>
  <c r="F3" i="29"/>
  <c r="F4"/>
  <c r="F5"/>
  <c r="F6"/>
  <c r="F7"/>
  <c r="F8"/>
  <c r="F9"/>
  <c r="F10"/>
  <c r="F11"/>
  <c r="F12"/>
  <c r="F13"/>
  <c r="B15"/>
  <c r="C15"/>
  <c r="F15" s="1"/>
  <c r="F30" s="1"/>
  <c r="D15"/>
  <c r="E15"/>
  <c r="G15"/>
  <c r="F17"/>
  <c r="F18"/>
  <c r="F19"/>
  <c r="F20"/>
  <c r="G28" s="1"/>
  <c r="F21"/>
  <c r="F22"/>
  <c r="F23"/>
  <c r="F24"/>
  <c r="F25"/>
  <c r="F26"/>
  <c r="F27"/>
  <c r="B28"/>
  <c r="B30" s="1"/>
  <c r="C28"/>
  <c r="D28"/>
  <c r="E28"/>
  <c r="F28"/>
  <c r="D30"/>
  <c r="E30"/>
  <c r="W64" i="4"/>
  <c r="W54"/>
  <c r="F116" i="5" l="1"/>
  <c r="E116"/>
  <c r="C30" i="29"/>
  <c r="L145" i="5"/>
  <c r="K145"/>
  <c r="I145"/>
  <c r="H145"/>
  <c r="G145"/>
  <c r="F145"/>
  <c r="D145"/>
  <c r="AD179"/>
  <c r="AD176"/>
  <c r="AD174"/>
  <c r="AD173"/>
  <c r="AD170"/>
  <c r="AD169"/>
  <c r="AD163"/>
  <c r="AD160"/>
  <c r="AD157"/>
  <c r="AD156"/>
  <c r="AD155"/>
  <c r="AD153"/>
  <c r="AD150"/>
  <c r="AD149"/>
  <c r="AD148"/>
  <c r="AD147"/>
  <c r="AD142"/>
  <c r="AD133"/>
  <c r="I131" s="1"/>
  <c r="L116"/>
  <c r="AD97"/>
  <c r="AD98"/>
  <c r="J96" s="1"/>
  <c r="AD89"/>
  <c r="AD88"/>
  <c r="AD87"/>
  <c r="AD86"/>
  <c r="AD85"/>
  <c r="AD67"/>
  <c r="J66" s="1"/>
  <c r="AD138"/>
  <c r="J135" s="1"/>
  <c r="AD132"/>
  <c r="F131" s="1"/>
  <c r="AD58"/>
  <c r="I55" s="1"/>
  <c r="AD56"/>
  <c r="H55" s="1"/>
  <c r="AD31"/>
  <c r="AD23"/>
  <c r="AD22"/>
  <c r="AD9"/>
  <c r="AD8"/>
  <c r="W60" i="4"/>
  <c r="W87"/>
  <c r="W80"/>
  <c r="W19"/>
  <c r="W16" s="1"/>
  <c r="F84" i="5" l="1"/>
  <c r="AD30"/>
  <c r="G15" s="1"/>
  <c r="F141"/>
  <c r="J146"/>
  <c r="AD84"/>
  <c r="AD55"/>
  <c r="E55" s="1"/>
  <c r="AD25"/>
  <c r="AD7"/>
  <c r="I27" i="18"/>
  <c r="I25"/>
  <c r="I23"/>
  <c r="I16"/>
  <c r="I12"/>
  <c r="I8"/>
  <c r="D22"/>
  <c r="D20"/>
  <c r="D18"/>
  <c r="D15"/>
  <c r="D10"/>
  <c r="D8"/>
  <c r="J116" i="5"/>
  <c r="AD154"/>
  <c r="J152" s="1"/>
  <c r="AD180"/>
  <c r="AD178" s="1"/>
  <c r="E178" s="1"/>
  <c r="J172"/>
  <c r="AD172"/>
  <c r="E172" s="1"/>
  <c r="J168"/>
  <c r="AD168"/>
  <c r="E168" s="1"/>
  <c r="J162"/>
  <c r="AD162"/>
  <c r="E162" s="1"/>
  <c r="J159"/>
  <c r="AD146"/>
  <c r="E146" s="1"/>
  <c r="F7" l="1"/>
  <c r="E7"/>
  <c r="E84"/>
  <c r="I7" i="18"/>
  <c r="AD152" i="5"/>
  <c r="E152" s="1"/>
  <c r="M172"/>
  <c r="N172" s="1"/>
  <c r="M162"/>
  <c r="N162" s="1"/>
  <c r="J178"/>
  <c r="M178" s="1"/>
  <c r="N178" s="1"/>
  <c r="M146" l="1"/>
  <c r="N146" s="1"/>
  <c r="J145"/>
  <c r="O45" i="28"/>
  <c r="E15" i="27" l="1"/>
  <c r="K15"/>
  <c r="F5"/>
  <c r="G41"/>
  <c r="G29"/>
  <c r="F17"/>
  <c r="E13"/>
  <c r="K13"/>
  <c r="K42"/>
  <c r="E42" s="1"/>
  <c r="F41"/>
  <c r="E41"/>
  <c r="G42" l="1"/>
  <c r="F42"/>
  <c r="D42" s="1"/>
  <c r="D41"/>
  <c r="U41" s="1"/>
  <c r="AD143" i="5" l="1"/>
  <c r="F96"/>
  <c r="AD73"/>
  <c r="E73" s="1"/>
  <c r="J141" l="1"/>
  <c r="AD141"/>
  <c r="E141" s="1"/>
  <c r="O48" i="28" l="1"/>
  <c r="O41"/>
  <c r="O42"/>
  <c r="O43"/>
  <c r="O44"/>
  <c r="O46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8"/>
  <c r="N47"/>
  <c r="N49" s="1"/>
  <c r="L47"/>
  <c r="L49" s="1"/>
  <c r="M47"/>
  <c r="M49" s="1"/>
  <c r="K47"/>
  <c r="K49" s="1"/>
  <c r="D47"/>
  <c r="D49" s="1"/>
  <c r="E47"/>
  <c r="E49" s="1"/>
  <c r="F47"/>
  <c r="F49" s="1"/>
  <c r="G47"/>
  <c r="G49" s="1"/>
  <c r="H47"/>
  <c r="H49" s="1"/>
  <c r="I47"/>
  <c r="I49" s="1"/>
  <c r="J47"/>
  <c r="J49" s="1"/>
  <c r="C47"/>
  <c r="C49" s="1"/>
  <c r="O47" l="1"/>
  <c r="W34" i="4"/>
  <c r="W33" s="1"/>
  <c r="D7" i="18"/>
  <c r="H183" i="5"/>
  <c r="F183"/>
  <c r="AD183"/>
  <c r="E183" s="1"/>
  <c r="K7" i="27"/>
  <c r="E7" s="1"/>
  <c r="W69" i="4" l="1"/>
  <c r="W57"/>
  <c r="K21" i="27"/>
  <c r="G21" s="1"/>
  <c r="E10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E8"/>
  <c r="K16" l="1"/>
  <c r="J7"/>
  <c r="E7"/>
  <c r="J92" i="5"/>
  <c r="M152" l="1"/>
  <c r="N152" s="1"/>
  <c r="K19" i="27"/>
  <c r="M31"/>
  <c r="M35" s="1"/>
  <c r="K35" s="1"/>
  <c r="M13"/>
  <c r="M15" s="1"/>
  <c r="K20"/>
  <c r="E20" s="1"/>
  <c r="K37"/>
  <c r="F37" s="1"/>
  <c r="K39"/>
  <c r="F39" s="1"/>
  <c r="K45"/>
  <c r="G45" s="1"/>
  <c r="K23"/>
  <c r="G23" s="1"/>
  <c r="K24"/>
  <c r="E24" s="1"/>
  <c r="K25"/>
  <c r="F25" s="1"/>
  <c r="K22"/>
  <c r="F22" s="1"/>
  <c r="F21"/>
  <c r="F7"/>
  <c r="K6"/>
  <c r="E6" s="1"/>
  <c r="E8"/>
  <c r="F8"/>
  <c r="G8"/>
  <c r="E9"/>
  <c r="F9"/>
  <c r="G9"/>
  <c r="F10"/>
  <c r="D10" s="1"/>
  <c r="U10" s="1"/>
  <c r="G10"/>
  <c r="E11"/>
  <c r="F11"/>
  <c r="G11"/>
  <c r="E12"/>
  <c r="F12"/>
  <c r="G12"/>
  <c r="E21"/>
  <c r="F23"/>
  <c r="E26"/>
  <c r="F26"/>
  <c r="G26"/>
  <c r="E27"/>
  <c r="F27"/>
  <c r="G27"/>
  <c r="E28"/>
  <c r="F28"/>
  <c r="G28"/>
  <c r="E29"/>
  <c r="F29"/>
  <c r="E30"/>
  <c r="F30"/>
  <c r="G30"/>
  <c r="E37"/>
  <c r="E38"/>
  <c r="F38"/>
  <c r="G38"/>
  <c r="E40"/>
  <c r="F40"/>
  <c r="G40"/>
  <c r="E43"/>
  <c r="F43"/>
  <c r="G43"/>
  <c r="E44"/>
  <c r="F44"/>
  <c r="G44"/>
  <c r="F45"/>
  <c r="K5"/>
  <c r="G37" l="1"/>
  <c r="E45"/>
  <c r="E19"/>
  <c r="F19"/>
  <c r="D12"/>
  <c r="U12" s="1"/>
  <c r="E23"/>
  <c r="D23" s="1"/>
  <c r="U23" s="1"/>
  <c r="E22"/>
  <c r="E25"/>
  <c r="G25"/>
  <c r="F24"/>
  <c r="G24"/>
  <c r="D21"/>
  <c r="U21" s="1"/>
  <c r="E39"/>
  <c r="G39"/>
  <c r="E35"/>
  <c r="G35"/>
  <c r="F35"/>
  <c r="M14"/>
  <c r="K14" s="1"/>
  <c r="E14" s="1"/>
  <c r="M18"/>
  <c r="K18" s="1"/>
  <c r="M33"/>
  <c r="K33" s="1"/>
  <c r="M17"/>
  <c r="K17" s="1"/>
  <c r="M32"/>
  <c r="K32" s="1"/>
  <c r="E32" s="1"/>
  <c r="M36"/>
  <c r="K36" s="1"/>
  <c r="G22"/>
  <c r="G19"/>
  <c r="K31"/>
  <c r="F20"/>
  <c r="G20"/>
  <c r="G7"/>
  <c r="E5"/>
  <c r="G5"/>
  <c r="D45"/>
  <c r="U45" s="1"/>
  <c r="D43"/>
  <c r="U43" s="1"/>
  <c r="D40"/>
  <c r="U40" s="1"/>
  <c r="D37"/>
  <c r="U37" s="1"/>
  <c r="D29"/>
  <c r="U29" s="1"/>
  <c r="D27"/>
  <c r="U27" s="1"/>
  <c r="D11"/>
  <c r="U11" s="1"/>
  <c r="D9"/>
  <c r="U9" s="1"/>
  <c r="D44"/>
  <c r="U44" s="1"/>
  <c r="U42"/>
  <c r="D38"/>
  <c r="U38" s="1"/>
  <c r="D30"/>
  <c r="U30" s="1"/>
  <c r="D28"/>
  <c r="U28" s="1"/>
  <c r="D26"/>
  <c r="U26" s="1"/>
  <c r="D8"/>
  <c r="U8" s="1"/>
  <c r="F6"/>
  <c r="G6"/>
  <c r="D24" l="1"/>
  <c r="U24" s="1"/>
  <c r="G15"/>
  <c r="D39"/>
  <c r="U39" s="1"/>
  <c r="F15"/>
  <c r="D22"/>
  <c r="U22" s="1"/>
  <c r="M16"/>
  <c r="K16" s="1"/>
  <c r="F16" s="1"/>
  <c r="D25"/>
  <c r="U25" s="1"/>
  <c r="D5"/>
  <c r="U5" s="1"/>
  <c r="D35"/>
  <c r="U35" s="1"/>
  <c r="D19"/>
  <c r="G17"/>
  <c r="F31"/>
  <c r="G31"/>
  <c r="E31"/>
  <c r="F32"/>
  <c r="G32"/>
  <c r="E18"/>
  <c r="G18"/>
  <c r="F18"/>
  <c r="F36"/>
  <c r="E36"/>
  <c r="G36"/>
  <c r="G13"/>
  <c r="F13"/>
  <c r="E33"/>
  <c r="G33"/>
  <c r="M34"/>
  <c r="K34" s="1"/>
  <c r="F33"/>
  <c r="D7"/>
  <c r="U7" s="1"/>
  <c r="E17"/>
  <c r="G14"/>
  <c r="F14"/>
  <c r="D20"/>
  <c r="D6"/>
  <c r="U6" s="1"/>
  <c r="D15" l="1"/>
  <c r="U15" s="1"/>
  <c r="D17"/>
  <c r="U17" s="1"/>
  <c r="U20"/>
  <c r="C3" i="28"/>
  <c r="G16" i="27"/>
  <c r="E16"/>
  <c r="U19"/>
  <c r="C2" i="28"/>
  <c r="D32" i="27"/>
  <c r="U32" s="1"/>
  <c r="D18"/>
  <c r="U18" s="1"/>
  <c r="F34"/>
  <c r="F4" s="1"/>
  <c r="E34"/>
  <c r="G34"/>
  <c r="D13"/>
  <c r="U13" s="1"/>
  <c r="D36"/>
  <c r="U36" s="1"/>
  <c r="D14"/>
  <c r="U14" s="1"/>
  <c r="D33"/>
  <c r="U33" s="1"/>
  <c r="D31"/>
  <c r="U31" s="1"/>
  <c r="K4"/>
  <c r="E4" l="1"/>
  <c r="D16"/>
  <c r="U16" s="1"/>
  <c r="C4" i="28"/>
  <c r="D4" s="1"/>
  <c r="G4" i="27"/>
  <c r="D34"/>
  <c r="U34" s="1"/>
  <c r="D4" l="1"/>
  <c r="U4" s="1"/>
  <c r="M168" i="5" l="1"/>
  <c r="N168" s="1"/>
  <c r="AD159"/>
  <c r="AD145" l="1"/>
  <c r="E159"/>
  <c r="E145" s="1"/>
  <c r="M159" l="1"/>
  <c r="N159" s="1"/>
  <c r="AD71"/>
  <c r="I70" s="1"/>
  <c r="D195" l="1"/>
  <c r="D192"/>
  <c r="D182"/>
  <c r="D101"/>
  <c r="D100" s="1"/>
  <c r="D53" i="4"/>
  <c r="D52" s="1"/>
  <c r="D86"/>
  <c r="D79"/>
  <c r="D76"/>
  <c r="G73"/>
  <c r="D72"/>
  <c r="G72" s="1"/>
  <c r="D68"/>
  <c r="D45"/>
  <c r="D48"/>
  <c r="D28"/>
  <c r="D33"/>
  <c r="D24"/>
  <c r="D21"/>
  <c r="D44" l="1"/>
  <c r="D27"/>
  <c r="D75"/>
  <c r="D15"/>
  <c r="G77"/>
  <c r="G76"/>
  <c r="G46"/>
  <c r="G45"/>
  <c r="G42"/>
  <c r="G39"/>
  <c r="W32"/>
  <c r="W31" s="1"/>
  <c r="E31" s="1"/>
  <c r="F31" s="1"/>
  <c r="G31" s="1"/>
  <c r="D11" l="1"/>
  <c r="E87"/>
  <c r="E86" s="1"/>
  <c r="F86" s="1"/>
  <c r="G86" s="1"/>
  <c r="F87" l="1"/>
  <c r="G87" s="1"/>
  <c r="E80" l="1"/>
  <c r="W68"/>
  <c r="E64"/>
  <c r="F64" s="1"/>
  <c r="G64" s="1"/>
  <c r="E60"/>
  <c r="F60" s="1"/>
  <c r="G60" s="1"/>
  <c r="E57"/>
  <c r="F57" s="1"/>
  <c r="G57" s="1"/>
  <c r="E54"/>
  <c r="F54" s="1"/>
  <c r="G54" s="1"/>
  <c r="D41"/>
  <c r="G41" s="1"/>
  <c r="D38"/>
  <c r="G38" s="1"/>
  <c r="W41"/>
  <c r="W39"/>
  <c r="W38" s="1"/>
  <c r="E42"/>
  <c r="W21" l="1"/>
  <c r="E21" s="1"/>
  <c r="E22"/>
  <c r="F22" s="1"/>
  <c r="G22" s="1"/>
  <c r="E39"/>
  <c r="E38" s="1"/>
  <c r="F38" s="1"/>
  <c r="E49"/>
  <c r="E41"/>
  <c r="F41" s="1"/>
  <c r="F42"/>
  <c r="E79"/>
  <c r="F79" s="1"/>
  <c r="G79" s="1"/>
  <c r="F80"/>
  <c r="G80" s="1"/>
  <c r="W37"/>
  <c r="W53"/>
  <c r="E69"/>
  <c r="E53"/>
  <c r="F53" s="1"/>
  <c r="G53" s="1"/>
  <c r="D37"/>
  <c r="F39" l="1"/>
  <c r="E16"/>
  <c r="F16" s="1"/>
  <c r="G16" s="1"/>
  <c r="W15"/>
  <c r="E48"/>
  <c r="F48" s="1"/>
  <c r="G48" s="1"/>
  <c r="F49"/>
  <c r="G49" s="1"/>
  <c r="E37"/>
  <c r="F37" s="1"/>
  <c r="D4"/>
  <c r="G37"/>
  <c r="E68"/>
  <c r="F68" s="1"/>
  <c r="G68" s="1"/>
  <c r="F69"/>
  <c r="G69" s="1"/>
  <c r="W9" l="1"/>
  <c r="E25"/>
  <c r="W86"/>
  <c r="W79"/>
  <c r="W78"/>
  <c r="W77" s="1"/>
  <c r="E77" s="1"/>
  <c r="W73"/>
  <c r="W48"/>
  <c r="W24"/>
  <c r="E76" l="1"/>
  <c r="F77"/>
  <c r="E24"/>
  <c r="F24" s="1"/>
  <c r="G24" s="1"/>
  <c r="F25"/>
  <c r="G25" s="1"/>
  <c r="W45"/>
  <c r="E46"/>
  <c r="W72"/>
  <c r="W52" s="1"/>
  <c r="E73"/>
  <c r="W76"/>
  <c r="W75" s="1"/>
  <c r="W44"/>
  <c r="E75" l="1"/>
  <c r="F75" s="1"/>
  <c r="G75" s="1"/>
  <c r="F76"/>
  <c r="E72"/>
  <c r="F73"/>
  <c r="E45"/>
  <c r="F46"/>
  <c r="E9"/>
  <c r="F9" s="1"/>
  <c r="G9"/>
  <c r="W7"/>
  <c r="W11" l="1"/>
  <c r="E44"/>
  <c r="F44" s="1"/>
  <c r="G44" s="1"/>
  <c r="F45"/>
  <c r="E52"/>
  <c r="F52" s="1"/>
  <c r="G52" s="1"/>
  <c r="F72"/>
  <c r="F21"/>
  <c r="G21" s="1"/>
  <c r="E15"/>
  <c r="F15" s="1"/>
  <c r="G15" s="1"/>
  <c r="F12"/>
  <c r="G12" s="1"/>
  <c r="E7"/>
  <c r="F7" s="1"/>
  <c r="G7" s="1"/>
  <c r="K28" i="18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E11" i="4"/>
  <c r="F11" l="1"/>
  <c r="G11" s="1"/>
  <c r="F7" i="18"/>
  <c r="AD92" i="5"/>
  <c r="E92" s="1"/>
  <c r="E105"/>
  <c r="W29" i="4"/>
  <c r="D115" i="5"/>
  <c r="D114" s="1"/>
  <c r="D69"/>
  <c r="D60"/>
  <c r="W28" i="4" l="1"/>
  <c r="E34"/>
  <c r="F195" i="5"/>
  <c r="G195"/>
  <c r="H195"/>
  <c r="I195"/>
  <c r="J195"/>
  <c r="K195"/>
  <c r="L195"/>
  <c r="AD195"/>
  <c r="F192"/>
  <c r="G192"/>
  <c r="H192"/>
  <c r="I192"/>
  <c r="J192"/>
  <c r="K192"/>
  <c r="L192"/>
  <c r="I182"/>
  <c r="J182"/>
  <c r="K182"/>
  <c r="L182"/>
  <c r="H182"/>
  <c r="G182"/>
  <c r="F182"/>
  <c r="G69"/>
  <c r="H69"/>
  <c r="G115"/>
  <c r="K115"/>
  <c r="AD125"/>
  <c r="E125" s="1"/>
  <c r="G101"/>
  <c r="G100" s="1"/>
  <c r="H101"/>
  <c r="H100" s="1"/>
  <c r="I101"/>
  <c r="I100" s="1"/>
  <c r="J101"/>
  <c r="J100" s="1"/>
  <c r="K101"/>
  <c r="K100" s="1"/>
  <c r="L101"/>
  <c r="L100" s="1"/>
  <c r="AD102"/>
  <c r="AD78"/>
  <c r="F77" s="1"/>
  <c r="AD70"/>
  <c r="E70" s="1"/>
  <c r="G60"/>
  <c r="H60"/>
  <c r="I60"/>
  <c r="J60"/>
  <c r="L60"/>
  <c r="AD61"/>
  <c r="E61" s="1"/>
  <c r="E102" l="1"/>
  <c r="M102" s="1"/>
  <c r="N102" s="1"/>
  <c r="J77"/>
  <c r="AD110"/>
  <c r="AD77"/>
  <c r="E77" s="1"/>
  <c r="E33" i="4"/>
  <c r="F33" s="1"/>
  <c r="G33" s="1"/>
  <c r="F34"/>
  <c r="G34" s="1"/>
  <c r="W27"/>
  <c r="E29"/>
  <c r="K114" i="5"/>
  <c r="G114"/>
  <c r="AD101" l="1"/>
  <c r="E110"/>
  <c r="J69"/>
  <c r="F101"/>
  <c r="F100" s="1"/>
  <c r="E28" i="4"/>
  <c r="F29"/>
  <c r="J115" i="5"/>
  <c r="I135"/>
  <c r="J114" l="1"/>
  <c r="I115"/>
  <c r="E27" i="4"/>
  <c r="F27" s="1"/>
  <c r="G27" s="1"/>
  <c r="F28"/>
  <c r="AD131" i="5"/>
  <c r="E131" s="1"/>
  <c r="I114" l="1"/>
  <c r="W6" i="4" l="1"/>
  <c r="W5" s="1"/>
  <c r="E5" l="1"/>
  <c r="E4" s="1"/>
  <c r="W4"/>
  <c r="M7" i="5"/>
  <c r="F5" i="4" l="1"/>
  <c r="F4" s="1"/>
  <c r="G4" s="1"/>
  <c r="AD182" i="5" l="1"/>
  <c r="F60"/>
  <c r="AD21"/>
  <c r="F15" s="1"/>
  <c r="AD13"/>
  <c r="AD136"/>
  <c r="AD12" l="1"/>
  <c r="H12"/>
  <c r="H6" s="1"/>
  <c r="H5" s="1"/>
  <c r="F135"/>
  <c r="AD15"/>
  <c r="S34" s="1"/>
  <c r="AD34" s="1"/>
  <c r="J6"/>
  <c r="J5" s="1"/>
  <c r="J4" s="1"/>
  <c r="AD66"/>
  <c r="E66" s="1"/>
  <c r="K60"/>
  <c r="L115"/>
  <c r="L114" s="1"/>
  <c r="M84"/>
  <c r="N84" s="1"/>
  <c r="F69"/>
  <c r="AD135"/>
  <c r="E135" s="1"/>
  <c r="I6"/>
  <c r="L69"/>
  <c r="L6"/>
  <c r="E115"/>
  <c r="M105"/>
  <c r="N105" s="1"/>
  <c r="AD96"/>
  <c r="E96" s="1"/>
  <c r="N7"/>
  <c r="M125"/>
  <c r="N125" s="1"/>
  <c r="E12" l="1"/>
  <c r="E15"/>
  <c r="M135"/>
  <c r="N135" s="1"/>
  <c r="K69"/>
  <c r="M96"/>
  <c r="N96" s="1"/>
  <c r="AD60"/>
  <c r="M66"/>
  <c r="N66" s="1"/>
  <c r="M55"/>
  <c r="N55" s="1"/>
  <c r="I69"/>
  <c r="I5" s="1"/>
  <c r="I4" s="1"/>
  <c r="H115"/>
  <c r="H114" s="1"/>
  <c r="H4" s="1"/>
  <c r="L5"/>
  <c r="L4" s="1"/>
  <c r="G6"/>
  <c r="G5" s="1"/>
  <c r="G4" s="1"/>
  <c r="M116"/>
  <c r="N116" s="1"/>
  <c r="AD115"/>
  <c r="AD114" s="1"/>
  <c r="M70"/>
  <c r="N70" s="1"/>
  <c r="F115"/>
  <c r="F114" s="1"/>
  <c r="M110"/>
  <c r="N110" s="1"/>
  <c r="E101"/>
  <c r="E100" s="1"/>
  <c r="AD100"/>
  <c r="M92"/>
  <c r="N92" s="1"/>
  <c r="K6"/>
  <c r="M61"/>
  <c r="N61" s="1"/>
  <c r="M77"/>
  <c r="N77" s="1"/>
  <c r="M131"/>
  <c r="N131" s="1"/>
  <c r="M141"/>
  <c r="N141" s="1"/>
  <c r="M183"/>
  <c r="N183" s="1"/>
  <c r="E182"/>
  <c r="D6"/>
  <c r="M145"/>
  <c r="N145" s="1"/>
  <c r="M64"/>
  <c r="N64" s="1"/>
  <c r="G5" i="4"/>
  <c r="S40" i="5" l="1"/>
  <c r="AD40" s="1"/>
  <c r="F33"/>
  <c r="D5"/>
  <c r="D4" s="1"/>
  <c r="K5"/>
  <c r="K4" s="1"/>
  <c r="AD69"/>
  <c r="M12"/>
  <c r="N12" s="1"/>
  <c r="M182"/>
  <c r="N182" s="1"/>
  <c r="AD192"/>
  <c r="E114"/>
  <c r="M100"/>
  <c r="N100" s="1"/>
  <c r="M101"/>
  <c r="N101" s="1"/>
  <c r="E60"/>
  <c r="M60" s="1"/>
  <c r="N60" s="1"/>
  <c r="M15"/>
  <c r="N15" s="1"/>
  <c r="M196"/>
  <c r="N196" s="1"/>
  <c r="E195"/>
  <c r="M195" s="1"/>
  <c r="N195" s="1"/>
  <c r="AD39" l="1"/>
  <c r="S43"/>
  <c r="AD43" s="1"/>
  <c r="AD33"/>
  <c r="E33" s="1"/>
  <c r="M33" s="1"/>
  <c r="N33" s="1"/>
  <c r="M115"/>
  <c r="N115" s="1"/>
  <c r="M193"/>
  <c r="N193" s="1"/>
  <c r="E192"/>
  <c r="M192" s="1"/>
  <c r="N192" s="1"/>
  <c r="M73"/>
  <c r="N73" s="1"/>
  <c r="E69"/>
  <c r="M69" s="1"/>
  <c r="N69" s="1"/>
  <c r="AD42" l="1"/>
  <c r="S46" s="1"/>
  <c r="S49"/>
  <c r="AD49" s="1"/>
  <c r="M114"/>
  <c r="N114" s="1"/>
  <c r="AD46" l="1"/>
  <c r="AD48"/>
  <c r="S52"/>
  <c r="AD52" s="1"/>
  <c r="AD45" l="1"/>
  <c r="F37"/>
  <c r="F6" s="1"/>
  <c r="F5" s="1"/>
  <c r="F4" s="1"/>
  <c r="AD51"/>
  <c r="AD37" l="1"/>
  <c r="E37" s="1"/>
  <c r="M37" s="1"/>
  <c r="N37" s="1"/>
  <c r="AD6" l="1"/>
  <c r="AD5" s="1"/>
  <c r="AD4" s="1"/>
  <c r="E6"/>
  <c r="E5" s="1"/>
  <c r="M5" s="1"/>
  <c r="N5" s="1"/>
  <c r="E4" l="1"/>
  <c r="M4" s="1"/>
  <c r="N4" s="1"/>
  <c r="M6"/>
  <c r="N6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<sst xmlns="http://schemas.openxmlformats.org/spreadsheetml/2006/main" count="1621" uniqueCount="764">
  <si>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</si>
  <si>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</si>
  <si>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</si>
  <si>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</si>
  <si>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</si>
  <si>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</si>
  <si>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</si>
  <si>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</si>
  <si>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</si>
  <si>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</si>
  <si>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</si>
  <si>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</si>
  <si>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</si>
  <si>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</si>
  <si>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</si>
  <si>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</si>
  <si>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</si>
  <si>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</si>
  <si>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</si>
  <si>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</si>
  <si>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</si>
  <si>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</si>
  <si>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</si>
  <si>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</si>
  <si>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</si>
  <si>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</si>
  <si>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</si>
  <si>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</si>
  <si>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</si>
  <si>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</si>
  <si>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</si>
  <si>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</si>
  <si>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</si>
  <si>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</si>
  <si>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</si>
  <si>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</si>
  <si>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</si>
  <si>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</si>
  <si>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</si>
  <si>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</si>
  <si>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</si>
  <si>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</si>
  <si>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</si>
  <si>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</si>
  <si>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</si>
  <si>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</si>
  <si>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</si>
  <si>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</si>
  <si>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</si>
  <si>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</si>
  <si>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</si>
  <si>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</si>
  <si>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</si>
  <si>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</si>
  <si>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</si>
  <si>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</si>
  <si>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</si>
  <si>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</si>
  <si>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</si>
  <si>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</si>
  <si>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</si>
  <si>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</si>
  <si>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</si>
  <si>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</si>
  <si>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</si>
  <si>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</si>
  <si>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</si>
  <si>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</si>
  <si>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</si>
  <si>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</si>
  <si>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</si>
  <si>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</si>
  <si>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</si>
  <si>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</si>
  <si>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</si>
  <si>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</si>
  <si>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</si>
  <si>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</si>
  <si>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</si>
  <si>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</si>
  <si>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</si>
  <si>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일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</si>
  <si>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</si>
  <si>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</si>
  <si>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</si>
  <si>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</si>
  <si>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</si>
  <si>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</si>
  <si>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</si>
  <si>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</si>
  <si>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</si>
  <si>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</si>
  <si>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</si>
  <si>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</si>
  <si>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</si>
  <si>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</si>
  <si>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</si>
  <si>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</si>
  <si>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</si>
  <si>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</si>
  <si>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</si>
  <si>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</si>
  <si>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</si>
  <si>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</si>
  <si>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</si>
  <si>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</si>
  <si>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</si>
  <si>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</si>
  <si>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</si>
  <si>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</si>
  <si>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</si>
  <si>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</si>
  <si>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</si>
  <si>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</si>
  <si>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</si>
  <si>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</si>
  <si>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</si>
  <si>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</si>
  <si>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</si>
  <si>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</si>
  <si>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</si>
  <si>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</si>
  <si>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</si>
  <si>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</si>
  <si>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</si>
  <si>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</si>
  <si>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</si>
  <si>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</si>
  <si>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</si>
  <si>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</si>
  <si>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</si>
  <si>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</si>
  <si>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</si>
  <si>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</si>
  <si>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</si>
  <si>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</si>
  <si>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</si>
  <si>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</si>
  <si>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</si>
  <si>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</si>
  <si>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</si>
  <si>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</si>
  <si>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</si>
  <si>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</si>
  <si>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</si>
  <si>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</si>
  <si>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</si>
  <si>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</si>
  <si>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</si>
  <si>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</si>
  <si>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</si>
  <si>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</si>
  <si>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</si>
  <si>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</si>
  <si>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</si>
  <si>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</si>
  <si>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</si>
  <si>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</si>
  <si>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</si>
  <si>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</si>
  <si>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</si>
  <si>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</si>
  <si>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</si>
  <si>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유지비</t>
    <phoneticPr fontId="8" type="noConversion"/>
  </si>
  <si>
    <t>보조금반환</t>
    <phoneticPr fontId="29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</si>
  <si>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</si>
  <si>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</si>
  <si>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</si>
  <si>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</si>
  <si>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</si>
  <si>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</si>
  <si>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</si>
  <si>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</si>
  <si>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</si>
  <si>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</si>
  <si>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</si>
  <si>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</si>
  <si>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</si>
  <si>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</si>
  <si>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</si>
  <si>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</si>
  <si>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</si>
  <si>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</si>
  <si>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</si>
  <si>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</si>
  <si>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</si>
  <si>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</si>
  <si>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</si>
  <si>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</si>
  <si>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</si>
  <si>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</si>
  <si>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</si>
  <si>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</si>
  <si>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</si>
  <si>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</si>
  <si>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</si>
  <si>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</si>
  <si>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</si>
  <si>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</si>
  <si>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</si>
  <si>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</si>
  <si>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</si>
  <si>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</si>
  <si>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</si>
  <si>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</si>
  <si>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</si>
  <si>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</si>
  <si>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</si>
  <si>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</si>
  <si>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</si>
  <si>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</si>
  <si>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</si>
  <si>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</si>
  <si>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</si>
  <si>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</si>
  <si>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</si>
  <si>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</si>
  <si>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</si>
  <si>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</si>
  <si>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</si>
  <si>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</si>
  <si>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</si>
  <si>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</si>
  <si>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</si>
  <si>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</si>
  <si>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</si>
  <si>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</si>
  <si>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</si>
  <si>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</si>
  <si>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</si>
  <si>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</si>
  <si>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</si>
  <si>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</si>
  <si>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</si>
  <si>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</si>
  <si>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</si>
  <si>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</si>
  <si>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</si>
  <si>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</si>
  <si>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</si>
  <si>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</si>
  <si>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</si>
  <si>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</si>
  <si>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</si>
  <si>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</si>
  <si>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</si>
  <si>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</si>
  <si>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</si>
  <si>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</si>
  <si>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</si>
  <si>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</si>
  <si>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</si>
  <si>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</si>
  <si>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</si>
  <si>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</si>
  <si>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</si>
  <si>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</si>
  <si>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</si>
  <si>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</si>
  <si>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</si>
  <si>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</si>
  <si>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</si>
  <si>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</si>
  <si>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</si>
  <si>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</si>
  <si>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</si>
  <si>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</si>
  <si>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8" type="noConversion"/>
  </si>
  <si>
    <t>과  목</t>
    <phoneticPr fontId="8" type="noConversion"/>
  </si>
  <si>
    <t>관</t>
    <phoneticPr fontId="8" type="noConversion"/>
  </si>
  <si>
    <t>항</t>
    <phoneticPr fontId="8" type="noConversion"/>
  </si>
  <si>
    <t>내    역</t>
    <phoneticPr fontId="8" type="noConversion"/>
  </si>
  <si>
    <t>산출내역</t>
    <phoneticPr fontId="8" type="noConversion"/>
  </si>
  <si>
    <t>증, (△)감</t>
    <phoneticPr fontId="8" type="noConversion"/>
  </si>
  <si>
    <t>합     계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</si>
  <si>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</si>
  <si>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</si>
  <si>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</si>
  <si>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</si>
  <si>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</si>
  <si>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</si>
  <si>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</si>
  <si>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</si>
  <si>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</si>
  <si>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</si>
  <si>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</si>
  <si>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</si>
  <si>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</si>
  <si>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</si>
  <si>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7종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</si>
  <si>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</si>
  <si>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</si>
  <si>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</si>
  <si>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</si>
  <si>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</si>
  <si>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</si>
  <si>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</si>
  <si>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</si>
  <si>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</si>
  <si>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</si>
  <si>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회의비</t>
    <phoneticPr fontId="8" type="noConversion"/>
  </si>
  <si>
    <t>여비</t>
    <phoneticPr fontId="8" type="noConversion"/>
  </si>
  <si>
    <t>공공요금</t>
    <phoneticPr fontId="8" type="noConversion"/>
  </si>
  <si>
    <t>차량비</t>
    <phoneticPr fontId="8" type="noConversion"/>
  </si>
  <si>
    <t>월동대책비</t>
    <phoneticPr fontId="8" type="noConversion"/>
  </si>
  <si>
    <t>특별위로금</t>
    <phoneticPr fontId="8" type="noConversion"/>
  </si>
  <si>
    <t>국비기능보강사업</t>
    <phoneticPr fontId="8" type="noConversion"/>
  </si>
  <si>
    <t>기본급</t>
    <phoneticPr fontId="8" type="noConversion"/>
  </si>
  <si>
    <t>명절휴가비</t>
    <phoneticPr fontId="8" type="noConversion"/>
  </si>
  <si>
    <t>가족수당</t>
    <phoneticPr fontId="8" type="noConversion"/>
  </si>
  <si>
    <t>연장근로수당</t>
    <phoneticPr fontId="8" type="noConversion"/>
  </si>
  <si>
    <t>퇴직금적립금</t>
    <phoneticPr fontId="8" type="noConversion"/>
  </si>
  <si>
    <t>국민연금부담금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</si>
  <si>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</si>
  <si>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</si>
  <si>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</si>
  <si>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</si>
  <si>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시설당 기본지원금</t>
    <phoneticPr fontId="8" type="noConversion"/>
  </si>
  <si>
    <t>거주장애인 가중지원</t>
    <phoneticPr fontId="8" type="noConversion"/>
  </si>
  <si>
    <t>기능보강</t>
    <phoneticPr fontId="8" type="noConversion"/>
  </si>
  <si>
    <t>입소자부식비</t>
    <phoneticPr fontId="8" type="noConversion"/>
  </si>
  <si>
    <t>입소자간식비</t>
    <phoneticPr fontId="8" type="noConversion"/>
  </si>
  <si>
    <t>입소자건강진단비</t>
    <phoneticPr fontId="8" type="noConversion"/>
  </si>
  <si>
    <t>특수근무수당</t>
    <phoneticPr fontId="8" type="noConversion"/>
  </si>
  <si>
    <t>차량운영비</t>
    <phoneticPr fontId="8" type="noConversion"/>
  </si>
  <si>
    <t>환경개선사업비</t>
    <phoneticPr fontId="8" type="noConversion"/>
  </si>
  <si>
    <t>간병인비</t>
    <phoneticPr fontId="8" type="noConversion"/>
  </si>
  <si>
    <t>기타</t>
    <phoneticPr fontId="8" type="noConversion"/>
  </si>
  <si>
    <t>경기도 재활P/G</t>
    <phoneticPr fontId="8" type="noConversion"/>
  </si>
  <si>
    <t>여름캠프</t>
    <phoneticPr fontId="8" type="noConversion"/>
  </si>
  <si>
    <t>가을여행</t>
    <phoneticPr fontId="8" type="noConversion"/>
  </si>
  <si>
    <t>시지원P/G</t>
    <phoneticPr fontId="8" type="noConversion"/>
  </si>
  <si>
    <t>직원건강진단비</t>
    <phoneticPr fontId="8" type="noConversion"/>
  </si>
  <si>
    <t>순수시비</t>
    <phoneticPr fontId="8" type="noConversion"/>
  </si>
  <si>
    <t>산  출  내  역</t>
  </si>
  <si>
    <t>(인건비 산출내역 참조)</t>
    <phoneticPr fontId="8" type="noConversion"/>
  </si>
  <si>
    <t>금   액</t>
    <phoneticPr fontId="8" type="noConversion"/>
  </si>
  <si>
    <t>부담비율</t>
    <phoneticPr fontId="8" type="noConversion"/>
  </si>
  <si>
    <t>산출액</t>
    <phoneticPr fontId="8" type="noConversion"/>
  </si>
  <si>
    <t>검증</t>
    <phoneticPr fontId="8" type="noConversion"/>
  </si>
  <si>
    <t>합계</t>
    <phoneticPr fontId="8" type="noConversion"/>
  </si>
  <si>
    <t>국비</t>
    <phoneticPr fontId="8" type="noConversion"/>
  </si>
  <si>
    <t>도비</t>
    <phoneticPr fontId="8" type="noConversion"/>
  </si>
  <si>
    <t>시비</t>
    <phoneticPr fontId="8" type="noConversion"/>
  </si>
  <si>
    <t>항 목</t>
    <phoneticPr fontId="8" type="noConversion"/>
  </si>
  <si>
    <t>총 계</t>
    <phoneticPr fontId="8" type="noConversion"/>
  </si>
  <si>
    <t>입소자구료비
(특별피복비)</t>
    <phoneticPr fontId="8" type="noConversion"/>
  </si>
  <si>
    <t>입소자구료비
(특별급식비)</t>
    <phoneticPr fontId="8" type="noConversion"/>
  </si>
  <si>
    <t>국비</t>
    <phoneticPr fontId="8" type="noConversion"/>
  </si>
  <si>
    <t>=</t>
    <phoneticPr fontId="8" type="noConversion"/>
  </si>
  <si>
    <t>원</t>
    <phoneticPr fontId="8" type="noConversion"/>
  </si>
  <si>
    <t>월</t>
    <phoneticPr fontId="8" type="noConversion"/>
  </si>
  <si>
    <t>×</t>
    <phoneticPr fontId="8" type="noConversion"/>
  </si>
  <si>
    <t>명</t>
    <phoneticPr fontId="8" type="noConversion"/>
  </si>
  <si>
    <t>일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</si>
  <si>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</si>
  <si>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</si>
  <si>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</si>
  <si>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</si>
  <si>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</si>
  <si>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</si>
  <si>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</si>
  <si>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</si>
  <si>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</si>
  <si>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</si>
  <si>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</si>
  <si>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</si>
  <si>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</si>
  <si>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</si>
  <si>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</si>
  <si>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</si>
  <si>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</si>
  <si>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</si>
  <si>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</si>
  <si>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</si>
  <si>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</si>
  <si>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(수직구조대설치)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</si>
  <si>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</si>
  <si>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</si>
  <si>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</si>
  <si>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</si>
  <si>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</si>
  <si>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</si>
  <si>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</si>
  <si>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</si>
  <si>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</si>
  <si>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</si>
  <si>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입소</t>
    <phoneticPr fontId="8" type="noConversion"/>
  </si>
  <si>
    <t>소계</t>
    <phoneticPr fontId="8" type="noConversion"/>
  </si>
  <si>
    <t>(단위:원)</t>
    <phoneticPr fontId="29" type="noConversion"/>
  </si>
  <si>
    <t>예 산 액
(단위:천원)</t>
    <phoneticPr fontId="8" type="noConversion"/>
  </si>
  <si>
    <t>&lt;비지정후원금&gt;</t>
    <phoneticPr fontId="8" type="noConversion"/>
  </si>
  <si>
    <t>1월</t>
    <phoneticPr fontId="8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</si>
  <si>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</si>
  <si>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</si>
  <si>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</si>
  <si>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</si>
  <si>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</si>
  <si>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</si>
  <si>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</si>
  <si>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</si>
  <si>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</si>
  <si>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8" type="noConversion"/>
  </si>
  <si>
    <t>11월</t>
  </si>
  <si>
    <t>12월</t>
  </si>
  <si>
    <t>내용</t>
    <phoneticPr fontId="8" type="noConversion"/>
  </si>
  <si>
    <t>수용비및수수료</t>
    <phoneticPr fontId="8" type="noConversion"/>
  </si>
  <si>
    <t>사무용품비(문구류)</t>
    <phoneticPr fontId="8" type="noConversion"/>
  </si>
  <si>
    <t>복사용지</t>
    <phoneticPr fontId="8" type="noConversion"/>
  </si>
  <si>
    <t>인쇄비</t>
    <phoneticPr fontId="8" type="noConversion"/>
  </si>
  <si>
    <t>소규모수선비</t>
    <phoneticPr fontId="8" type="noConversion"/>
  </si>
  <si>
    <t>홈페이지 유지관리비</t>
    <phoneticPr fontId="8" type="noConversion"/>
  </si>
  <si>
    <t>체험홈 APT관리비</t>
    <phoneticPr fontId="8" type="noConversion"/>
  </si>
  <si>
    <t>퇴직연금 관리 수수료</t>
    <phoneticPr fontId="8" type="noConversion"/>
  </si>
  <si>
    <t>상하수도요금</t>
    <phoneticPr fontId="8" type="noConversion"/>
  </si>
  <si>
    <t>우편발송료</t>
    <phoneticPr fontId="8" type="noConversion"/>
  </si>
  <si>
    <t>제세공과금</t>
    <phoneticPr fontId="8" type="noConversion"/>
  </si>
  <si>
    <t>한장협 협회비</t>
    <phoneticPr fontId="8" type="noConversion"/>
  </si>
  <si>
    <t>경장협 협회비</t>
    <phoneticPr fontId="8" type="noConversion"/>
  </si>
  <si>
    <t>자동차보험료</t>
    <phoneticPr fontId="8" type="noConversion"/>
  </si>
  <si>
    <t>일반화재보험(대물)</t>
    <phoneticPr fontId="8" type="noConversion"/>
  </si>
  <si>
    <t>영업배상책임보험료</t>
    <phoneticPr fontId="8" type="noConversion"/>
  </si>
  <si>
    <t>자동세</t>
    <phoneticPr fontId="8" type="noConversion"/>
  </si>
  <si>
    <t>환경개선부담금(시설,자동차)</t>
    <phoneticPr fontId="8" type="noConversion"/>
  </si>
  <si>
    <t>신원보증보험갱신</t>
    <phoneticPr fontId="8" type="noConversion"/>
  </si>
  <si>
    <t>차량유류대 및 정비검사비</t>
    <phoneticPr fontId="8" type="noConversion"/>
  </si>
  <si>
    <t>시설장비유지비</t>
    <phoneticPr fontId="8" type="noConversion"/>
  </si>
  <si>
    <t>전기안전관리대행료</t>
    <phoneticPr fontId="8" type="noConversion"/>
  </si>
  <si>
    <t>방화관리(소방) 대행료</t>
    <phoneticPr fontId="8" type="noConversion"/>
  </si>
  <si>
    <t>수용기관경비</t>
    <phoneticPr fontId="8" type="noConversion"/>
  </si>
  <si>
    <t>생필품구입비</t>
    <phoneticPr fontId="8" type="noConversion"/>
  </si>
  <si>
    <t>시설방역</t>
    <phoneticPr fontId="8" type="noConversion"/>
  </si>
  <si>
    <t>정수기 관리비(체험홈 포함)</t>
    <phoneticPr fontId="8" type="noConversion"/>
  </si>
  <si>
    <t>수질검사</t>
    <phoneticPr fontId="8" type="noConversion"/>
  </si>
  <si>
    <t>주방식기류 및 그릇보강</t>
    <phoneticPr fontId="8" type="noConversion"/>
  </si>
  <si>
    <t>의료비</t>
    <phoneticPr fontId="8" type="noConversion"/>
  </si>
  <si>
    <t>의약품비</t>
    <phoneticPr fontId="8" type="noConversion"/>
  </si>
  <si>
    <t>프로그램사업비</t>
    <phoneticPr fontId="8" type="noConversion"/>
  </si>
  <si>
    <t>인권지킴이단 정기회의 수당</t>
    <phoneticPr fontId="8" type="noConversion"/>
  </si>
  <si>
    <t>운영위원회 정기회의 수당</t>
    <phoneticPr fontId="8" type="noConversion"/>
  </si>
  <si>
    <t>전화료(유선방송/체험홈 포함)</t>
    <phoneticPr fontId="8" type="noConversion"/>
  </si>
  <si>
    <t>일반전기요금</t>
    <phoneticPr fontId="8" type="noConversion"/>
  </si>
  <si>
    <t>주방식기세제, 주방소모품 등</t>
    <phoneticPr fontId="8" type="noConversion"/>
  </si>
  <si>
    <t>주차료, 통행료 등 운송비/기타</t>
    <phoneticPr fontId="8" type="noConversion"/>
  </si>
  <si>
    <t>연료비</t>
    <phoneticPr fontId="8" type="noConversion"/>
  </si>
  <si>
    <t>심야전기요금</t>
    <phoneticPr fontId="8" type="noConversion"/>
  </si>
  <si>
    <t>취사용가스요금(체험홈 포함)</t>
    <phoneticPr fontId="8" type="noConversion"/>
  </si>
  <si>
    <t>&lt;=월 평균 운영비 지원금</t>
    <phoneticPr fontId="8" type="noConversion"/>
  </si>
  <si>
    <t>직원 및 이용인 인권교육</t>
    <phoneticPr fontId="8" type="noConversion"/>
  </si>
  <si>
    <t>보조</t>
    <phoneticPr fontId="8" type="noConversion"/>
  </si>
  <si>
    <t>후원</t>
    <phoneticPr fontId="8" type="noConversion"/>
  </si>
  <si>
    <t>추가연장근로수당(5h)</t>
    <phoneticPr fontId="8" type="noConversion"/>
  </si>
  <si>
    <t>(일반직연장근로 5h분 산출내역 참조)</t>
    <phoneticPr fontId="8" type="noConversion"/>
  </si>
  <si>
    <t>직원외부교육비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</si>
  <si>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</si>
  <si>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</si>
  <si>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</si>
  <si>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</si>
  <si>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2016년 1차추경예산 보조금 산출내역</t>
    <phoneticPr fontId="8" type="noConversion"/>
  </si>
  <si>
    <t>회</t>
    <phoneticPr fontId="8" type="noConversion"/>
  </si>
  <si>
    <t>사무실복사기 임대료/ 프린터터너</t>
    <phoneticPr fontId="8" type="noConversion"/>
  </si>
  <si>
    <t>여름캠프</t>
    <phoneticPr fontId="8" type="noConversion"/>
  </si>
  <si>
    <t>2016년
2차추경예산
(B)
(단위:천원)</t>
    <phoneticPr fontId="8" type="noConversion"/>
  </si>
  <si>
    <t>보조금</t>
    <phoneticPr fontId="8" type="noConversion"/>
  </si>
  <si>
    <t>* 환경개선사업비(7종)</t>
    <phoneticPr fontId="8" type="noConversion"/>
  </si>
  <si>
    <t>* 종사자근무수당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</si>
  <si>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</si>
  <si>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</si>
  <si>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</si>
  <si>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</si>
  <si>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</si>
  <si>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</si>
  <si>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</si>
  <si>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</si>
  <si>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</si>
  <si>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</si>
  <si>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</si>
  <si>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</si>
  <si>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</si>
  <si>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</si>
  <si>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</si>
  <si>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</si>
  <si>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</si>
  <si>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</si>
  <si>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* 사회재활교사(김민제)</t>
    <phoneticPr fontId="8" type="noConversion"/>
  </si>
  <si>
    <t>보조</t>
    <phoneticPr fontId="8" type="noConversion"/>
  </si>
  <si>
    <t>4.종사자수당(7종)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</si>
  <si>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</si>
  <si>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</si>
  <si>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</si>
  <si>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</si>
  <si>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</si>
  <si>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보조</t>
    <phoneticPr fontId="8" type="noConversion"/>
  </si>
  <si>
    <t>지후</t>
    <phoneticPr fontId="8" type="noConversion"/>
  </si>
  <si>
    <t>* 실내 샤이클 구입(공동모금회 지원)</t>
    <phoneticPr fontId="8" type="noConversion"/>
  </si>
  <si>
    <t>* 직원 축일 및 생일 축하 문화상품권</t>
    <phoneticPr fontId="8" type="noConversion"/>
  </si>
  <si>
    <t>후원</t>
    <phoneticPr fontId="8" type="noConversion"/>
  </si>
  <si>
    <t>* 대체인건비 인건비(직원 연차, 교육 등)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</si>
  <si>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</si>
  <si>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</si>
  <si>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</si>
  <si>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</si>
  <si>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</si>
  <si>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</si>
  <si>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보조금(7종)</t>
    <phoneticPr fontId="8" type="noConversion"/>
  </si>
  <si>
    <t>보조금
(도비)</t>
    <phoneticPr fontId="8" type="noConversion"/>
  </si>
  <si>
    <t>보조금
(시비)</t>
    <phoneticPr fontId="8" type="noConversion"/>
  </si>
  <si>
    <t>* 이용인 직장 방문 경비(음료 등)</t>
    <phoneticPr fontId="8" type="noConversion"/>
  </si>
  <si>
    <t>입소</t>
    <phoneticPr fontId="8" type="noConversion"/>
  </si>
  <si>
    <t>* 회의 다과비</t>
    <phoneticPr fontId="8" type="noConversion"/>
  </si>
  <si>
    <t>회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</si>
  <si>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</si>
  <si>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</si>
  <si>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</si>
  <si>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</si>
  <si>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</si>
  <si>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</si>
  <si>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우편물발송료 및 택배료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</si>
  <si>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</si>
  <si>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</si>
  <si>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</si>
  <si>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</si>
  <si>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</si>
  <si>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</si>
  <si>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</si>
  <si>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</si>
  <si>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</si>
  <si>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</si>
  <si>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</si>
  <si>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</si>
  <si>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</si>
  <si>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</si>
  <si>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후원</t>
    <phoneticPr fontId="8" type="noConversion"/>
  </si>
  <si>
    <t>후원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</si>
  <si>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</si>
  <si>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</si>
  <si>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</si>
  <si>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</si>
  <si>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</si>
  <si>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</si>
  <si>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</si>
  <si>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</si>
  <si>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</si>
  <si>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</si>
  <si>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</si>
  <si>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</si>
  <si>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회</t>
    <phoneticPr fontId="8" type="noConversion"/>
  </si>
  <si>
    <t>* 요리활동 및 외식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</si>
  <si>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</si>
  <si>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</si>
  <si>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</si>
  <si>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</si>
  <si>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</si>
  <si>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</si>
  <si>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</si>
  <si>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</si>
  <si>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</si>
  <si>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</si>
  <si>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</si>
  <si>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</si>
  <si>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</si>
  <si>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</si>
  <si>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</si>
  <si>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</si>
  <si>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* 영화 및 뮤지컬 관람</t>
    <phoneticPr fontId="8" type="noConversion"/>
  </si>
  <si>
    <t>* 문화생활비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</si>
  <si>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</si>
  <si>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</si>
  <si>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</si>
  <si>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</si>
  <si>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</si>
  <si>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월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</si>
  <si>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</si>
  <si>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</si>
  <si>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</si>
  <si>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</si>
  <si>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</si>
  <si>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</si>
  <si>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</si>
  <si>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</si>
  <si>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</si>
  <si>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</si>
  <si>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</si>
  <si>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</si>
  <si>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합계</t>
    <phoneticPr fontId="29" type="noConversion"/>
  </si>
  <si>
    <t>소계</t>
    <phoneticPr fontId="29" type="noConversion"/>
  </si>
  <si>
    <t>연료비</t>
    <phoneticPr fontId="29" type="noConversion"/>
  </si>
  <si>
    <t>의료비</t>
    <phoneticPr fontId="29" type="noConversion"/>
  </si>
  <si>
    <t>피복비</t>
    <phoneticPr fontId="29" type="noConversion"/>
  </si>
  <si>
    <t>생필품비</t>
    <phoneticPr fontId="29" type="noConversion"/>
  </si>
  <si>
    <t>간식비</t>
    <phoneticPr fontId="29" type="noConversion"/>
  </si>
  <si>
    <t>생계비</t>
    <phoneticPr fontId="29" type="noConversion"/>
  </si>
  <si>
    <t>전화요금</t>
    <phoneticPr fontId="29" type="noConversion"/>
  </si>
  <si>
    <t>아파트관리비</t>
    <phoneticPr fontId="29" type="noConversion"/>
  </si>
  <si>
    <t>사무용품</t>
    <phoneticPr fontId="29" type="noConversion"/>
  </si>
  <si>
    <t>정수기</t>
    <phoneticPr fontId="29" type="noConversion"/>
  </si>
  <si>
    <t>건강검진비</t>
    <phoneticPr fontId="29" type="noConversion"/>
  </si>
  <si>
    <t>종사자수당</t>
    <phoneticPr fontId="29" type="noConversion"/>
  </si>
  <si>
    <t>산재보험부담금</t>
    <phoneticPr fontId="29" type="noConversion"/>
  </si>
  <si>
    <t>고용보험부담금</t>
    <phoneticPr fontId="29" type="noConversion"/>
  </si>
  <si>
    <t>건강보험부담금</t>
    <phoneticPr fontId="29" type="noConversion"/>
  </si>
  <si>
    <t>국민연금부담금</t>
    <phoneticPr fontId="29" type="noConversion"/>
  </si>
  <si>
    <t>퇴직적립금</t>
    <phoneticPr fontId="29" type="noConversion"/>
  </si>
  <si>
    <t>연장근로</t>
    <phoneticPr fontId="29" type="noConversion"/>
  </si>
  <si>
    <t>명절휴가비</t>
    <phoneticPr fontId="29" type="noConversion"/>
  </si>
  <si>
    <t>가족수당</t>
    <phoneticPr fontId="29" type="noConversion"/>
  </si>
  <si>
    <t>기본급</t>
    <phoneticPr fontId="29" type="noConversion"/>
  </si>
  <si>
    <t>계</t>
    <phoneticPr fontId="29" type="noConversion"/>
  </si>
  <si>
    <t>4/4분기</t>
    <phoneticPr fontId="29" type="noConversion"/>
  </si>
  <si>
    <t>3/4분기</t>
    <phoneticPr fontId="29" type="noConversion"/>
  </si>
  <si>
    <t>2/4분기</t>
    <phoneticPr fontId="29" type="noConversion"/>
  </si>
  <si>
    <t>1/4분기</t>
    <phoneticPr fontId="29" type="noConversion"/>
  </si>
  <si>
    <t>항목</t>
    <phoneticPr fontId="29" type="noConversion"/>
  </si>
  <si>
    <t>2016년 몬띠의 집 보조금 예산배정</t>
    <phoneticPr fontId="29" type="noConversion"/>
  </si>
  <si>
    <t>* 간식비(우유대금)</t>
    <phoneticPr fontId="8" type="noConversion"/>
  </si>
  <si>
    <t>* 주민세 등 기타 공과금</t>
    <phoneticPr fontId="8" type="noConversion"/>
  </si>
  <si>
    <t>2016년
2차추경 예산</t>
    <phoneticPr fontId="29" type="noConversion"/>
  </si>
  <si>
    <t>기타 보조금</t>
    <phoneticPr fontId="29" type="noConversion"/>
  </si>
  <si>
    <t>보조</t>
    <phoneticPr fontId="8" type="noConversion"/>
  </si>
  <si>
    <t>일</t>
    <phoneticPr fontId="8" type="noConversion"/>
  </si>
  <si>
    <t>* 경장연 대체인력지원금</t>
    <phoneticPr fontId="8" type="noConversion"/>
  </si>
  <si>
    <t xml:space="preserve"> &lt;기타 보조금 합계&gt;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</si>
  <si>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</si>
  <si>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</si>
  <si>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</si>
  <si>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</si>
  <si>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</si>
  <si>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</si>
  <si>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</si>
  <si>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환경개선
사업비</t>
    <phoneticPr fontId="8" type="noConversion"/>
  </si>
  <si>
    <t>종사자
근무수당
(7종)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</si>
  <si>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</si>
  <si>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</si>
  <si>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</si>
  <si>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</si>
  <si>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</si>
  <si>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후원금</t>
    <phoneticPr fontId="8" type="noConversion"/>
  </si>
  <si>
    <t>지정
후원금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</si>
  <si>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</si>
  <si>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</si>
  <si>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</si>
  <si>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</si>
  <si>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 xml:space="preserve">* 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</si>
  <si>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</si>
  <si>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</si>
  <si>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</si>
  <si>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</si>
  <si>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</si>
  <si>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</si>
  <si>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</si>
  <si>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</si>
  <si>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</si>
  <si>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과  목</t>
    <phoneticPr fontId="8" type="noConversion"/>
  </si>
  <si>
    <t>예 산 액
(단위:원)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</si>
  <si>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</si>
  <si>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</si>
  <si>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</si>
  <si>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</si>
  <si>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</si>
  <si>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</si>
  <si>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합     계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</si>
  <si>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</si>
  <si>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</si>
  <si>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</si>
  <si>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</si>
  <si>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</si>
  <si>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</si>
  <si>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</si>
  <si>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</si>
  <si>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</si>
  <si>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</si>
  <si>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</si>
  <si>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</si>
  <si>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운영비</t>
    <phoneticPr fontId="8" type="noConversion"/>
  </si>
  <si>
    <t>여비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</si>
  <si>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</si>
  <si>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</si>
  <si>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</si>
  <si>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</si>
  <si>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</si>
  <si>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</si>
  <si>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</si>
  <si>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</si>
  <si>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</si>
  <si>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</si>
  <si>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생계비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</si>
  <si>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</si>
  <si>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</si>
  <si>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</si>
  <si>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</si>
  <si>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</si>
  <si>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</si>
  <si>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</si>
  <si>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>* 후원금 수입 감소</t>
    <phoneticPr fontId="8" type="noConversion"/>
  </si>
  <si>
    <t>* 차량(모닝) 유류대 반영 증액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</si>
  <si>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</si>
  <si>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</si>
  <si>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</si>
  <si>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</si>
  <si>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</si>
  <si>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</si>
  <si>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</si>
  <si>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</si>
  <si>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</si>
  <si>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</si>
  <si>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2. 입소비용 체크카드환급액</t>
    <phoneticPr fontId="8" type="noConversion"/>
  </si>
  <si>
    <t>4. 후원금 체크카드환급금</t>
    <phoneticPr fontId="8" type="noConversion"/>
  </si>
  <si>
    <t>3. 잡수입 체크카드환급금</t>
    <phoneticPr fontId="8" type="noConversion"/>
  </si>
  <si>
    <t>* 금고구입(이용인 용돈, 통장, 도장 등 보관)</t>
    <phoneticPr fontId="8" type="noConversion"/>
  </si>
  <si>
    <t>입소</t>
    <phoneticPr fontId="8" type="noConversion"/>
  </si>
  <si>
    <t>원</t>
    <phoneticPr fontId="8" type="noConversion"/>
  </si>
  <si>
    <t>원</t>
    <phoneticPr fontId="8" type="noConversion"/>
  </si>
  <si>
    <t>보조</t>
    <phoneticPr fontId="8" type="noConversion"/>
  </si>
  <si>
    <t>&lt;몬띠의 집 2017년도 본예산 세입내역&gt;</t>
    <phoneticPr fontId="8" type="noConversion"/>
  </si>
  <si>
    <t>2017년
본예산
(B)
(단위:천원)</t>
    <phoneticPr fontId="8" type="noConversion"/>
  </si>
  <si>
    <t>월</t>
    <phoneticPr fontId="8" type="noConversion"/>
  </si>
  <si>
    <t>3호봉</t>
    <phoneticPr fontId="8" type="noConversion"/>
  </si>
  <si>
    <t>4호봉</t>
    <phoneticPr fontId="8" type="noConversion"/>
  </si>
  <si>
    <t>입소</t>
    <phoneticPr fontId="8" type="noConversion"/>
  </si>
  <si>
    <t>원</t>
    <phoneticPr fontId="8" type="noConversion"/>
  </si>
  <si>
    <t>입소</t>
    <phoneticPr fontId="8" type="noConversion"/>
  </si>
  <si>
    <t>2017년 본예산액(B)(단위:천원)</t>
    <phoneticPr fontId="8" type="noConversion"/>
  </si>
  <si>
    <t>2016년
2차추경예산액(A)
(단위:천원)</t>
    <phoneticPr fontId="8" type="noConversion"/>
  </si>
  <si>
    <t>&lt;몬띠의 집 2017년도 본예산 세출내역&gt;</t>
    <phoneticPr fontId="8" type="noConversion"/>
  </si>
  <si>
    <t>후원</t>
    <phoneticPr fontId="8" type="noConversion"/>
  </si>
  <si>
    <t>* 정수기 대여료 및 수질검사 등</t>
    <phoneticPr fontId="8" type="noConversion"/>
  </si>
  <si>
    <t>보조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</si>
  <si>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</si>
  <si>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</si>
  <si>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피복비(이용인 피복, 이불, 베게 등)</t>
    <phoneticPr fontId="8" type="noConversion"/>
  </si>
  <si>
    <t>* 환경개선사업(7종)</t>
    <phoneticPr fontId="8" type="noConversion"/>
  </si>
  <si>
    <t>□ 2017년도 본예산 세 입 · 세 출 총  괄  표</t>
    <phoneticPr fontId="29" type="noConversion"/>
  </si>
  <si>
    <t>2017년
본예산</t>
    <phoneticPr fontId="29" type="noConversion"/>
  </si>
  <si>
    <t>2017년 본예산 세입명세서</t>
    <phoneticPr fontId="8" type="noConversion"/>
  </si>
  <si>
    <t>2016년
2차추경 예산</t>
    <phoneticPr fontId="8" type="noConversion"/>
  </si>
  <si>
    <t>2017년
본예산</t>
    <phoneticPr fontId="8" type="noConversion"/>
  </si>
  <si>
    <t>* 2017년 시설당 기본지원</t>
    <phoneticPr fontId="8" type="noConversion"/>
  </si>
  <si>
    <t>* 환경개선사업비 신청액</t>
    <phoneticPr fontId="8" type="noConversion"/>
  </si>
  <si>
    <t>* 2년마다 신청</t>
    <phoneticPr fontId="8" type="noConversion"/>
  </si>
  <si>
    <t>* 경장연 대체인력지원금 3일 -&gt; 20일 증가</t>
    <phoneticPr fontId="8" type="noConversion"/>
  </si>
  <si>
    <t>* 공동모금회 사업 종료</t>
    <phoneticPr fontId="8" type="noConversion"/>
  </si>
  <si>
    <t>* 이월금 추정치</t>
    <phoneticPr fontId="8" type="noConversion"/>
  </si>
  <si>
    <t>* 체크카드 환급액 증가</t>
    <phoneticPr fontId="8" type="noConversion"/>
  </si>
  <si>
    <t>2017년 본예산 세출명세서</t>
    <phoneticPr fontId="8" type="noConversion"/>
  </si>
  <si>
    <t>* 호봉승급분 반영</t>
    <phoneticPr fontId="8" type="noConversion"/>
  </si>
  <si>
    <t>* 대체인력 예산 3일 -&gt; 20일로 증가</t>
    <phoneticPr fontId="8" type="noConversion"/>
  </si>
  <si>
    <t>* 가족수당 감소</t>
    <phoneticPr fontId="8" type="noConversion"/>
  </si>
  <si>
    <t>* 인건비 상승으로 퇴직적립금 증가</t>
    <phoneticPr fontId="8" type="noConversion"/>
  </si>
  <si>
    <t>* 인건비 상승으로 사회보험부담금 증가</t>
    <phoneticPr fontId="8" type="noConversion"/>
  </si>
  <si>
    <t>* 직원건강진단비 30만 감소</t>
    <phoneticPr fontId="8" type="noConversion"/>
  </si>
  <si>
    <t>* 이용인 직장 방문 경비</t>
    <phoneticPr fontId="8" type="noConversion"/>
  </si>
  <si>
    <t>* 각종회의 시 다과비 증액</t>
    <phoneticPr fontId="8" type="noConversion"/>
  </si>
  <si>
    <t>* 직원 교육 및 출장 여비 증액</t>
    <phoneticPr fontId="8" type="noConversion"/>
  </si>
  <si>
    <t>* 공공요금 예산 증액</t>
    <phoneticPr fontId="8" type="noConversion"/>
  </si>
  <si>
    <t>* 제세공과금 예산 감액</t>
    <phoneticPr fontId="8" type="noConversion"/>
  </si>
  <si>
    <t>* 정수기 임대료 계정변경으로 감소 -&gt;수용기관경비</t>
    <phoneticPr fontId="8" type="noConversion"/>
  </si>
  <si>
    <t>* 직원외부교육비 증액</t>
    <phoneticPr fontId="8" type="noConversion"/>
  </si>
  <si>
    <t>* 공동모금회 환경개선사업 종료로 전액 감액</t>
    <phoneticPr fontId="8" type="noConversion"/>
  </si>
  <si>
    <t>* 환경개선사업비(7종) 등</t>
    <phoneticPr fontId="8" type="noConversion"/>
  </si>
  <si>
    <t>* 생계비 증액</t>
    <phoneticPr fontId="8" type="noConversion"/>
  </si>
  <si>
    <t>* 정수기 임대료 계정변경으로 증가 &lt;- 수용비및수수료</t>
    <phoneticPr fontId="8" type="noConversion"/>
  </si>
  <si>
    <t>* 자부담 연료비 증액</t>
    <phoneticPr fontId="8" type="noConversion"/>
  </si>
  <si>
    <t>* 프로그램사업비 증액</t>
    <phoneticPr fontId="8" type="noConversion"/>
  </si>
  <si>
    <t>후원</t>
    <phoneticPr fontId="8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</si>
</sst>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89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6" fillId="0" borderId="33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3" xfId="3" applyFont="1" applyFill="1" applyBorder="1" applyAlignment="1">
      <alignment horizontal="center" vertical="center"/>
    </xf>
    <xf numFmtId="0" fontId="35" fillId="0" borderId="53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4" fillId="0" borderId="54" xfId="3" applyFont="1" applyFill="1" applyBorder="1" applyAlignment="1">
      <alignment vertical="center" wrapText="1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6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6" fillId="0" borderId="32" xfId="0" applyNumberFormat="1" applyFont="1" applyFill="1" applyBorder="1" applyAlignment="1">
      <alignment horizontal="center" vertical="center"/>
    </xf>
    <xf numFmtId="41" fontId="36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6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94" fontId="18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right" vertical="center"/>
    </xf>
    <xf numFmtId="176" fontId="34" fillId="0" borderId="37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1" fillId="0" borderId="20" xfId="3" applyFont="1" applyFill="1" applyBorder="1" applyAlignment="1">
      <alignment horizontal="center" vertical="center" wrapText="1"/>
    </xf>
    <xf numFmtId="176" fontId="41" fillId="0" borderId="20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vertical="center"/>
    </xf>
    <xf numFmtId="176" fontId="42" fillId="0" borderId="53" xfId="3" applyNumberFormat="1" applyFont="1" applyFill="1" applyBorder="1" applyAlignment="1">
      <alignment vertical="center"/>
    </xf>
    <xf numFmtId="176" fontId="42" fillId="0" borderId="54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3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4" fillId="0" borderId="14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right" vertical="center"/>
    </xf>
    <xf numFmtId="176" fontId="44" fillId="0" borderId="54" xfId="3" applyNumberFormat="1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41" xfId="3" applyFont="1" applyFill="1" applyBorder="1" applyAlignment="1">
      <alignment vertical="center"/>
    </xf>
    <xf numFmtId="0" fontId="44" fillId="0" borderId="30" xfId="3" applyFont="1" applyFill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 wrapText="1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20" xfId="0" applyFont="1" applyFill="1" applyBorder="1" applyAlignment="1">
      <alignment vertical="center"/>
    </xf>
    <xf numFmtId="41" fontId="46" fillId="4" borderId="20" xfId="2" applyFont="1" applyFill="1" applyBorder="1" applyAlignment="1">
      <alignment vertical="center"/>
    </xf>
    <xf numFmtId="41" fontId="46" fillId="0" borderId="20" xfId="2" applyFont="1" applyFill="1" applyBorder="1" applyAlignment="1">
      <alignment vertical="center"/>
    </xf>
    <xf numFmtId="9" fontId="46" fillId="0" borderId="20" xfId="1" applyFont="1" applyFill="1" applyBorder="1" applyAlignment="1">
      <alignment vertical="center"/>
    </xf>
    <xf numFmtId="41" fontId="46" fillId="2" borderId="20" xfId="2" applyFont="1" applyFill="1" applyBorder="1" applyAlignment="1">
      <alignment vertical="center"/>
    </xf>
    <xf numFmtId="189" fontId="46" fillId="0" borderId="20" xfId="1" applyNumberFormat="1" applyFont="1" applyFill="1" applyBorder="1" applyAlignment="1">
      <alignment vertical="center"/>
    </xf>
    <xf numFmtId="176" fontId="46" fillId="0" borderId="41" xfId="3" applyNumberFormat="1" applyFont="1" applyFill="1" applyBorder="1" applyAlignment="1">
      <alignment horizontal="center" vertical="center"/>
    </xf>
    <xf numFmtId="176" fontId="46" fillId="0" borderId="53" xfId="3" applyNumberFormat="1" applyFont="1" applyFill="1" applyBorder="1" applyAlignment="1">
      <alignment vertical="center"/>
    </xf>
    <xf numFmtId="0" fontId="46" fillId="0" borderId="53" xfId="3" applyFont="1" applyFill="1" applyBorder="1" applyAlignment="1">
      <alignment horizontal="center" vertical="center"/>
    </xf>
    <xf numFmtId="176" fontId="23" fillId="0" borderId="53" xfId="3" applyNumberFormat="1" applyFont="1" applyFill="1" applyBorder="1" applyAlignment="1">
      <alignment vertical="center"/>
    </xf>
    <xf numFmtId="176" fontId="46" fillId="0" borderId="19" xfId="3" applyNumberFormat="1" applyFont="1" applyFill="1" applyBorder="1" applyAlignment="1">
      <alignment vertical="center"/>
    </xf>
    <xf numFmtId="176" fontId="43" fillId="0" borderId="41" xfId="3" applyNumberFormat="1" applyFont="1" applyFill="1" applyBorder="1" applyAlignment="1">
      <alignment horizontal="center" vertical="center"/>
    </xf>
    <xf numFmtId="176" fontId="43" fillId="0" borderId="53" xfId="3" applyNumberFormat="1" applyFont="1" applyFill="1" applyBorder="1" applyAlignment="1">
      <alignment vertical="center"/>
    </xf>
    <xf numFmtId="0" fontId="43" fillId="0" borderId="53" xfId="3" applyFont="1" applyFill="1" applyBorder="1" applyAlignment="1">
      <alignment horizontal="center" vertical="center"/>
    </xf>
    <xf numFmtId="176" fontId="43" fillId="0" borderId="19" xfId="3" applyNumberFormat="1" applyFont="1" applyFill="1" applyBorder="1" applyAlignment="1">
      <alignment vertical="center"/>
    </xf>
    <xf numFmtId="176" fontId="23" fillId="0" borderId="41" xfId="3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left" vertical="center"/>
    </xf>
    <xf numFmtId="9" fontId="23" fillId="0" borderId="53" xfId="1" applyFont="1" applyFill="1" applyBorder="1" applyAlignment="1">
      <alignment horizontal="right" vertical="center"/>
    </xf>
    <xf numFmtId="176" fontId="23" fillId="0" borderId="53" xfId="3" applyNumberFormat="1" applyFont="1" applyFill="1" applyBorder="1" applyAlignment="1">
      <alignment horizontal="left" vertical="center"/>
    </xf>
    <xf numFmtId="180" fontId="23" fillId="0" borderId="53" xfId="2" applyNumberFormat="1" applyFont="1" applyFill="1" applyBorder="1" applyAlignment="1">
      <alignment vertical="center"/>
    </xf>
    <xf numFmtId="41" fontId="23" fillId="0" borderId="53" xfId="2" applyFont="1" applyFill="1" applyBorder="1" applyAlignment="1">
      <alignment vertical="center"/>
    </xf>
    <xf numFmtId="176" fontId="23" fillId="0" borderId="19" xfId="3" applyNumberFormat="1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53" xfId="0" applyFont="1" applyFill="1" applyBorder="1" applyAlignment="1">
      <alignment vertical="center"/>
    </xf>
    <xf numFmtId="0" fontId="46" fillId="0" borderId="19" xfId="0" applyFont="1" applyFill="1" applyBorder="1" applyAlignment="1">
      <alignment vertical="center"/>
    </xf>
    <xf numFmtId="176" fontId="46" fillId="0" borderId="53" xfId="3" applyNumberFormat="1" applyFont="1" applyFill="1" applyBorder="1" applyAlignment="1">
      <alignment horizontal="left" vertical="center"/>
    </xf>
    <xf numFmtId="176" fontId="46" fillId="0" borderId="53" xfId="3" applyNumberFormat="1" applyFont="1" applyFill="1" applyBorder="1" applyAlignment="1">
      <alignment horizontal="center" vertical="center"/>
    </xf>
    <xf numFmtId="181" fontId="46" fillId="0" borderId="53" xfId="1" applyNumberFormat="1" applyFont="1" applyFill="1" applyBorder="1" applyAlignment="1">
      <alignment vertical="center"/>
    </xf>
    <xf numFmtId="42" fontId="46" fillId="0" borderId="53" xfId="3" applyNumberFormat="1" applyFont="1" applyFill="1" applyBorder="1" applyAlignment="1">
      <alignment horizontal="left" vertical="center"/>
    </xf>
    <xf numFmtId="42" fontId="46" fillId="0" borderId="53" xfId="3" applyNumberFormat="1" applyFont="1" applyFill="1" applyBorder="1" applyAlignment="1">
      <alignment horizontal="center" vertical="center"/>
    </xf>
    <xf numFmtId="9" fontId="46" fillId="0" borderId="53" xfId="1" applyFont="1" applyFill="1" applyBorder="1" applyAlignment="1">
      <alignment horizontal="center" vertical="center"/>
    </xf>
    <xf numFmtId="183" fontId="46" fillId="0" borderId="53" xfId="1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4" fontId="46" fillId="0" borderId="53" xfId="1" applyNumberFormat="1" applyFont="1" applyFill="1" applyBorder="1" applyAlignment="1">
      <alignment horizontal="center" vertical="center"/>
    </xf>
    <xf numFmtId="10" fontId="46" fillId="0" borderId="53" xfId="1" applyNumberFormat="1" applyFont="1" applyFill="1" applyBorder="1" applyAlignment="1">
      <alignment horizontal="center" vertical="center"/>
    </xf>
    <xf numFmtId="42" fontId="24" fillId="0" borderId="53" xfId="3" applyNumberFormat="1" applyFont="1" applyFill="1" applyBorder="1" applyAlignment="1">
      <alignment horizontal="center" vertical="center"/>
    </xf>
    <xf numFmtId="178" fontId="24" fillId="0" borderId="19" xfId="0" applyNumberFormat="1" applyFont="1" applyBorder="1">
      <alignment vertical="center"/>
    </xf>
    <xf numFmtId="188" fontId="46" fillId="0" borderId="53" xfId="1" applyNumberFormat="1" applyFont="1" applyFill="1" applyBorder="1" applyAlignment="1">
      <alignment horizontal="center" vertical="center"/>
    </xf>
    <xf numFmtId="189" fontId="46" fillId="0" borderId="53" xfId="1" applyNumberFormat="1" applyFont="1" applyFill="1" applyBorder="1" applyAlignment="1">
      <alignment horizontal="center" vertical="center"/>
    </xf>
    <xf numFmtId="0" fontId="43" fillId="0" borderId="53" xfId="3" applyFont="1" applyFill="1" applyBorder="1" applyAlignment="1">
      <alignment vertical="center"/>
    </xf>
    <xf numFmtId="0" fontId="46" fillId="0" borderId="53" xfId="3" applyFont="1" applyFill="1" applyBorder="1" applyAlignment="1">
      <alignment vertical="center"/>
    </xf>
    <xf numFmtId="178" fontId="43" fillId="0" borderId="53" xfId="0" applyNumberFormat="1" applyFont="1" applyBorder="1">
      <alignment vertical="center"/>
    </xf>
    <xf numFmtId="178" fontId="43" fillId="0" borderId="19" xfId="0" applyNumberFormat="1" applyFont="1" applyBorder="1">
      <alignment vertical="center"/>
    </xf>
    <xf numFmtId="0" fontId="46" fillId="3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41" fontId="47" fillId="6" borderId="20" xfId="0" applyNumberFormat="1" applyFont="1" applyFill="1" applyBorder="1" applyAlignment="1">
      <alignment horizontal="center" vertical="center"/>
    </xf>
    <xf numFmtId="0" fontId="47" fillId="6" borderId="20" xfId="0" applyFont="1" applyFill="1" applyBorder="1" applyAlignment="1">
      <alignment horizontal="center" vertical="center" wrapText="1"/>
    </xf>
    <xf numFmtId="0" fontId="47" fillId="6" borderId="20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53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vertical="center" wrapText="1"/>
    </xf>
    <xf numFmtId="0" fontId="23" fillId="0" borderId="53" xfId="3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center" vertical="center"/>
    </xf>
    <xf numFmtId="42" fontId="43" fillId="0" borderId="53" xfId="3" applyNumberFormat="1" applyFont="1" applyFill="1" applyBorder="1" applyAlignment="1">
      <alignment horizontal="center" vertical="center"/>
    </xf>
    <xf numFmtId="178" fontId="43" fillId="0" borderId="53" xfId="3" applyNumberFormat="1" applyFont="1" applyFill="1" applyBorder="1" applyAlignment="1">
      <alignment horizontal="center" vertical="center"/>
    </xf>
    <xf numFmtId="180" fontId="43" fillId="0" borderId="53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89" fontId="25" fillId="0" borderId="0" xfId="1" applyNumberFormat="1" applyFont="1" applyFill="1" applyBorder="1" applyAlignment="1">
      <alignment horizontal="center"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3" fontId="34" fillId="0" borderId="14" xfId="0" applyNumberFormat="1" applyFont="1" applyFill="1" applyBorder="1" applyAlignment="1">
      <alignment vertical="center"/>
    </xf>
    <xf numFmtId="176" fontId="49" fillId="0" borderId="37" xfId="3" applyNumberFormat="1" applyFont="1" applyFill="1" applyBorder="1" applyAlignment="1">
      <alignment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8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178" fontId="27" fillId="0" borderId="0" xfId="0" applyNumberFormat="1" applyFont="1" applyFill="1" applyAlignment="1">
      <alignment horizontal="right"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41" fontId="51" fillId="0" borderId="11" xfId="8" applyFont="1" applyBorder="1" applyAlignment="1">
      <alignment vertical="center"/>
    </xf>
    <xf numFmtId="182" fontId="51" fillId="0" borderId="36" xfId="8" applyNumberFormat="1" applyFont="1" applyBorder="1" applyAlignment="1">
      <alignment vertical="center"/>
    </xf>
    <xf numFmtId="182" fontId="51" fillId="0" borderId="12" xfId="8" applyNumberFormat="1" applyFont="1" applyBorder="1" applyAlignment="1">
      <alignment vertical="center"/>
    </xf>
    <xf numFmtId="0" fontId="52" fillId="0" borderId="11" xfId="7" applyFont="1" applyBorder="1" applyAlignment="1">
      <alignment horizontal="center" vertical="center"/>
    </xf>
    <xf numFmtId="41" fontId="53" fillId="0" borderId="11" xfId="8" applyFont="1" applyBorder="1" applyAlignment="1">
      <alignment vertical="center"/>
    </xf>
    <xf numFmtId="182" fontId="53" fillId="0" borderId="36" xfId="8" applyNumberFormat="1" applyFont="1" applyBorder="1" applyAlignment="1">
      <alignment vertical="center"/>
    </xf>
    <xf numFmtId="0" fontId="52" fillId="0" borderId="20" xfId="7" applyFont="1" applyBorder="1" applyAlignment="1">
      <alignment horizontal="center" vertical="center"/>
    </xf>
    <xf numFmtId="41" fontId="53" fillId="0" borderId="20" xfId="8" applyFont="1" applyBorder="1">
      <alignment vertical="center"/>
    </xf>
    <xf numFmtId="182" fontId="53" fillId="0" borderId="41" xfId="8" applyNumberFormat="1" applyFont="1" applyBorder="1">
      <alignment vertical="center"/>
    </xf>
    <xf numFmtId="182" fontId="53" fillId="0" borderId="12" xfId="8" applyNumberFormat="1" applyFont="1" applyBorder="1" applyAlignment="1">
      <alignment vertical="center"/>
    </xf>
    <xf numFmtId="182" fontId="53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20" xfId="0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27" fillId="0" borderId="14" xfId="0" applyFont="1" applyFill="1" applyBorder="1">
      <alignment vertical="center"/>
    </xf>
    <xf numFmtId="178" fontId="27" fillId="0" borderId="14" xfId="0" applyNumberFormat="1" applyFont="1" applyFill="1" applyBorder="1" applyAlignment="1">
      <alignment horizontal="right" vertical="center"/>
    </xf>
    <xf numFmtId="0" fontId="27" fillId="0" borderId="37" xfId="0" applyFont="1" applyFill="1" applyBorder="1">
      <alignment vertical="center"/>
    </xf>
    <xf numFmtId="0" fontId="27" fillId="0" borderId="30" xfId="3" applyFont="1" applyFill="1" applyBorder="1" applyAlignment="1">
      <alignment vertical="center" wrapText="1"/>
    </xf>
    <xf numFmtId="176" fontId="27" fillId="0" borderId="53" xfId="3" applyNumberFormat="1" applyFont="1" applyFill="1" applyBorder="1" applyAlignment="1">
      <alignment vertical="center"/>
    </xf>
    <xf numFmtId="176" fontId="27" fillId="0" borderId="53" xfId="3" applyNumberFormat="1" applyFont="1" applyFill="1" applyBorder="1" applyAlignment="1">
      <alignment horizontal="right" vertical="center"/>
    </xf>
    <xf numFmtId="176" fontId="27" fillId="0" borderId="54" xfId="3" applyNumberFormat="1" applyFont="1" applyFill="1" applyBorder="1" applyAlignment="1">
      <alignment vertical="center"/>
    </xf>
    <xf numFmtId="178" fontId="27" fillId="0" borderId="14" xfId="3" applyNumberFormat="1" applyFont="1" applyFill="1" applyBorder="1" applyAlignment="1">
      <alignment horizontal="right" vertical="center"/>
    </xf>
    <xf numFmtId="0" fontId="34" fillId="0" borderId="0" xfId="0" applyFont="1" applyFill="1" applyBorder="1">
      <alignment vertical="center"/>
    </xf>
    <xf numFmtId="0" fontId="27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 wrapText="1"/>
    </xf>
    <xf numFmtId="0" fontId="25" fillId="0" borderId="3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8" fontId="32" fillId="0" borderId="1" xfId="3" applyNumberFormat="1" applyFont="1" applyFill="1" applyBorder="1" applyAlignment="1">
      <alignment vertical="center"/>
    </xf>
    <xf numFmtId="177" fontId="32" fillId="0" borderId="1" xfId="3" applyNumberFormat="1" applyFont="1" applyFill="1" applyBorder="1" applyAlignment="1">
      <alignment vertical="center"/>
    </xf>
    <xf numFmtId="9" fontId="32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6" fontId="33" fillId="0" borderId="31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85" fontId="25" fillId="0" borderId="0" xfId="3" applyNumberFormat="1" applyFont="1" applyFill="1" applyBorder="1" applyAlignment="1">
      <alignment horizontal="center" vertical="center"/>
    </xf>
    <xf numFmtId="186" fontId="25" fillId="0" borderId="0" xfId="3" applyNumberFormat="1" applyFont="1" applyFill="1" applyBorder="1" applyAlignment="1">
      <alignment vertical="center"/>
    </xf>
    <xf numFmtId="187" fontId="25" fillId="0" borderId="0" xfId="1" applyNumberFormat="1" applyFont="1" applyFill="1" applyBorder="1" applyAlignment="1">
      <alignment horizontal="center" vertical="center"/>
    </xf>
    <xf numFmtId="41" fontId="54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5" fillId="0" borderId="0" xfId="1" applyNumberFormat="1" applyFont="1" applyFill="1" applyBorder="1" applyAlignment="1">
      <alignment horizontal="center" vertical="center"/>
    </xf>
    <xf numFmtId="196" fontId="25" fillId="0" borderId="0" xfId="3" applyNumberFormat="1" applyFont="1" applyFill="1" applyBorder="1" applyAlignment="1">
      <alignment horizontal="left" vertical="center"/>
    </xf>
    <xf numFmtId="195" fontId="25" fillId="0" borderId="0" xfId="3" applyNumberFormat="1" applyFont="1" applyFill="1" applyBorder="1" applyAlignment="1">
      <alignment vertical="center"/>
    </xf>
    <xf numFmtId="197" fontId="25" fillId="0" borderId="0" xfId="3" applyNumberFormat="1" applyFont="1" applyFill="1" applyBorder="1" applyAlignment="1">
      <alignment horizontal="left" vertical="center"/>
    </xf>
    <xf numFmtId="198" fontId="25" fillId="0" borderId="0" xfId="3" applyNumberFormat="1" applyFont="1" applyFill="1" applyBorder="1" applyAlignment="1">
      <alignment vertical="center"/>
    </xf>
    <xf numFmtId="199" fontId="25" fillId="0" borderId="0" xfId="3" applyNumberFormat="1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" fillId="0" borderId="0" xfId="11">
      <alignment vertical="center"/>
    </xf>
    <xf numFmtId="41" fontId="0" fillId="8" borderId="20" xfId="12" applyFont="1" applyFill="1" applyBorder="1">
      <alignment vertical="center"/>
    </xf>
    <xf numFmtId="0" fontId="2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2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2" fillId="8" borderId="56" xfId="11" applyNumberFormat="1" applyFill="1" applyBorder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7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8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50" fillId="0" borderId="17" xfId="7" applyFont="1" applyBorder="1" applyAlignment="1">
      <alignment horizontal="center" vertical="center"/>
    </xf>
    <xf numFmtId="0" fontId="50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69" xfId="0" applyFont="1" applyFill="1" applyBorder="1" applyAlignment="1">
      <alignment horizontal="center" vertical="center"/>
    </xf>
    <xf numFmtId="0" fontId="36" fillId="0" borderId="70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53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6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I11" sqref="I11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731</v>
      </c>
      <c r="K2" s="204" t="s">
        <v>389</v>
      </c>
    </row>
    <row r="3" spans="2:11" ht="9.9499999999999993" customHeight="1" thickBot="1"/>
    <row r="4" spans="2:11" ht="30" customHeight="1">
      <c r="B4" s="700" t="s">
        <v>169</v>
      </c>
      <c r="C4" s="701"/>
      <c r="D4" s="701"/>
      <c r="E4" s="701"/>
      <c r="F4" s="702"/>
      <c r="G4" s="700" t="s">
        <v>170</v>
      </c>
      <c r="H4" s="701"/>
      <c r="I4" s="701"/>
      <c r="J4" s="701"/>
      <c r="K4" s="703"/>
    </row>
    <row r="5" spans="2:11" ht="16.5" customHeight="1">
      <c r="B5" s="704" t="s">
        <v>171</v>
      </c>
      <c r="C5" s="705"/>
      <c r="D5" s="708" t="s">
        <v>616</v>
      </c>
      <c r="E5" s="708" t="s">
        <v>732</v>
      </c>
      <c r="F5" s="710" t="s">
        <v>172</v>
      </c>
      <c r="G5" s="704" t="s">
        <v>171</v>
      </c>
      <c r="H5" s="705"/>
      <c r="I5" s="708" t="s">
        <v>616</v>
      </c>
      <c r="J5" s="708" t="s">
        <v>732</v>
      </c>
      <c r="K5" s="712" t="s">
        <v>172</v>
      </c>
    </row>
    <row r="6" spans="2:11" ht="22.5" customHeight="1" thickBot="1">
      <c r="B6" s="706"/>
      <c r="C6" s="707"/>
      <c r="D6" s="709"/>
      <c r="E6" s="709"/>
      <c r="F6" s="711"/>
      <c r="G6" s="706"/>
      <c r="H6" s="707"/>
      <c r="I6" s="709"/>
      <c r="J6" s="709"/>
      <c r="K6" s="713"/>
    </row>
    <row r="7" spans="2:11" ht="24.95" customHeight="1" thickTop="1">
      <c r="B7" s="714" t="s">
        <v>173</v>
      </c>
      <c r="C7" s="715"/>
      <c r="D7" s="576">
        <f>SUM(D8:D23)/2</f>
        <v>63900000</v>
      </c>
      <c r="E7" s="576">
        <f>SUM(E8:E23)/2</f>
        <v>69683000</v>
      </c>
      <c r="F7" s="577">
        <f>SUM(F8:F23)/2</f>
        <v>5783000</v>
      </c>
      <c r="G7" s="714" t="s">
        <v>173</v>
      </c>
      <c r="H7" s="715"/>
      <c r="I7" s="576">
        <f>SUM(I8:I28)/2</f>
        <v>63900000</v>
      </c>
      <c r="J7" s="576">
        <f>SUM(J8:J28)/2</f>
        <v>69683000</v>
      </c>
      <c r="K7" s="578">
        <f>SUM(K8:K28)/2</f>
        <v>5783000</v>
      </c>
    </row>
    <row r="8" spans="2:11" ht="24.95" customHeight="1">
      <c r="B8" s="716" t="s">
        <v>174</v>
      </c>
      <c r="C8" s="579" t="s">
        <v>388</v>
      </c>
      <c r="D8" s="580">
        <f>D9</f>
        <v>7200000</v>
      </c>
      <c r="E8" s="580">
        <f>E9</f>
        <v>7200000</v>
      </c>
      <c r="F8" s="581">
        <f>F9</f>
        <v>0</v>
      </c>
      <c r="G8" s="716" t="s">
        <v>176</v>
      </c>
      <c r="H8" s="579" t="s">
        <v>388</v>
      </c>
      <c r="I8" s="580">
        <f>SUM(I9:I11)</f>
        <v>45534000</v>
      </c>
      <c r="J8" s="580">
        <f>SUM(J9:J11)</f>
        <v>47873000</v>
      </c>
      <c r="K8" s="585">
        <f>SUM(K9:K11)</f>
        <v>2339000</v>
      </c>
    </row>
    <row r="9" spans="2:11" ht="24.95" customHeight="1">
      <c r="B9" s="717"/>
      <c r="C9" s="205" t="s">
        <v>175</v>
      </c>
      <c r="D9" s="206">
        <v>7200000</v>
      </c>
      <c r="E9" s="206">
        <v>7200000</v>
      </c>
      <c r="F9" s="207">
        <f>E9-D9</f>
        <v>0</v>
      </c>
      <c r="G9" s="718"/>
      <c r="H9" s="205" t="s">
        <v>177</v>
      </c>
      <c r="I9" s="206">
        <v>37124000</v>
      </c>
      <c r="J9" s="206">
        <v>38706000</v>
      </c>
      <c r="K9" s="208">
        <f>J9-I9</f>
        <v>1582000</v>
      </c>
    </row>
    <row r="10" spans="2:11" ht="24.95" customHeight="1">
      <c r="B10" s="716" t="s">
        <v>178</v>
      </c>
      <c r="C10" s="582" t="s">
        <v>388</v>
      </c>
      <c r="D10" s="583">
        <f>SUM(D11:D14)</f>
        <v>53160000</v>
      </c>
      <c r="E10" s="583">
        <f>SUM(E11:E14)</f>
        <v>58305000</v>
      </c>
      <c r="F10" s="584">
        <f>SUM(F11:F14)</f>
        <v>5145000</v>
      </c>
      <c r="G10" s="718"/>
      <c r="H10" s="205" t="s">
        <v>179</v>
      </c>
      <c r="I10" s="206">
        <v>50000</v>
      </c>
      <c r="J10" s="206">
        <v>150000</v>
      </c>
      <c r="K10" s="208">
        <f t="shared" ref="K10:K11" si="0">J10-I10</f>
        <v>100000</v>
      </c>
    </row>
    <row r="11" spans="2:11" ht="24.95" customHeight="1">
      <c r="B11" s="718"/>
      <c r="C11" s="288" t="s">
        <v>264</v>
      </c>
      <c r="D11" s="206">
        <v>0</v>
      </c>
      <c r="E11" s="206">
        <v>0</v>
      </c>
      <c r="F11" s="207">
        <f t="shared" ref="F11:F23" si="1">E11-D11</f>
        <v>0</v>
      </c>
      <c r="G11" s="717"/>
      <c r="H11" s="205" t="s">
        <v>102</v>
      </c>
      <c r="I11" s="206">
        <v>8360000</v>
      </c>
      <c r="J11" s="206">
        <v>9017000</v>
      </c>
      <c r="K11" s="208">
        <f t="shared" si="0"/>
        <v>657000</v>
      </c>
    </row>
    <row r="12" spans="2:11" ht="24.95" customHeight="1">
      <c r="B12" s="718"/>
      <c r="C12" s="288" t="s">
        <v>265</v>
      </c>
      <c r="D12" s="206">
        <v>52620000</v>
      </c>
      <c r="E12" s="206">
        <v>56705000</v>
      </c>
      <c r="F12" s="207">
        <f t="shared" si="1"/>
        <v>4085000</v>
      </c>
      <c r="G12" s="716" t="s">
        <v>103</v>
      </c>
      <c r="H12" s="582" t="s">
        <v>388</v>
      </c>
      <c r="I12" s="583">
        <f>SUM(I13:I15)</f>
        <v>1600000</v>
      </c>
      <c r="J12" s="583">
        <f>SUM(J13:J15)</f>
        <v>1500000</v>
      </c>
      <c r="K12" s="586">
        <f>SUM(K13:K15)</f>
        <v>-100000</v>
      </c>
    </row>
    <row r="13" spans="2:11" ht="24.95" customHeight="1">
      <c r="B13" s="718"/>
      <c r="C13" s="288" t="s">
        <v>266</v>
      </c>
      <c r="D13" s="206">
        <v>300000</v>
      </c>
      <c r="E13" s="206">
        <v>0</v>
      </c>
      <c r="F13" s="207">
        <f t="shared" ref="F13" si="2">E13-D13</f>
        <v>-300000</v>
      </c>
      <c r="G13" s="718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717"/>
      <c r="C14" s="686" t="s">
        <v>617</v>
      </c>
      <c r="D14" s="206">
        <v>240000</v>
      </c>
      <c r="E14" s="206">
        <v>1600000</v>
      </c>
      <c r="F14" s="207">
        <f t="shared" si="1"/>
        <v>1360000</v>
      </c>
      <c r="G14" s="718"/>
      <c r="H14" s="205" t="s">
        <v>107</v>
      </c>
      <c r="I14" s="206">
        <v>1600000</v>
      </c>
      <c r="J14" s="206">
        <v>0</v>
      </c>
      <c r="K14" s="208">
        <f t="shared" ref="K14:K15" si="4">J14-I14</f>
        <v>-1600000</v>
      </c>
    </row>
    <row r="15" spans="2:11" ht="24.95" customHeight="1">
      <c r="B15" s="716" t="s">
        <v>105</v>
      </c>
      <c r="C15" s="582" t="s">
        <v>388</v>
      </c>
      <c r="D15" s="583">
        <f>SUM(D16:D17)</f>
        <v>1800000</v>
      </c>
      <c r="E15" s="583">
        <f>SUM(E16:E17)</f>
        <v>600000</v>
      </c>
      <c r="F15" s="584">
        <f>SUM(F16:F17)</f>
        <v>-1200000</v>
      </c>
      <c r="G15" s="717"/>
      <c r="H15" s="205" t="s">
        <v>109</v>
      </c>
      <c r="I15" s="206">
        <v>0</v>
      </c>
      <c r="J15" s="206">
        <v>1500000</v>
      </c>
      <c r="K15" s="208">
        <f t="shared" si="4"/>
        <v>1500000</v>
      </c>
    </row>
    <row r="16" spans="2:11" ht="24.95" customHeight="1">
      <c r="B16" s="718"/>
      <c r="C16" s="205" t="s">
        <v>106</v>
      </c>
      <c r="D16" s="206">
        <v>1000000</v>
      </c>
      <c r="E16" s="206">
        <v>0</v>
      </c>
      <c r="F16" s="207">
        <f t="shared" si="1"/>
        <v>-1000000</v>
      </c>
      <c r="G16" s="716" t="s">
        <v>112</v>
      </c>
      <c r="H16" s="582" t="s">
        <v>388</v>
      </c>
      <c r="I16" s="583">
        <f>SUM(I17:I22)</f>
        <v>16738000</v>
      </c>
      <c r="J16" s="583">
        <f>SUM(J17:J22)</f>
        <v>20281000</v>
      </c>
      <c r="K16" s="586">
        <f>SUM(K17:K22)</f>
        <v>3543000</v>
      </c>
    </row>
    <row r="17" spans="2:11" ht="24.95" customHeight="1">
      <c r="B17" s="717"/>
      <c r="C17" s="205" t="s">
        <v>108</v>
      </c>
      <c r="D17" s="206">
        <v>800000</v>
      </c>
      <c r="E17" s="206">
        <v>600000</v>
      </c>
      <c r="F17" s="207">
        <f t="shared" si="1"/>
        <v>-200000</v>
      </c>
      <c r="G17" s="718"/>
      <c r="H17" s="205" t="s">
        <v>113</v>
      </c>
      <c r="I17" s="206">
        <v>10688000</v>
      </c>
      <c r="J17" s="206">
        <v>12018000</v>
      </c>
      <c r="K17" s="208">
        <f t="shared" ref="K17:K22" si="5">J17-I17</f>
        <v>1330000</v>
      </c>
    </row>
    <row r="18" spans="2:11" ht="24.95" customHeight="1">
      <c r="B18" s="716" t="s">
        <v>110</v>
      </c>
      <c r="C18" s="582" t="s">
        <v>388</v>
      </c>
      <c r="D18" s="583">
        <f>D19</f>
        <v>0</v>
      </c>
      <c r="E18" s="583">
        <f>E19</f>
        <v>0</v>
      </c>
      <c r="F18" s="584">
        <f>F19</f>
        <v>0</v>
      </c>
      <c r="G18" s="718"/>
      <c r="H18" s="205" t="s">
        <v>116</v>
      </c>
      <c r="I18" s="206">
        <v>970000</v>
      </c>
      <c r="J18" s="206">
        <v>1382000</v>
      </c>
      <c r="K18" s="208">
        <f t="shared" si="5"/>
        <v>412000</v>
      </c>
    </row>
    <row r="19" spans="2:11" ht="24.95" customHeight="1">
      <c r="B19" s="717"/>
      <c r="C19" s="205" t="s">
        <v>111</v>
      </c>
      <c r="D19" s="206">
        <v>0</v>
      </c>
      <c r="E19" s="206">
        <v>0</v>
      </c>
      <c r="F19" s="207">
        <f t="shared" si="1"/>
        <v>0</v>
      </c>
      <c r="G19" s="718"/>
      <c r="H19" s="205" t="s">
        <v>119</v>
      </c>
      <c r="I19" s="206">
        <v>1200000</v>
      </c>
      <c r="J19" s="206">
        <v>1200000</v>
      </c>
      <c r="K19" s="208">
        <f t="shared" si="5"/>
        <v>0</v>
      </c>
    </row>
    <row r="20" spans="2:11" ht="24.95" customHeight="1">
      <c r="B20" s="716" t="s">
        <v>114</v>
      </c>
      <c r="C20" s="582" t="s">
        <v>388</v>
      </c>
      <c r="D20" s="583">
        <f>D21</f>
        <v>1712000</v>
      </c>
      <c r="E20" s="583">
        <f>E21</f>
        <v>3549000</v>
      </c>
      <c r="F20" s="584">
        <f>F21</f>
        <v>1837000</v>
      </c>
      <c r="G20" s="718"/>
      <c r="H20" s="205" t="s">
        <v>120</v>
      </c>
      <c r="I20" s="206">
        <v>360000</v>
      </c>
      <c r="J20" s="206">
        <v>360000</v>
      </c>
      <c r="K20" s="208">
        <f t="shared" si="5"/>
        <v>0</v>
      </c>
    </row>
    <row r="21" spans="2:11" ht="24.95" customHeight="1">
      <c r="B21" s="717"/>
      <c r="C21" s="205" t="s">
        <v>115</v>
      </c>
      <c r="D21" s="206">
        <v>1712000</v>
      </c>
      <c r="E21" s="206">
        <v>3549000</v>
      </c>
      <c r="F21" s="207">
        <f t="shared" si="1"/>
        <v>1837000</v>
      </c>
      <c r="G21" s="718"/>
      <c r="H21" s="205" t="s">
        <v>121</v>
      </c>
      <c r="I21" s="206">
        <v>99000</v>
      </c>
      <c r="J21" s="206">
        <v>120000</v>
      </c>
      <c r="K21" s="208">
        <f t="shared" si="5"/>
        <v>21000</v>
      </c>
    </row>
    <row r="22" spans="2:11" ht="24.95" customHeight="1">
      <c r="B22" s="716" t="s">
        <v>117</v>
      </c>
      <c r="C22" s="582" t="s">
        <v>388</v>
      </c>
      <c r="D22" s="583">
        <f>D23</f>
        <v>28000</v>
      </c>
      <c r="E22" s="583">
        <f>E23</f>
        <v>29000</v>
      </c>
      <c r="F22" s="584">
        <f>F23</f>
        <v>1000</v>
      </c>
      <c r="G22" s="717"/>
      <c r="H22" s="205" t="s">
        <v>122</v>
      </c>
      <c r="I22" s="206">
        <v>3421000</v>
      </c>
      <c r="J22" s="206">
        <v>5201000</v>
      </c>
      <c r="K22" s="208">
        <f t="shared" si="5"/>
        <v>1780000</v>
      </c>
    </row>
    <row r="23" spans="2:11" ht="24.95" customHeight="1">
      <c r="B23" s="717"/>
      <c r="C23" s="205" t="s">
        <v>118</v>
      </c>
      <c r="D23" s="206">
        <v>28000</v>
      </c>
      <c r="E23" s="206">
        <v>29000</v>
      </c>
      <c r="F23" s="207">
        <f t="shared" si="1"/>
        <v>1000</v>
      </c>
      <c r="G23" s="720" t="s">
        <v>164</v>
      </c>
      <c r="H23" s="582" t="s">
        <v>388</v>
      </c>
      <c r="I23" s="583">
        <f>I24</f>
        <v>11000</v>
      </c>
      <c r="J23" s="583">
        <f>J24</f>
        <v>11000</v>
      </c>
      <c r="K23" s="586">
        <f>K24</f>
        <v>0</v>
      </c>
    </row>
    <row r="24" spans="2:11" ht="24.95" customHeight="1">
      <c r="B24" s="687"/>
      <c r="C24" s="688"/>
      <c r="D24" s="688"/>
      <c r="E24" s="688"/>
      <c r="F24" s="688"/>
      <c r="G24" s="721"/>
      <c r="H24" s="205" t="s">
        <v>123</v>
      </c>
      <c r="I24" s="206">
        <v>11000</v>
      </c>
      <c r="J24" s="206">
        <v>11000</v>
      </c>
      <c r="K24" s="208">
        <f t="shared" ref="K24" si="6">J24-I24</f>
        <v>0</v>
      </c>
    </row>
    <row r="25" spans="2:11" ht="24.95" customHeight="1">
      <c r="B25" s="689"/>
      <c r="C25" s="690"/>
      <c r="D25" s="690"/>
      <c r="E25" s="690"/>
      <c r="F25" s="690"/>
      <c r="G25" s="716" t="s">
        <v>124</v>
      </c>
      <c r="H25" s="582" t="s">
        <v>388</v>
      </c>
      <c r="I25" s="583">
        <f>I26</f>
        <v>0</v>
      </c>
      <c r="J25" s="583">
        <f>J26</f>
        <v>0</v>
      </c>
      <c r="K25" s="586">
        <f>K26</f>
        <v>0</v>
      </c>
    </row>
    <row r="26" spans="2:11" ht="24.95" customHeight="1">
      <c r="B26" s="689"/>
      <c r="C26" s="690"/>
      <c r="D26" s="690"/>
      <c r="E26" s="690"/>
      <c r="F26" s="690"/>
      <c r="G26" s="717"/>
      <c r="H26" s="205" t="s">
        <v>125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89"/>
      <c r="C27" s="690"/>
      <c r="D27" s="690"/>
      <c r="E27" s="690"/>
      <c r="F27" s="690"/>
      <c r="G27" s="716" t="s">
        <v>126</v>
      </c>
      <c r="H27" s="582" t="s">
        <v>388</v>
      </c>
      <c r="I27" s="583">
        <f>I28</f>
        <v>17000</v>
      </c>
      <c r="J27" s="583">
        <f>J28</f>
        <v>18000</v>
      </c>
      <c r="K27" s="586">
        <f>K28</f>
        <v>1000</v>
      </c>
    </row>
    <row r="28" spans="2:11" ht="24.95" customHeight="1" thickBot="1">
      <c r="B28" s="691"/>
      <c r="C28" s="692"/>
      <c r="D28" s="692"/>
      <c r="E28" s="692"/>
      <c r="F28" s="692"/>
      <c r="G28" s="719"/>
      <c r="H28" s="209" t="s">
        <v>127</v>
      </c>
      <c r="I28" s="210">
        <v>17000</v>
      </c>
      <c r="J28" s="210">
        <v>18000</v>
      </c>
      <c r="K28" s="211">
        <f>J28-I28</f>
        <v>1000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4"/>
  <sheetViews>
    <sheetView zoomScale="85" zoomScaleNormal="85" workbookViewId="0">
      <pane xSplit="3" ySplit="4" topLeftCell="D11" activePane="bottomRight" state="frozen"/>
      <selection pane="topRight" activeCell="E1" sqref="E1"/>
      <selection pane="bottomLeft" activeCell="A5" sqref="A5"/>
      <selection pane="bottomRight" activeCell="W71" sqref="W7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24" t="s">
        <v>713</v>
      </c>
      <c r="B1" s="724"/>
      <c r="C1" s="724"/>
      <c r="D1" s="724"/>
      <c r="E1" s="724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25" t="s">
        <v>66</v>
      </c>
      <c r="B2" s="726"/>
      <c r="C2" s="726"/>
      <c r="D2" s="727" t="s">
        <v>462</v>
      </c>
      <c r="E2" s="727" t="s">
        <v>714</v>
      </c>
      <c r="F2" s="731" t="s">
        <v>23</v>
      </c>
      <c r="G2" s="731"/>
      <c r="H2" s="731" t="s">
        <v>55</v>
      </c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2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180</v>
      </c>
      <c r="D3" s="728"/>
      <c r="E3" s="728"/>
      <c r="F3" s="152" t="s">
        <v>134</v>
      </c>
      <c r="G3" s="27" t="s">
        <v>4</v>
      </c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4"/>
      <c r="Y3" s="8"/>
    </row>
    <row r="4" spans="1:25" s="3" customFormat="1" ht="19.5" customHeight="1">
      <c r="A4" s="729" t="s">
        <v>24</v>
      </c>
      <c r="B4" s="730"/>
      <c r="C4" s="730"/>
      <c r="D4" s="230">
        <f>SUM(D5,D7,D9,D11,D27,D37,D44,D52,D75)</f>
        <v>63900</v>
      </c>
      <c r="E4" s="230">
        <f>SUM(E5,E7,E9,E11,E27,E37,E44,E52,E75)</f>
        <v>69683</v>
      </c>
      <c r="F4" s="383">
        <f>SUM(F5,F7,F9,F11,F27,F37,F44,F52,F75)</f>
        <v>5783</v>
      </c>
      <c r="G4" s="231">
        <f t="shared" ref="G4" si="0">IF(D4=0,0,F4/D4)</f>
        <v>9.0500782472613464E-2</v>
      </c>
      <c r="H4" s="28" t="s">
        <v>166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SUM(W5,W7,W9,W11,W27,W37,W44,W52,W75)</f>
        <v>69683000</v>
      </c>
      <c r="X4" s="30" t="s">
        <v>167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132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165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130</v>
      </c>
      <c r="C6" s="47" t="s">
        <v>130</v>
      </c>
      <c r="D6" s="48"/>
      <c r="E6" s="48"/>
      <c r="F6" s="49"/>
      <c r="G6" s="31"/>
      <c r="H6" s="377" t="s">
        <v>275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181</v>
      </c>
      <c r="B7" s="36" t="s">
        <v>183</v>
      </c>
      <c r="C7" s="36" t="s">
        <v>181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185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182</v>
      </c>
      <c r="B8" s="59" t="s">
        <v>184</v>
      </c>
      <c r="C8" s="59" t="s">
        <v>182</v>
      </c>
      <c r="D8" s="48"/>
      <c r="E8" s="48"/>
      <c r="F8" s="49"/>
      <c r="G8" s="31"/>
      <c r="H8" s="53" t="s">
        <v>267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187</v>
      </c>
      <c r="B9" s="36" t="s">
        <v>189</v>
      </c>
      <c r="C9" s="36" t="s">
        <v>187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232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229</v>
      </c>
      <c r="B10" s="59" t="s">
        <v>230</v>
      </c>
      <c r="C10" s="59" t="s">
        <v>230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231</v>
      </c>
    </row>
    <row r="11" spans="1:25" s="11" customFormat="1" ht="19.5" customHeight="1">
      <c r="A11" s="35" t="s">
        <v>186</v>
      </c>
      <c r="B11" s="36" t="s">
        <v>186</v>
      </c>
      <c r="C11" s="645" t="s">
        <v>249</v>
      </c>
      <c r="D11" s="260">
        <f>SUM(D12,D15,D21,D24)</f>
        <v>53160</v>
      </c>
      <c r="E11" s="260">
        <f>SUM(E12,E15,E21,E24)</f>
        <v>58305</v>
      </c>
      <c r="F11" s="261">
        <f t="shared" ref="F11:F12" si="1">E11-D11</f>
        <v>5145</v>
      </c>
      <c r="G11" s="262">
        <f t="shared" ref="G11:G12" si="2">IF(D11=0,0,F11/D11)</f>
        <v>9.6783295711060952E-2</v>
      </c>
      <c r="H11" s="263" t="s">
        <v>250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58305000</v>
      </c>
      <c r="X11" s="278" t="s">
        <v>25</v>
      </c>
      <c r="Y11" s="6"/>
    </row>
    <row r="12" spans="1:25" s="11" customFormat="1" ht="19.5" customHeight="1">
      <c r="A12" s="45" t="s">
        <v>188</v>
      </c>
      <c r="B12" s="46" t="s">
        <v>184</v>
      </c>
      <c r="C12" s="36" t="s">
        <v>190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191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233</v>
      </c>
      <c r="V12" s="246"/>
      <c r="W12" s="247">
        <v>0</v>
      </c>
      <c r="X12" s="279" t="s">
        <v>234</v>
      </c>
      <c r="Y12" s="6"/>
    </row>
    <row r="13" spans="1:25" s="11" customFormat="1" ht="19.5" customHeight="1">
      <c r="A13" s="45"/>
      <c r="B13" s="46"/>
      <c r="C13" s="46" t="s">
        <v>463</v>
      </c>
      <c r="D13" s="650"/>
      <c r="E13" s="650"/>
      <c r="F13" s="651"/>
      <c r="G13" s="652"/>
      <c r="H13" s="653"/>
      <c r="I13" s="654"/>
      <c r="J13" s="655"/>
      <c r="K13" s="655"/>
      <c r="L13" s="655"/>
      <c r="M13" s="655"/>
      <c r="N13" s="655"/>
      <c r="O13" s="656"/>
      <c r="P13" s="656"/>
      <c r="Q13" s="656"/>
      <c r="R13" s="656"/>
      <c r="S13" s="656"/>
      <c r="T13" s="656"/>
      <c r="U13" s="657"/>
      <c r="V13" s="658"/>
      <c r="W13" s="658"/>
      <c r="X13" s="659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6"/>
      <c r="I14" s="448"/>
      <c r="J14" s="528"/>
      <c r="K14" s="528"/>
      <c r="L14" s="447"/>
      <c r="M14" s="447"/>
      <c r="N14" s="529"/>
      <c r="O14" s="447"/>
      <c r="P14" s="530"/>
      <c r="Q14" s="531"/>
      <c r="R14" s="532"/>
      <c r="S14" s="533"/>
      <c r="T14" s="533"/>
      <c r="U14" s="534"/>
      <c r="V14" s="535"/>
      <c r="W14" s="448"/>
      <c r="X14" s="449"/>
      <c r="Y14" s="6"/>
    </row>
    <row r="15" spans="1:25" s="11" customFormat="1" ht="19.5" customHeight="1">
      <c r="A15" s="60"/>
      <c r="B15" s="46"/>
      <c r="C15" s="36" t="s">
        <v>192</v>
      </c>
      <c r="D15" s="227">
        <f>SUM(D16:D20)</f>
        <v>52620</v>
      </c>
      <c r="E15" s="227">
        <f>SUM(E16:E20)</f>
        <v>56705</v>
      </c>
      <c r="F15" s="228">
        <f t="shared" ref="F15" si="3">E15-D15</f>
        <v>4085</v>
      </c>
      <c r="G15" s="229">
        <f t="shared" ref="G15" si="4">IF(D15=0,0,F15/D15)</f>
        <v>7.7632079057392625E-2</v>
      </c>
      <c r="H15" s="215" t="s">
        <v>235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56705000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463</v>
      </c>
      <c r="D16" s="37">
        <v>52620</v>
      </c>
      <c r="E16" s="248">
        <f>ROUND(W16/1000,0)</f>
        <v>56705</v>
      </c>
      <c r="F16" s="38">
        <f t="shared" ref="F16" si="5">E16-D16</f>
        <v>4085</v>
      </c>
      <c r="G16" s="121">
        <f t="shared" ref="G16" si="6">IF(D16=0,0,F16/D16)</f>
        <v>7.7632079057392625E-2</v>
      </c>
      <c r="H16" s="254" t="s">
        <v>238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228</v>
      </c>
      <c r="V16" s="256"/>
      <c r="W16" s="256">
        <f>SUM(W17:W19)</f>
        <v>56705000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9" t="s">
        <v>471</v>
      </c>
      <c r="I17" s="68"/>
      <c r="J17" s="219"/>
      <c r="K17" s="219"/>
      <c r="L17" s="289"/>
      <c r="M17" s="289"/>
      <c r="N17" s="524"/>
      <c r="O17" s="525"/>
      <c r="P17" s="526"/>
      <c r="Q17" s="426"/>
      <c r="R17" s="527"/>
      <c r="S17" s="429"/>
      <c r="T17" s="427"/>
      <c r="U17" s="722"/>
      <c r="V17" s="722"/>
      <c r="W17" s="68">
        <v>54505000</v>
      </c>
      <c r="X17" s="57" t="s">
        <v>236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464</v>
      </c>
      <c r="I18" s="68"/>
      <c r="J18" s="219"/>
      <c r="K18" s="219"/>
      <c r="L18" s="289"/>
      <c r="M18" s="289"/>
      <c r="N18" s="524"/>
      <c r="O18" s="525"/>
      <c r="P18" s="526"/>
      <c r="Q18" s="426"/>
      <c r="R18" s="527"/>
      <c r="S18" s="429"/>
      <c r="T18" s="427"/>
      <c r="U18" s="722"/>
      <c r="V18" s="722"/>
      <c r="W18" s="68">
        <v>1000000</v>
      </c>
      <c r="X18" s="57" t="s">
        <v>236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465</v>
      </c>
      <c r="I19" s="68"/>
      <c r="J19" s="219"/>
      <c r="K19" s="219"/>
      <c r="L19" s="388">
        <v>100000</v>
      </c>
      <c r="M19" s="388" t="s">
        <v>466</v>
      </c>
      <c r="N19" s="389" t="s">
        <v>467</v>
      </c>
      <c r="O19" s="388">
        <v>1</v>
      </c>
      <c r="P19" s="388" t="s">
        <v>468</v>
      </c>
      <c r="Q19" s="389" t="s">
        <v>467</v>
      </c>
      <c r="R19" s="388">
        <v>12</v>
      </c>
      <c r="S19" s="388" t="s">
        <v>469</v>
      </c>
      <c r="T19" s="388" t="s">
        <v>470</v>
      </c>
      <c r="U19" s="388"/>
      <c r="V19" s="68"/>
      <c r="W19" s="68">
        <f>SUM(L19*O19*R19)</f>
        <v>1200000</v>
      </c>
      <c r="X19" s="57" t="s">
        <v>466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194</v>
      </c>
      <c r="D21" s="227">
        <f>SUM(D22:D23)</f>
        <v>300</v>
      </c>
      <c r="E21" s="227">
        <f>W21/1000</f>
        <v>0</v>
      </c>
      <c r="F21" s="228">
        <f t="shared" ref="F21:F22" si="7">E21-D21</f>
        <v>-300</v>
      </c>
      <c r="G21" s="229">
        <f t="shared" ref="G21:G22" si="8">IF(D21=0,0,F21/D21)</f>
        <v>-1</v>
      </c>
      <c r="H21" s="215" t="s">
        <v>195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300</v>
      </c>
      <c r="E22" s="48">
        <f>ROUND(W22/1000,0)</f>
        <v>0</v>
      </c>
      <c r="F22" s="38">
        <f t="shared" si="7"/>
        <v>-300</v>
      </c>
      <c r="G22" s="121">
        <f t="shared" si="8"/>
        <v>-1</v>
      </c>
      <c r="H22" s="294" t="s">
        <v>472</v>
      </c>
      <c r="I22" s="291"/>
      <c r="J22" s="289"/>
      <c r="K22" s="289"/>
      <c r="L22" s="660">
        <v>300000</v>
      </c>
      <c r="M22" s="661" t="s">
        <v>466</v>
      </c>
      <c r="N22" s="661" t="s">
        <v>467</v>
      </c>
      <c r="O22" s="662">
        <v>1</v>
      </c>
      <c r="P22" s="663"/>
      <c r="Q22" s="661"/>
      <c r="R22" s="664"/>
      <c r="S22" s="661"/>
      <c r="T22" s="661" t="s">
        <v>470</v>
      </c>
      <c r="U22" s="289"/>
      <c r="V22" s="292"/>
      <c r="W22" s="289">
        <v>0</v>
      </c>
      <c r="X22" s="396" t="s">
        <v>466</v>
      </c>
      <c r="Y22" s="665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196</v>
      </c>
      <c r="D24" s="227">
        <f>D25</f>
        <v>240</v>
      </c>
      <c r="E24" s="227">
        <f>E25</f>
        <v>1600</v>
      </c>
      <c r="F24" s="228">
        <f t="shared" ref="F24:F25" si="9">E24-D24</f>
        <v>1360</v>
      </c>
      <c r="G24" s="229">
        <f t="shared" ref="G24:G25" si="10">IF(D24=0,0,F24/D24)</f>
        <v>5.666666666666667</v>
      </c>
      <c r="H24" s="215" t="s">
        <v>621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1600000</v>
      </c>
      <c r="X24" s="279" t="s">
        <v>57</v>
      </c>
    </row>
    <row r="25" spans="1:25" ht="21" customHeight="1">
      <c r="A25" s="45"/>
      <c r="B25" s="46"/>
      <c r="C25" s="46" t="s">
        <v>193</v>
      </c>
      <c r="D25" s="48">
        <v>240</v>
      </c>
      <c r="E25" s="48">
        <f>ROUND(W25/1000,0)</f>
        <v>1600</v>
      </c>
      <c r="F25" s="285">
        <f t="shared" si="9"/>
        <v>1360</v>
      </c>
      <c r="G25" s="194">
        <f t="shared" si="10"/>
        <v>5.666666666666667</v>
      </c>
      <c r="H25" s="67" t="s">
        <v>620</v>
      </c>
      <c r="I25" s="233"/>
      <c r="J25" s="232"/>
      <c r="K25" s="232"/>
      <c r="L25" s="388">
        <v>80000</v>
      </c>
      <c r="M25" s="388" t="s">
        <v>57</v>
      </c>
      <c r="N25" s="389" t="s">
        <v>58</v>
      </c>
      <c r="O25" s="388">
        <v>1</v>
      </c>
      <c r="P25" s="388" t="s">
        <v>56</v>
      </c>
      <c r="Q25" s="389" t="s">
        <v>58</v>
      </c>
      <c r="R25" s="388">
        <v>20</v>
      </c>
      <c r="S25" s="388" t="s">
        <v>619</v>
      </c>
      <c r="T25" s="388" t="s">
        <v>53</v>
      </c>
      <c r="U25" s="388"/>
      <c r="V25" s="68"/>
      <c r="W25" s="68">
        <f>SUM(L25*O25*R25)</f>
        <v>1600000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45" t="s">
        <v>251</v>
      </c>
      <c r="D27" s="260">
        <f>SUM(D28,D33)</f>
        <v>1800</v>
      </c>
      <c r="E27" s="260">
        <f>SUM(E28,E33)</f>
        <v>600</v>
      </c>
      <c r="F27" s="261">
        <f t="shared" ref="F27" si="11">E27-D27</f>
        <v>-1200</v>
      </c>
      <c r="G27" s="262">
        <f t="shared" ref="G27" si="12">IF(D27=0,0,F27/D27)</f>
        <v>-0.66666666666666663</v>
      </c>
      <c r="H27" s="263" t="s">
        <v>252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600000</v>
      </c>
      <c r="X27" s="278" t="s">
        <v>25</v>
      </c>
      <c r="Y27" s="6"/>
    </row>
    <row r="28" spans="1:25" ht="21" customHeight="1">
      <c r="A28" s="45" t="s">
        <v>184</v>
      </c>
      <c r="B28" s="46" t="s">
        <v>184</v>
      </c>
      <c r="C28" s="36" t="s">
        <v>197</v>
      </c>
      <c r="D28" s="227">
        <f>D29+D31</f>
        <v>1000</v>
      </c>
      <c r="E28" s="227">
        <f>E29+E31</f>
        <v>0</v>
      </c>
      <c r="F28" s="228">
        <f t="shared" ref="F28:F29" si="13">E28-D28</f>
        <v>-1000</v>
      </c>
      <c r="G28" s="229">
        <v>1</v>
      </c>
      <c r="H28" s="215" t="s">
        <v>257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247</v>
      </c>
      <c r="V28" s="246"/>
      <c r="W28" s="247">
        <f>SUM(W29,W31)</f>
        <v>0</v>
      </c>
      <c r="X28" s="279" t="s">
        <v>246</v>
      </c>
    </row>
    <row r="29" spans="1:25" ht="21" customHeight="1">
      <c r="A29" s="45"/>
      <c r="B29" s="46"/>
      <c r="C29" s="46" t="s">
        <v>198</v>
      </c>
      <c r="D29" s="37">
        <v>1000</v>
      </c>
      <c r="E29" s="48">
        <f>ROUND(W29/1000,0)</f>
        <v>0</v>
      </c>
      <c r="F29" s="285">
        <f t="shared" si="13"/>
        <v>-1000</v>
      </c>
      <c r="G29" s="194">
        <v>1</v>
      </c>
      <c r="H29" s="147" t="s">
        <v>199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23" t="s">
        <v>70</v>
      </c>
      <c r="V29" s="723"/>
      <c r="W29" s="149">
        <f>SUM(W30:W30)</f>
        <v>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473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0</v>
      </c>
      <c r="X30" s="57" t="s">
        <v>67</v>
      </c>
    </row>
    <row r="31" spans="1:25" ht="18" customHeight="1">
      <c r="A31" s="45"/>
      <c r="B31" s="46"/>
      <c r="C31" s="46"/>
      <c r="D31" s="37">
        <v>0</v>
      </c>
      <c r="E31" s="48">
        <f>ROUND(W31/1000,0)</f>
        <v>0</v>
      </c>
      <c r="F31" s="38">
        <f t="shared" ref="F31" si="14">E31-D31</f>
        <v>0</v>
      </c>
      <c r="G31" s="39">
        <f t="shared" ref="G31" si="15">IF(D31=0,0,F31/D31)</f>
        <v>0</v>
      </c>
      <c r="H31" s="147" t="s">
        <v>199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23" t="s">
        <v>70</v>
      </c>
      <c r="V31" s="723"/>
      <c r="W31" s="149">
        <f>W32</f>
        <v>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248</v>
      </c>
      <c r="I32" s="233"/>
      <c r="J32" s="232"/>
      <c r="K32" s="232"/>
      <c r="L32" s="232">
        <v>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0</v>
      </c>
      <c r="X32" s="57" t="s">
        <v>57</v>
      </c>
    </row>
    <row r="33" spans="1:26" ht="18" customHeight="1">
      <c r="A33" s="45"/>
      <c r="B33" s="46"/>
      <c r="C33" s="46" t="s">
        <v>200</v>
      </c>
      <c r="D33" s="227">
        <f>D34</f>
        <v>800</v>
      </c>
      <c r="E33" s="227">
        <f>E34</f>
        <v>600</v>
      </c>
      <c r="F33" s="228">
        <f t="shared" ref="F33:F34" si="16">E33-D33</f>
        <v>-200</v>
      </c>
      <c r="G33" s="229">
        <f t="shared" ref="G33:G34" si="17">IF(D33=0,0,F33/D33)</f>
        <v>-0.25</v>
      </c>
      <c r="H33" s="215" t="s">
        <v>201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600000</v>
      </c>
      <c r="X33" s="279" t="s">
        <v>57</v>
      </c>
    </row>
    <row r="34" spans="1:26" ht="25.5" customHeight="1">
      <c r="A34" s="45"/>
      <c r="B34" s="46"/>
      <c r="C34" s="46" t="s">
        <v>198</v>
      </c>
      <c r="D34" s="48">
        <v>800</v>
      </c>
      <c r="E34" s="48">
        <f>ROUND(W34/1000,0)</f>
        <v>600</v>
      </c>
      <c r="F34" s="285">
        <f t="shared" si="16"/>
        <v>-200</v>
      </c>
      <c r="G34" s="194">
        <f t="shared" si="17"/>
        <v>-0.25</v>
      </c>
      <c r="H34" s="147" t="s">
        <v>391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23" t="s">
        <v>70</v>
      </c>
      <c r="V34" s="723"/>
      <c r="W34" s="149">
        <f>SUM(W35:W35)</f>
        <v>600000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89"/>
      <c r="J35" s="388"/>
      <c r="K35" s="388"/>
      <c r="L35" s="660">
        <v>50000</v>
      </c>
      <c r="M35" s="661" t="s">
        <v>57</v>
      </c>
      <c r="N35" s="661" t="s">
        <v>58</v>
      </c>
      <c r="O35" s="388">
        <v>12</v>
      </c>
      <c r="P35" s="388" t="s">
        <v>715</v>
      </c>
      <c r="Q35" s="661"/>
      <c r="R35" s="664"/>
      <c r="S35" s="661"/>
      <c r="T35" s="661" t="s">
        <v>53</v>
      </c>
      <c r="U35" s="289"/>
      <c r="V35" s="292"/>
      <c r="W35" s="289">
        <f>L35*O35</f>
        <v>600000</v>
      </c>
      <c r="X35" s="396" t="s">
        <v>57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202</v>
      </c>
      <c r="B37" s="36" t="s">
        <v>202</v>
      </c>
      <c r="C37" s="645" t="s">
        <v>251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253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203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205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204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205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23" t="s">
        <v>70</v>
      </c>
      <c r="V39" s="723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202</v>
      </c>
      <c r="D40" s="48"/>
      <c r="E40" s="48"/>
      <c r="F40" s="49"/>
      <c r="G40" s="31"/>
      <c r="H40" s="67" t="s">
        <v>206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196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207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202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208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45" t="s">
        <v>251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254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209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258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247</v>
      </c>
      <c r="V45" s="246"/>
      <c r="W45" s="247">
        <f>SUM(W46:W46)</f>
        <v>0</v>
      </c>
      <c r="X45" s="279" t="s">
        <v>246</v>
      </c>
      <c r="Y45" s="23"/>
      <c r="Z45" s="24"/>
    </row>
    <row r="46" spans="1:26" ht="21" customHeight="1">
      <c r="A46" s="45"/>
      <c r="B46" s="46"/>
      <c r="C46" s="46" t="s">
        <v>210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213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23" t="s">
        <v>70</v>
      </c>
      <c r="V46" s="723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239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240</v>
      </c>
      <c r="Y47" s="23"/>
      <c r="Z47" s="24"/>
    </row>
    <row r="48" spans="1:26" ht="21" customHeight="1">
      <c r="A48" s="45"/>
      <c r="B48" s="46"/>
      <c r="C48" s="36" t="s">
        <v>211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259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247</v>
      </c>
      <c r="V48" s="246"/>
      <c r="W48" s="246">
        <f>SUM(W49:W49)</f>
        <v>0</v>
      </c>
      <c r="X48" s="279" t="s">
        <v>246</v>
      </c>
      <c r="Y48" s="23"/>
      <c r="Z48" s="24"/>
    </row>
    <row r="49" spans="1:26" ht="21" customHeight="1">
      <c r="A49" s="45"/>
      <c r="B49" s="46"/>
      <c r="C49" s="46" t="s">
        <v>210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214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23" t="s">
        <v>70</v>
      </c>
      <c r="V49" s="723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474</v>
      </c>
      <c r="D50" s="48"/>
      <c r="E50" s="48"/>
      <c r="F50" s="49"/>
      <c r="G50" s="31"/>
      <c r="H50" s="71"/>
      <c r="I50" s="522"/>
      <c r="J50" s="388"/>
      <c r="K50" s="388"/>
      <c r="L50" s="388"/>
      <c r="M50" s="644"/>
      <c r="N50" s="74"/>
      <c r="O50" s="69"/>
      <c r="P50" s="74"/>
      <c r="Q50" s="79"/>
      <c r="R50" s="76"/>
      <c r="S50" s="76"/>
      <c r="T50" s="644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45" t="s">
        <v>251</v>
      </c>
      <c r="D52" s="260">
        <f>SUM(D53,D68,D72)</f>
        <v>1712</v>
      </c>
      <c r="E52" s="260">
        <f>SUM(E53,E68,E72)</f>
        <v>3549</v>
      </c>
      <c r="F52" s="261">
        <f t="shared" ref="F52:F54" si="26">E52-D52</f>
        <v>1837</v>
      </c>
      <c r="G52" s="262">
        <f t="shared" ref="G52:G54" si="27">IF(D52=0,0,F52/D52)</f>
        <v>1.0730140186915889</v>
      </c>
      <c r="H52" s="263" t="s">
        <v>255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SUM(W53,W68,W72)</f>
        <v>3549000</v>
      </c>
      <c r="X52" s="278" t="s">
        <v>25</v>
      </c>
    </row>
    <row r="53" spans="1:26" ht="21" customHeight="1">
      <c r="A53" s="45"/>
      <c r="B53" s="46"/>
      <c r="C53" s="36" t="s">
        <v>215</v>
      </c>
      <c r="D53" s="227">
        <f>SUM(D54,D57,D60,D64)</f>
        <v>825</v>
      </c>
      <c r="E53" s="227">
        <f>SUM(E54,E57,E60,E64)</f>
        <v>2549</v>
      </c>
      <c r="F53" s="228">
        <f t="shared" si="26"/>
        <v>1724</v>
      </c>
      <c r="G53" s="229">
        <f t="shared" si="27"/>
        <v>2.0896969696969698</v>
      </c>
      <c r="H53" s="215" t="s">
        <v>260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247</v>
      </c>
      <c r="V53" s="246"/>
      <c r="W53" s="247">
        <f>SUM(W54,W57,W60,W64)</f>
        <v>2549000</v>
      </c>
      <c r="X53" s="279" t="s">
        <v>246</v>
      </c>
    </row>
    <row r="54" spans="1:26" ht="21" customHeight="1">
      <c r="A54" s="45"/>
      <c r="B54" s="46"/>
      <c r="C54" s="46" t="s">
        <v>216</v>
      </c>
      <c r="D54" s="37">
        <v>776</v>
      </c>
      <c r="E54" s="48">
        <f>ROUND(W54/1000,0)</f>
        <v>2500</v>
      </c>
      <c r="F54" s="38">
        <f t="shared" si="26"/>
        <v>1724</v>
      </c>
      <c r="G54" s="39">
        <f t="shared" si="27"/>
        <v>2.2216494845360826</v>
      </c>
      <c r="H54" s="147" t="s">
        <v>241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23" t="s">
        <v>70</v>
      </c>
      <c r="V54" s="723"/>
      <c r="W54" s="149">
        <f>ROUNDUP(SUM(V55:W56),-3)</f>
        <v>2500000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78" t="s">
        <v>276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2500000</v>
      </c>
      <c r="X55" s="57" t="s">
        <v>240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79" t="s">
        <v>277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0</v>
      </c>
      <c r="X56" s="73" t="s">
        <v>240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242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23" t="s">
        <v>70</v>
      </c>
      <c r="V57" s="723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78" t="s">
        <v>278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240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0</v>
      </c>
      <c r="E60" s="37">
        <f>ROUND(W60/1000,0)</f>
        <v>0</v>
      </c>
      <c r="F60" s="38">
        <f t="shared" ref="F60" si="30">E60-D60</f>
        <v>0</v>
      </c>
      <c r="G60" s="39">
        <f t="shared" ref="G60" si="31">IF(D60=0,0,F60/D60)</f>
        <v>0</v>
      </c>
      <c r="H60" s="147" t="s">
        <v>243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23" t="s">
        <v>70</v>
      </c>
      <c r="V60" s="723"/>
      <c r="W60" s="149">
        <f>ROUNDDOWN(SUM(V61:W62),-2)</f>
        <v>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78" t="s">
        <v>279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57</v>
      </c>
      <c r="X61" s="57" t="s">
        <v>240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8" t="s">
        <v>280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0</v>
      </c>
      <c r="X62" s="57" t="s">
        <v>240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49</v>
      </c>
      <c r="E64" s="37">
        <f>ROUND(W64/1000,0)</f>
        <v>49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244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23" t="s">
        <v>70</v>
      </c>
      <c r="V64" s="723"/>
      <c r="W64" s="149">
        <f>ROUND(SUM(V65:W66),-3)</f>
        <v>49000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78" t="s">
        <v>281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48946</v>
      </c>
      <c r="X65" s="57" t="s">
        <v>240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8" t="s">
        <v>282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240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215</v>
      </c>
      <c r="D68" s="227">
        <f>D69</f>
        <v>887</v>
      </c>
      <c r="E68" s="227">
        <f>E69</f>
        <v>1000</v>
      </c>
      <c r="F68" s="228">
        <f t="shared" ref="F68:F69" si="34">E68-D68</f>
        <v>113</v>
      </c>
      <c r="G68" s="229">
        <f t="shared" ref="G68:G69" si="35">IF(D68=0,0,F68/D68)</f>
        <v>0.1273957158962796</v>
      </c>
      <c r="H68" s="215" t="s">
        <v>217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1000000</v>
      </c>
      <c r="X68" s="279" t="s">
        <v>57</v>
      </c>
    </row>
    <row r="69" spans="1:46" ht="21" customHeight="1">
      <c r="A69" s="45"/>
      <c r="B69" s="46"/>
      <c r="C69" s="46" t="s">
        <v>216</v>
      </c>
      <c r="D69" s="48">
        <v>887</v>
      </c>
      <c r="E69" s="48">
        <f>ROUND(W69/1000,0)</f>
        <v>1000</v>
      </c>
      <c r="F69" s="38">
        <f t="shared" si="34"/>
        <v>113</v>
      </c>
      <c r="G69" s="39">
        <f t="shared" si="35"/>
        <v>0.1273957158962796</v>
      </c>
      <c r="H69" s="380" t="s">
        <v>283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23"/>
      <c r="V69" s="723"/>
      <c r="W69" s="149">
        <f>ROUNDUP(SUM(V70:W70),-3)</f>
        <v>1000000</v>
      </c>
      <c r="X69" s="150" t="s">
        <v>57</v>
      </c>
    </row>
    <row r="70" spans="1:46" ht="21" customHeight="1">
      <c r="A70" s="45"/>
      <c r="B70" s="46"/>
      <c r="C70" s="46" t="s">
        <v>212</v>
      </c>
      <c r="D70" s="48"/>
      <c r="E70" s="48"/>
      <c r="F70" s="49"/>
      <c r="G70" s="70"/>
      <c r="H70" s="378" t="s">
        <v>284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1000000</v>
      </c>
      <c r="X70" s="57" t="s">
        <v>139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67"/>
      <c r="I71" s="233"/>
      <c r="J71" s="232"/>
      <c r="K71" s="232"/>
      <c r="L71" s="232"/>
      <c r="M71" s="232"/>
      <c r="N71" s="232"/>
      <c r="O71" s="232"/>
      <c r="P71" s="54"/>
      <c r="Q71" s="54"/>
      <c r="R71" s="54"/>
      <c r="S71" s="232"/>
      <c r="T71" s="232"/>
      <c r="U71" s="232"/>
      <c r="V71" s="68"/>
      <c r="W71" s="68"/>
      <c r="X71" s="57"/>
    </row>
    <row r="72" spans="1:46" ht="21" customHeight="1">
      <c r="A72" s="45"/>
      <c r="B72" s="46"/>
      <c r="C72" s="36" t="s">
        <v>218</v>
      </c>
      <c r="D72" s="227">
        <f>D73</f>
        <v>0</v>
      </c>
      <c r="E72" s="227">
        <f>E73</f>
        <v>0</v>
      </c>
      <c r="F72" s="228">
        <f t="shared" ref="F72:F73" si="36">E72-D72</f>
        <v>0</v>
      </c>
      <c r="G72" s="229">
        <f t="shared" ref="G72:G73" si="37">IF(D72=0,0,F72/D72)</f>
        <v>0</v>
      </c>
      <c r="H72" s="215" t="s">
        <v>220</v>
      </c>
      <c r="I72" s="216"/>
      <c r="J72" s="217"/>
      <c r="K72" s="217"/>
      <c r="L72" s="217"/>
      <c r="M72" s="217"/>
      <c r="N72" s="217"/>
      <c r="O72" s="218"/>
      <c r="P72" s="218"/>
      <c r="Q72" s="218"/>
      <c r="R72" s="218"/>
      <c r="S72" s="218"/>
      <c r="T72" s="218"/>
      <c r="U72" s="245" t="s">
        <v>70</v>
      </c>
      <c r="V72" s="246"/>
      <c r="W72" s="246">
        <f>ROUND(SUM(V73:W74),-3)</f>
        <v>0</v>
      </c>
      <c r="X72" s="279" t="s">
        <v>57</v>
      </c>
    </row>
    <row r="73" spans="1:46" ht="21" customHeight="1">
      <c r="A73" s="45"/>
      <c r="B73" s="46"/>
      <c r="C73" s="46" t="s">
        <v>219</v>
      </c>
      <c r="D73" s="48">
        <v>0</v>
      </c>
      <c r="E73" s="48">
        <f>ROUND(W73/1000,0)</f>
        <v>0</v>
      </c>
      <c r="F73" s="38">
        <f t="shared" si="36"/>
        <v>0</v>
      </c>
      <c r="G73" s="39">
        <f t="shared" si="37"/>
        <v>0</v>
      </c>
      <c r="H73" s="67"/>
      <c r="I73" s="233"/>
      <c r="J73" s="232"/>
      <c r="K73" s="232"/>
      <c r="L73" s="232"/>
      <c r="M73" s="258"/>
      <c r="N73" s="74"/>
      <c r="O73" s="69"/>
      <c r="P73" s="74"/>
      <c r="Q73" s="79"/>
      <c r="R73" s="76"/>
      <c r="S73" s="76"/>
      <c r="T73" s="258"/>
      <c r="U73" s="232"/>
      <c r="V73" s="68"/>
      <c r="W73" s="68">
        <f>L73*O73</f>
        <v>0</v>
      </c>
      <c r="X73" s="57" t="s">
        <v>57</v>
      </c>
    </row>
    <row r="74" spans="1:46" ht="21" customHeight="1">
      <c r="A74" s="58"/>
      <c r="B74" s="59"/>
      <c r="C74" s="59"/>
      <c r="D74" s="61"/>
      <c r="E74" s="61"/>
      <c r="F74" s="62"/>
      <c r="G74" s="84"/>
      <c r="H74" s="71"/>
      <c r="I74" s="235"/>
      <c r="J74" s="234"/>
      <c r="K74" s="234"/>
      <c r="L74" s="234"/>
      <c r="M74" s="234"/>
      <c r="N74" s="234"/>
      <c r="O74" s="234"/>
      <c r="P74" s="131"/>
      <c r="Q74" s="131"/>
      <c r="R74" s="131"/>
      <c r="S74" s="234"/>
      <c r="T74" s="234"/>
      <c r="U74" s="234"/>
      <c r="V74" s="72"/>
      <c r="W74" s="72">
        <v>0</v>
      </c>
      <c r="X74" s="73" t="s">
        <v>57</v>
      </c>
    </row>
    <row r="75" spans="1:46" ht="21" customHeight="1">
      <c r="A75" s="45" t="s">
        <v>76</v>
      </c>
      <c r="B75" s="87" t="s">
        <v>16</v>
      </c>
      <c r="C75" s="645" t="s">
        <v>251</v>
      </c>
      <c r="D75" s="260">
        <f>SUM(D76,D79,D86)</f>
        <v>28</v>
      </c>
      <c r="E75" s="260">
        <f>SUM(E76,E79,E86)</f>
        <v>29</v>
      </c>
      <c r="F75" s="261">
        <f t="shared" ref="F75:F77" si="38">E75-D75</f>
        <v>1</v>
      </c>
      <c r="G75" s="262">
        <f t="shared" ref="G75:G77" si="39">IF(D75=0,0,F75/D75)</f>
        <v>3.5714285714285712E-2</v>
      </c>
      <c r="H75" s="263" t="s">
        <v>256</v>
      </c>
      <c r="I75" s="264"/>
      <c r="J75" s="265"/>
      <c r="K75" s="265"/>
      <c r="L75" s="264"/>
      <c r="M75" s="264"/>
      <c r="N75" s="264"/>
      <c r="O75" s="264"/>
      <c r="P75" s="264" t="s">
        <v>68</v>
      </c>
      <c r="Q75" s="266"/>
      <c r="R75" s="266"/>
      <c r="S75" s="266"/>
      <c r="T75" s="266"/>
      <c r="U75" s="266"/>
      <c r="V75" s="266"/>
      <c r="W75" s="276">
        <f>SUM(W76,W79,W86)</f>
        <v>29000</v>
      </c>
      <c r="X75" s="282" t="s">
        <v>246</v>
      </c>
    </row>
    <row r="76" spans="1:46" s="4" customFormat="1" ht="21" customHeight="1">
      <c r="A76" s="45"/>
      <c r="B76" s="96"/>
      <c r="C76" s="36" t="s">
        <v>221</v>
      </c>
      <c r="D76" s="227">
        <f>D77</f>
        <v>0</v>
      </c>
      <c r="E76" s="227">
        <f>E77</f>
        <v>0</v>
      </c>
      <c r="F76" s="228">
        <f t="shared" si="38"/>
        <v>0</v>
      </c>
      <c r="G76" s="229">
        <f t="shared" si="39"/>
        <v>0</v>
      </c>
      <c r="H76" s="215" t="s">
        <v>226</v>
      </c>
      <c r="I76" s="216"/>
      <c r="J76" s="217"/>
      <c r="K76" s="217"/>
      <c r="L76" s="217"/>
      <c r="M76" s="217"/>
      <c r="N76" s="217"/>
      <c r="O76" s="218"/>
      <c r="P76" s="218"/>
      <c r="Q76" s="218"/>
      <c r="R76" s="218"/>
      <c r="S76" s="218"/>
      <c r="T76" s="218"/>
      <c r="U76" s="245" t="s">
        <v>70</v>
      </c>
      <c r="V76" s="246"/>
      <c r="W76" s="247">
        <f>SUM(W77:W77)</f>
        <v>0</v>
      </c>
      <c r="X76" s="279" t="s">
        <v>57</v>
      </c>
      <c r="Y76" s="268"/>
      <c r="Z76" s="269"/>
      <c r="AA76" s="269"/>
      <c r="AB76" s="270"/>
      <c r="AC76" s="271"/>
      <c r="AD76" s="272"/>
      <c r="AE76" s="273"/>
      <c r="AF76" s="274"/>
      <c r="AG76" s="274"/>
      <c r="AH76" s="273"/>
      <c r="AI76" s="273"/>
      <c r="AJ76" s="273"/>
      <c r="AK76" s="273"/>
      <c r="AL76" s="273"/>
      <c r="AM76" s="272"/>
      <c r="AN76" s="272"/>
      <c r="AO76" s="272"/>
      <c r="AP76" s="272"/>
      <c r="AQ76" s="272"/>
      <c r="AR76" s="272"/>
      <c r="AS76" s="275"/>
      <c r="AT76" s="273"/>
    </row>
    <row r="77" spans="1:46" ht="21" customHeight="1">
      <c r="A77" s="60"/>
      <c r="B77" s="98"/>
      <c r="C77" s="46" t="s">
        <v>222</v>
      </c>
      <c r="D77" s="37">
        <v>0</v>
      </c>
      <c r="E77" s="48">
        <f>ROUND(W77/1000,0)</f>
        <v>0</v>
      </c>
      <c r="F77" s="38">
        <f t="shared" si="38"/>
        <v>0</v>
      </c>
      <c r="G77" s="39">
        <f t="shared" si="39"/>
        <v>0</v>
      </c>
      <c r="H77" s="147" t="s">
        <v>226</v>
      </c>
      <c r="I77" s="16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723" t="s">
        <v>70</v>
      </c>
      <c r="V77" s="723"/>
      <c r="W77" s="149">
        <f>SUM(W78:W78)</f>
        <v>0</v>
      </c>
      <c r="X77" s="150" t="s">
        <v>57</v>
      </c>
    </row>
    <row r="78" spans="1:46" s="11" customFormat="1" ht="19.5" customHeight="1">
      <c r="A78" s="60"/>
      <c r="B78" s="90"/>
      <c r="C78" s="46"/>
      <c r="D78" s="48"/>
      <c r="E78" s="48"/>
      <c r="F78" s="49"/>
      <c r="G78" s="31"/>
      <c r="H78" s="67"/>
      <c r="I78" s="233"/>
      <c r="J78" s="232"/>
      <c r="K78" s="232"/>
      <c r="L78" s="232"/>
      <c r="M78" s="258"/>
      <c r="N78" s="74"/>
      <c r="O78" s="69"/>
      <c r="P78" s="74"/>
      <c r="Q78" s="79"/>
      <c r="R78" s="76"/>
      <c r="S78" s="76"/>
      <c r="T78" s="258"/>
      <c r="U78" s="232"/>
      <c r="V78" s="68"/>
      <c r="W78" s="68">
        <f>L78*O78</f>
        <v>0</v>
      </c>
      <c r="X78" s="57" t="s">
        <v>57</v>
      </c>
      <c r="Y78" s="6"/>
    </row>
    <row r="79" spans="1:46" s="11" customFormat="1" ht="19.5" customHeight="1">
      <c r="A79" s="60"/>
      <c r="B79" s="90"/>
      <c r="C79" s="36" t="s">
        <v>223</v>
      </c>
      <c r="D79" s="227">
        <f>D80</f>
        <v>14</v>
      </c>
      <c r="E79" s="227">
        <f>E80</f>
        <v>15</v>
      </c>
      <c r="F79" s="228">
        <f t="shared" ref="F79:F80" si="40">E79-D79</f>
        <v>1</v>
      </c>
      <c r="G79" s="229">
        <f t="shared" ref="G79:G80" si="41">IF(D79=0,0,F79/D79)</f>
        <v>7.1428571428571425E-2</v>
      </c>
      <c r="H79" s="215" t="s">
        <v>227</v>
      </c>
      <c r="I79" s="216"/>
      <c r="J79" s="217"/>
      <c r="K79" s="217"/>
      <c r="L79" s="217"/>
      <c r="M79" s="217"/>
      <c r="N79" s="217"/>
      <c r="O79" s="218"/>
      <c r="P79" s="218"/>
      <c r="Q79" s="218"/>
      <c r="R79" s="218"/>
      <c r="S79" s="218"/>
      <c r="T79" s="218"/>
      <c r="U79" s="245" t="s">
        <v>70</v>
      </c>
      <c r="V79" s="246"/>
      <c r="W79" s="246">
        <f>SUM(W80:W80)</f>
        <v>15000</v>
      </c>
      <c r="X79" s="279" t="s">
        <v>57</v>
      </c>
      <c r="Y79" s="6"/>
    </row>
    <row r="80" spans="1:46" s="11" customFormat="1" ht="19.5" customHeight="1">
      <c r="A80" s="60"/>
      <c r="B80" s="90"/>
      <c r="C80" s="46" t="s">
        <v>224</v>
      </c>
      <c r="D80" s="48">
        <v>14</v>
      </c>
      <c r="E80" s="48">
        <f>ROUND(W80/1000,0)</f>
        <v>15</v>
      </c>
      <c r="F80" s="38">
        <f t="shared" si="40"/>
        <v>1</v>
      </c>
      <c r="G80" s="39">
        <f t="shared" si="41"/>
        <v>7.1428571428571425E-2</v>
      </c>
      <c r="H80" s="666" t="s">
        <v>478</v>
      </c>
      <c r="I80" s="187"/>
      <c r="J80" s="186"/>
      <c r="K80" s="186"/>
      <c r="L80" s="186"/>
      <c r="M80" s="186"/>
      <c r="N80" s="186"/>
      <c r="O80" s="186"/>
      <c r="P80" s="186" t="s">
        <v>476</v>
      </c>
      <c r="Q80" s="186"/>
      <c r="R80" s="186"/>
      <c r="S80" s="186"/>
      <c r="T80" s="186"/>
      <c r="U80" s="723" t="s">
        <v>70</v>
      </c>
      <c r="V80" s="723"/>
      <c r="W80" s="149">
        <f>SUM(W81:W84)</f>
        <v>15000</v>
      </c>
      <c r="X80" s="150" t="s">
        <v>57</v>
      </c>
      <c r="Y80" s="6"/>
    </row>
    <row r="81" spans="1:25" s="11" customFormat="1" ht="19.5" customHeight="1">
      <c r="A81" s="60"/>
      <c r="B81" s="90"/>
      <c r="C81" s="46" t="s">
        <v>184</v>
      </c>
      <c r="D81" s="48"/>
      <c r="E81" s="48"/>
      <c r="F81" s="49"/>
      <c r="G81" s="70"/>
      <c r="H81" s="631" t="s">
        <v>479</v>
      </c>
      <c r="I81" s="389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68"/>
      <c r="W81" s="68">
        <v>8000</v>
      </c>
      <c r="X81" s="57" t="s">
        <v>25</v>
      </c>
      <c r="Y81" s="6"/>
    </row>
    <row r="82" spans="1:25" s="11" customFormat="1" ht="19.5" customHeight="1">
      <c r="A82" s="60"/>
      <c r="B82" s="90"/>
      <c r="C82" s="46"/>
      <c r="D82" s="48"/>
      <c r="E82" s="48"/>
      <c r="F82" s="49"/>
      <c r="G82" s="70"/>
      <c r="H82" s="67" t="s">
        <v>702</v>
      </c>
      <c r="I82" s="389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68"/>
      <c r="W82" s="68">
        <v>3000</v>
      </c>
      <c r="X82" s="57" t="s">
        <v>698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703</v>
      </c>
      <c r="I83" s="389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68"/>
      <c r="W83" s="68">
        <v>1000</v>
      </c>
      <c r="X83" s="57" t="s">
        <v>25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704</v>
      </c>
      <c r="I84" s="388"/>
      <c r="J84" s="388"/>
      <c r="K84" s="388"/>
      <c r="L84" s="388"/>
      <c r="M84" s="388"/>
      <c r="N84" s="388"/>
      <c r="O84" s="388"/>
      <c r="P84" s="722"/>
      <c r="Q84" s="722"/>
      <c r="R84" s="388"/>
      <c r="S84" s="388"/>
      <c r="T84" s="388"/>
      <c r="U84" s="388"/>
      <c r="V84" s="388"/>
      <c r="W84" s="388">
        <v>3000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/>
      <c r="I85" s="233"/>
      <c r="J85" s="232"/>
      <c r="K85" s="232"/>
      <c r="L85" s="232"/>
      <c r="M85" s="232"/>
      <c r="N85" s="232"/>
      <c r="O85" s="232"/>
      <c r="P85" s="54"/>
      <c r="Q85" s="54"/>
      <c r="R85" s="54"/>
      <c r="S85" s="232"/>
      <c r="T85" s="232"/>
      <c r="U85" s="232"/>
      <c r="V85" s="68"/>
      <c r="W85" s="68"/>
      <c r="X85" s="57"/>
      <c r="Y85" s="6"/>
    </row>
    <row r="86" spans="1:25" s="11" customFormat="1" ht="19.5" customHeight="1">
      <c r="A86" s="60"/>
      <c r="B86" s="90"/>
      <c r="C86" s="36" t="s">
        <v>196</v>
      </c>
      <c r="D86" s="227">
        <f>D87</f>
        <v>14</v>
      </c>
      <c r="E86" s="227">
        <f>E87</f>
        <v>14</v>
      </c>
      <c r="F86" s="228">
        <f t="shared" ref="F86:F87" si="42">E86-D86</f>
        <v>0</v>
      </c>
      <c r="G86" s="229">
        <f t="shared" ref="G86:G87" si="43">IF(D86=0,0,F86/D86)</f>
        <v>0</v>
      </c>
      <c r="H86" s="215" t="s">
        <v>245</v>
      </c>
      <c r="I86" s="216"/>
      <c r="J86" s="217"/>
      <c r="K86" s="217"/>
      <c r="L86" s="217"/>
      <c r="M86" s="217"/>
      <c r="N86" s="217"/>
      <c r="O86" s="218"/>
      <c r="P86" s="218"/>
      <c r="Q86" s="218"/>
      <c r="R86" s="218"/>
      <c r="S86" s="218"/>
      <c r="T86" s="218"/>
      <c r="U86" s="245" t="s">
        <v>247</v>
      </c>
      <c r="V86" s="246"/>
      <c r="W86" s="246">
        <f>SUM(W87:W87)</f>
        <v>14000</v>
      </c>
      <c r="X86" s="279" t="s">
        <v>246</v>
      </c>
      <c r="Y86" s="6"/>
    </row>
    <row r="87" spans="1:25" s="11" customFormat="1" ht="19.5" customHeight="1">
      <c r="A87" s="60"/>
      <c r="B87" s="90"/>
      <c r="C87" s="46" t="s">
        <v>225</v>
      </c>
      <c r="D87" s="48">
        <v>14</v>
      </c>
      <c r="E87" s="48">
        <f>ROUND(W87/1000,0)</f>
        <v>14</v>
      </c>
      <c r="F87" s="38">
        <f t="shared" si="42"/>
        <v>0</v>
      </c>
      <c r="G87" s="39">
        <f t="shared" si="43"/>
        <v>0</v>
      </c>
      <c r="H87" s="97" t="s">
        <v>475</v>
      </c>
      <c r="I87" s="191"/>
      <c r="J87" s="190"/>
      <c r="K87" s="190"/>
      <c r="L87" s="190"/>
      <c r="M87" s="190"/>
      <c r="N87" s="190"/>
      <c r="O87" s="190"/>
      <c r="P87" s="190" t="s">
        <v>476</v>
      </c>
      <c r="Q87" s="190"/>
      <c r="R87" s="190"/>
      <c r="S87" s="190"/>
      <c r="T87" s="190"/>
      <c r="U87" s="723" t="s">
        <v>70</v>
      </c>
      <c r="V87" s="723"/>
      <c r="W87" s="149">
        <f>SUM(W88:W91)</f>
        <v>14000</v>
      </c>
      <c r="X87" s="150" t="s">
        <v>57</v>
      </c>
      <c r="Y87" s="6"/>
    </row>
    <row r="88" spans="1:25" s="11" customFormat="1" ht="19.5" customHeight="1">
      <c r="A88" s="60"/>
      <c r="B88" s="90"/>
      <c r="C88" s="46"/>
      <c r="D88" s="48"/>
      <c r="E88" s="48"/>
      <c r="F88" s="49"/>
      <c r="G88" s="31"/>
      <c r="H88" s="631" t="s">
        <v>477</v>
      </c>
      <c r="I88" s="389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68"/>
      <c r="W88" s="68">
        <v>3000</v>
      </c>
      <c r="X88" s="57" t="s">
        <v>25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31"/>
      <c r="H89" s="67" t="s">
        <v>705</v>
      </c>
      <c r="I89" s="389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68"/>
      <c r="W89" s="68">
        <v>9000</v>
      </c>
      <c r="X89" s="57" t="s">
        <v>698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7" t="s">
        <v>707</v>
      </c>
      <c r="I90" s="389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68"/>
      <c r="W90" s="68">
        <v>1000</v>
      </c>
      <c r="X90" s="57" t="s">
        <v>25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706</v>
      </c>
      <c r="I91" s="388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>
        <v>1000</v>
      </c>
      <c r="X91" s="57" t="s">
        <v>25</v>
      </c>
      <c r="Y91" s="6"/>
    </row>
    <row r="92" spans="1:25" s="11" customFormat="1" ht="19.5" customHeight="1" thickBot="1">
      <c r="A92" s="100"/>
      <c r="B92" s="101"/>
      <c r="C92" s="101"/>
      <c r="D92" s="103"/>
      <c r="E92" s="103"/>
      <c r="F92" s="104"/>
      <c r="G92" s="105"/>
      <c r="H92" s="63"/>
      <c r="I92" s="65"/>
      <c r="J92" s="65"/>
      <c r="K92" s="65"/>
      <c r="L92" s="65"/>
      <c r="M92" s="65"/>
      <c r="N92" s="64"/>
      <c r="O92" s="65"/>
      <c r="P92" s="64"/>
      <c r="Q92" s="64"/>
      <c r="R92" s="65"/>
      <c r="S92" s="65"/>
      <c r="T92" s="106"/>
      <c r="U92" s="106"/>
      <c r="V92" s="64"/>
      <c r="W92" s="65"/>
      <c r="X92" s="66"/>
      <c r="Y92" s="6"/>
    </row>
    <row r="93" spans="1:25" s="11" customFormat="1" ht="19.5" customHeight="1">
      <c r="A93" s="7"/>
      <c r="B93" s="7"/>
      <c r="C93" s="7"/>
      <c r="D93" s="9"/>
      <c r="E93" s="9"/>
      <c r="F93" s="10"/>
      <c r="G93" s="1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6"/>
    </row>
    <row r="104" spans="25:25" ht="19.5" customHeight="1">
      <c r="Y104" s="6" t="s">
        <v>65</v>
      </c>
    </row>
  </sheetData>
  <mergeCells count="24">
    <mergeCell ref="U80:V80"/>
    <mergeCell ref="U34:V34"/>
    <mergeCell ref="U31:V31"/>
    <mergeCell ref="U49:V49"/>
    <mergeCell ref="U57:V57"/>
    <mergeCell ref="U69:V69"/>
    <mergeCell ref="U60:V60"/>
    <mergeCell ref="U64:V64"/>
    <mergeCell ref="P84:Q84"/>
    <mergeCell ref="U87:V87"/>
    <mergeCell ref="A1:E1"/>
    <mergeCell ref="U17:V17"/>
    <mergeCell ref="U18:V18"/>
    <mergeCell ref="A2:C2"/>
    <mergeCell ref="D2:D3"/>
    <mergeCell ref="A4:C4"/>
    <mergeCell ref="U54:V54"/>
    <mergeCell ref="U77:V77"/>
    <mergeCell ref="E2:E3"/>
    <mergeCell ref="U39:V39"/>
    <mergeCell ref="F2:G2"/>
    <mergeCell ref="H2:X3"/>
    <mergeCell ref="U29:V29"/>
    <mergeCell ref="U46:V4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210"/>
  <sheetViews>
    <sheetView tabSelected="1" zoomScaleNormal="100" workbookViewId="0">
      <pane xSplit="3" ySplit="5" topLeftCell="N126" activePane="bottomRight" state="frozen"/>
      <selection pane="topRight" activeCell="D1" sqref="D1"/>
      <selection pane="bottomLeft" activeCell="A6" sqref="A6"/>
      <selection pane="bottomRight" activeCell="AB134" sqref="AB13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441406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7" style="18" bestFit="1" customWidth="1"/>
    <col min="14" max="14" width="7.1093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109375" style="5" bestFit="1" customWidth="1"/>
    <col min="20" max="20" width="3.21875" style="5" bestFit="1" customWidth="1"/>
    <col min="21" max="21" width="4" style="5" bestFit="1" customWidth="1"/>
    <col min="22" max="22" width="7.77734375" style="5" bestFit="1" customWidth="1"/>
    <col min="23" max="23" width="3.21875" style="5" customWidth="1"/>
    <col min="24" max="24" width="3.886718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886718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4" t="s">
        <v>723</v>
      </c>
      <c r="B1" s="724"/>
      <c r="C1" s="724"/>
      <c r="D1" s="724"/>
      <c r="E1" s="724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25" t="s">
        <v>22</v>
      </c>
      <c r="B2" s="726"/>
      <c r="C2" s="726"/>
      <c r="D2" s="756" t="s">
        <v>722</v>
      </c>
      <c r="E2" s="756" t="s">
        <v>721</v>
      </c>
      <c r="F2" s="758"/>
      <c r="G2" s="758"/>
      <c r="H2" s="758"/>
      <c r="I2" s="758"/>
      <c r="J2" s="758"/>
      <c r="K2" s="758"/>
      <c r="L2" s="759"/>
      <c r="M2" s="731" t="s">
        <v>23</v>
      </c>
      <c r="N2" s="731"/>
      <c r="O2" s="742" t="s">
        <v>54</v>
      </c>
      <c r="P2" s="743"/>
      <c r="Q2" s="743"/>
      <c r="R2" s="743"/>
      <c r="S2" s="743"/>
      <c r="T2" s="743"/>
      <c r="U2" s="743"/>
      <c r="V2" s="743"/>
      <c r="W2" s="743"/>
      <c r="X2" s="743"/>
      <c r="Y2" s="743"/>
      <c r="Z2" s="743"/>
      <c r="AA2" s="743"/>
      <c r="AB2" s="743"/>
      <c r="AC2" s="743"/>
      <c r="AD2" s="743"/>
      <c r="AE2" s="74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7"/>
      <c r="E3" s="153" t="s">
        <v>133</v>
      </c>
      <c r="F3" s="184" t="s">
        <v>505</v>
      </c>
      <c r="G3" s="184" t="s">
        <v>504</v>
      </c>
      <c r="H3" s="184" t="s">
        <v>506</v>
      </c>
      <c r="I3" s="153" t="s">
        <v>63</v>
      </c>
      <c r="J3" s="153" t="s">
        <v>129</v>
      </c>
      <c r="K3" s="153" t="s">
        <v>131</v>
      </c>
      <c r="L3" s="153" t="s">
        <v>64</v>
      </c>
      <c r="M3" s="152" t="s">
        <v>134</v>
      </c>
      <c r="N3" s="108" t="s">
        <v>4</v>
      </c>
      <c r="O3" s="745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46"/>
      <c r="AC3" s="746"/>
      <c r="AD3" s="746"/>
      <c r="AE3" s="747"/>
    </row>
    <row r="4" spans="1:32" s="11" customFormat="1" ht="21" customHeight="1">
      <c r="A4" s="754" t="s">
        <v>31</v>
      </c>
      <c r="B4" s="755"/>
      <c r="C4" s="755"/>
      <c r="D4" s="406">
        <f t="shared" ref="D4:L4" si="0">SUM(D5,D100,D114,D182,D192,D195)</f>
        <v>63900</v>
      </c>
      <c r="E4" s="406">
        <f t="shared" si="0"/>
        <v>69683</v>
      </c>
      <c r="F4" s="406">
        <f t="shared" si="0"/>
        <v>54516</v>
      </c>
      <c r="G4" s="406">
        <f t="shared" si="0"/>
        <v>2200</v>
      </c>
      <c r="H4" s="406">
        <f t="shared" si="0"/>
        <v>1600</v>
      </c>
      <c r="I4" s="406">
        <f t="shared" si="0"/>
        <v>1604</v>
      </c>
      <c r="J4" s="406">
        <f t="shared" si="0"/>
        <v>9712</v>
      </c>
      <c r="K4" s="406">
        <f t="shared" si="0"/>
        <v>0</v>
      </c>
      <c r="L4" s="406">
        <f t="shared" si="0"/>
        <v>51</v>
      </c>
      <c r="M4" s="407">
        <f>E4-D4</f>
        <v>5783</v>
      </c>
      <c r="N4" s="408">
        <f>IF(D4=0,0,M4/D4)</f>
        <v>9.0500782472613464E-2</v>
      </c>
      <c r="O4" s="409" t="s">
        <v>296</v>
      </c>
      <c r="P4" s="410"/>
      <c r="Q4" s="410"/>
      <c r="R4" s="410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>
        <f>SUM(AD5,AD100,AD114,AD182,AD192,AD195)</f>
        <v>69683000</v>
      </c>
      <c r="AE4" s="412" t="s">
        <v>25</v>
      </c>
      <c r="AF4" s="2"/>
    </row>
    <row r="5" spans="1:32" s="11" customFormat="1" ht="21" customHeight="1">
      <c r="A5" s="112" t="s">
        <v>6</v>
      </c>
      <c r="B5" s="752" t="s">
        <v>7</v>
      </c>
      <c r="C5" s="753"/>
      <c r="D5" s="413">
        <f t="shared" ref="D5:L5" si="1">SUM(D6,D60,D69)</f>
        <v>45534</v>
      </c>
      <c r="E5" s="413">
        <f t="shared" si="1"/>
        <v>47873</v>
      </c>
      <c r="F5" s="413">
        <f t="shared" si="1"/>
        <v>41623</v>
      </c>
      <c r="G5" s="413">
        <f t="shared" si="1"/>
        <v>1200</v>
      </c>
      <c r="H5" s="413">
        <f t="shared" si="1"/>
        <v>1600</v>
      </c>
      <c r="I5" s="413">
        <f t="shared" si="1"/>
        <v>170</v>
      </c>
      <c r="J5" s="413">
        <f t="shared" si="1"/>
        <v>3280</v>
      </c>
      <c r="K5" s="413">
        <f t="shared" si="1"/>
        <v>0</v>
      </c>
      <c r="L5" s="413">
        <f t="shared" si="1"/>
        <v>0</v>
      </c>
      <c r="M5" s="414">
        <f>E5-D5</f>
        <v>2339</v>
      </c>
      <c r="N5" s="415">
        <f>IF(D5=0,0,M5/D5)</f>
        <v>5.1368208371766151E-2</v>
      </c>
      <c r="O5" s="416" t="s">
        <v>297</v>
      </c>
      <c r="P5" s="416"/>
      <c r="Q5" s="416"/>
      <c r="R5" s="416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>
        <f>SUM(AD6,AD60,AD69)</f>
        <v>47873000</v>
      </c>
      <c r="AE5" s="418" t="s">
        <v>25</v>
      </c>
      <c r="AF5" s="2"/>
    </row>
    <row r="6" spans="1:32" s="11" customFormat="1" ht="21" customHeight="1">
      <c r="A6" s="45"/>
      <c r="B6" s="36" t="s">
        <v>8</v>
      </c>
      <c r="C6" s="419" t="s">
        <v>5</v>
      </c>
      <c r="D6" s="624">
        <f t="shared" ref="D6:L6" si="2">SUM(D7,D12,D15,D33,D37,D55)</f>
        <v>37124</v>
      </c>
      <c r="E6" s="420">
        <f t="shared" si="2"/>
        <v>38706</v>
      </c>
      <c r="F6" s="420">
        <f t="shared" si="2"/>
        <v>35496</v>
      </c>
      <c r="G6" s="420">
        <f t="shared" si="2"/>
        <v>1200</v>
      </c>
      <c r="H6" s="420">
        <f t="shared" si="2"/>
        <v>1600</v>
      </c>
      <c r="I6" s="420">
        <f t="shared" si="2"/>
        <v>70</v>
      </c>
      <c r="J6" s="420">
        <f t="shared" si="2"/>
        <v>340</v>
      </c>
      <c r="K6" s="420">
        <f t="shared" si="2"/>
        <v>0</v>
      </c>
      <c r="L6" s="420">
        <f t="shared" si="2"/>
        <v>0</v>
      </c>
      <c r="M6" s="421">
        <f>E6-D6</f>
        <v>1582</v>
      </c>
      <c r="N6" s="422">
        <f>IF(D6=0,0,M6/D6)</f>
        <v>4.2613942463096646E-2</v>
      </c>
      <c r="O6" s="423" t="s">
        <v>298</v>
      </c>
      <c r="P6" s="423"/>
      <c r="Q6" s="423"/>
      <c r="R6" s="423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>
        <f>SUM(AD7,AD12,AD15,AD33,AD37,AD55)</f>
        <v>38706000</v>
      </c>
      <c r="AE6" s="42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23067</v>
      </c>
      <c r="E7" s="114">
        <f>AD7/1000</f>
        <v>23256</v>
      </c>
      <c r="F7" s="114">
        <f>AD7/1000</f>
        <v>23256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189</v>
      </c>
      <c r="N7" s="295">
        <f>IF(D7=0,0,M7/D7)</f>
        <v>8.1935232149824427E-3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135</v>
      </c>
      <c r="X7" s="99"/>
      <c r="Y7" s="99"/>
      <c r="Z7" s="99"/>
      <c r="AA7" s="99"/>
      <c r="AB7" s="99"/>
      <c r="AC7" s="118"/>
      <c r="AD7" s="118">
        <f>SUM(AD8:AD10)</f>
        <v>23256000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4" t="s">
        <v>483</v>
      </c>
      <c r="P8" s="32"/>
      <c r="Q8" s="32"/>
      <c r="R8" s="389" t="s">
        <v>716</v>
      </c>
      <c r="S8" s="670">
        <v>1926000</v>
      </c>
      <c r="T8" s="388" t="s">
        <v>480</v>
      </c>
      <c r="U8" s="291" t="s">
        <v>58</v>
      </c>
      <c r="V8" s="388">
        <v>8</v>
      </c>
      <c r="W8" s="388" t="s">
        <v>481</v>
      </c>
      <c r="X8" s="388"/>
      <c r="Y8" s="388"/>
      <c r="Z8" s="388" t="s">
        <v>482</v>
      </c>
      <c r="AA8" s="388"/>
      <c r="AB8" s="388" t="s">
        <v>485</v>
      </c>
      <c r="AC8" s="68"/>
      <c r="AD8" s="68">
        <f>S8*V8</f>
        <v>15408000</v>
      </c>
      <c r="AE8" s="57" t="s">
        <v>480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291"/>
      <c r="Q9" s="291"/>
      <c r="R9" s="291" t="s">
        <v>717</v>
      </c>
      <c r="S9" s="548">
        <v>1962000</v>
      </c>
      <c r="T9" s="289" t="s">
        <v>480</v>
      </c>
      <c r="U9" s="291" t="s">
        <v>58</v>
      </c>
      <c r="V9" s="289">
        <v>4</v>
      </c>
      <c r="W9" s="289" t="s">
        <v>481</v>
      </c>
      <c r="X9" s="289"/>
      <c r="Y9" s="289"/>
      <c r="Z9" s="289" t="s">
        <v>482</v>
      </c>
      <c r="AA9" s="289"/>
      <c r="AB9" s="289" t="s">
        <v>485</v>
      </c>
      <c r="AC9" s="292"/>
      <c r="AD9" s="292">
        <f>S9*V9</f>
        <v>7848000</v>
      </c>
      <c r="AE9" s="396" t="s">
        <v>480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646"/>
      <c r="P10" s="647"/>
      <c r="Q10" s="647"/>
      <c r="R10" s="647"/>
      <c r="S10" s="289"/>
      <c r="T10" s="289"/>
      <c r="U10" s="291"/>
      <c r="V10" s="289"/>
      <c r="W10" s="289"/>
      <c r="X10" s="289"/>
      <c r="Y10" s="289"/>
      <c r="Z10" s="289"/>
      <c r="AA10" s="289"/>
      <c r="AB10" s="289"/>
      <c r="AC10" s="292"/>
      <c r="AD10" s="292"/>
      <c r="AE10" s="396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50"/>
      <c r="P11" s="50"/>
      <c r="Q11" s="50"/>
      <c r="R11" s="50"/>
      <c r="S11" s="50"/>
      <c r="T11" s="51"/>
      <c r="U11" s="51"/>
      <c r="V11" s="154"/>
      <c r="W11" s="154"/>
      <c r="X11" s="154"/>
      <c r="Y11" s="154"/>
      <c r="Z11" s="154"/>
      <c r="AA11" s="154"/>
      <c r="AB11" s="154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62">
        <v>240</v>
      </c>
      <c r="E12" s="114">
        <f>SUM(F12:L12)</f>
        <v>1600</v>
      </c>
      <c r="F12" s="114">
        <v>0</v>
      </c>
      <c r="G12" s="114">
        <v>0</v>
      </c>
      <c r="H12" s="114">
        <f>AD13/1000</f>
        <v>1600</v>
      </c>
      <c r="I12" s="114">
        <v>0</v>
      </c>
      <c r="J12" s="114">
        <v>0</v>
      </c>
      <c r="K12" s="114">
        <v>0</v>
      </c>
      <c r="L12" s="114">
        <v>0</v>
      </c>
      <c r="M12" s="123">
        <f>E12-D12</f>
        <v>1360</v>
      </c>
      <c r="N12" s="121">
        <f>IF(D12=0,0,M12/D12)</f>
        <v>5.666666666666667</v>
      </c>
      <c r="O12" s="97" t="s">
        <v>80</v>
      </c>
      <c r="P12" s="177"/>
      <c r="Q12" s="93"/>
      <c r="R12" s="93"/>
      <c r="S12" s="93"/>
      <c r="T12" s="89"/>
      <c r="U12" s="89"/>
      <c r="V12" s="158"/>
      <c r="W12" s="99" t="s">
        <v>135</v>
      </c>
      <c r="X12" s="99"/>
      <c r="Y12" s="99"/>
      <c r="Z12" s="99"/>
      <c r="AA12" s="99"/>
      <c r="AB12" s="99"/>
      <c r="AC12" s="118"/>
      <c r="AD12" s="118">
        <f>SUM(AD13)</f>
        <v>1600000</v>
      </c>
      <c r="AE12" s="119" t="s">
        <v>57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667" t="s">
        <v>497</v>
      </c>
      <c r="P13" s="81"/>
      <c r="Q13" s="50"/>
      <c r="R13" s="50"/>
      <c r="S13" s="125">
        <v>80000</v>
      </c>
      <c r="T13" s="125" t="s">
        <v>57</v>
      </c>
      <c r="U13" s="126" t="s">
        <v>58</v>
      </c>
      <c r="V13" s="125">
        <v>1</v>
      </c>
      <c r="W13" s="125" t="s">
        <v>56</v>
      </c>
      <c r="X13" s="126" t="s">
        <v>58</v>
      </c>
      <c r="Y13" s="391">
        <v>20</v>
      </c>
      <c r="Z13" s="91" t="s">
        <v>101</v>
      </c>
      <c r="AA13" s="91" t="s">
        <v>53</v>
      </c>
      <c r="AB13" s="388" t="s">
        <v>618</v>
      </c>
      <c r="AC13" s="68"/>
      <c r="AD13" s="135">
        <f>S13*V13*Y13</f>
        <v>1600000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2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62">
        <v>8081</v>
      </c>
      <c r="E15" s="114">
        <f>AD15/1000</f>
        <v>7964</v>
      </c>
      <c r="F15" s="114">
        <f>SUM(AD17:AD18,AD21,AD26:AD27)/1000</f>
        <v>6704</v>
      </c>
      <c r="G15" s="114">
        <f>AD30/1000</f>
        <v>1200</v>
      </c>
      <c r="H15" s="114">
        <v>0</v>
      </c>
      <c r="I15" s="114">
        <v>0</v>
      </c>
      <c r="J15" s="114">
        <f>SUM(AD19,AD28)/1000</f>
        <v>60</v>
      </c>
      <c r="K15" s="114">
        <v>0</v>
      </c>
      <c r="L15" s="114">
        <v>0</v>
      </c>
      <c r="M15" s="113">
        <f>E15-D15</f>
        <v>-117</v>
      </c>
      <c r="N15" s="121">
        <f>IF(D15=0,0,M15/D15)</f>
        <v>-1.4478406137854226E-2</v>
      </c>
      <c r="O15" s="97" t="s">
        <v>34</v>
      </c>
      <c r="P15" s="177"/>
      <c r="Q15" s="93"/>
      <c r="R15" s="93"/>
      <c r="S15" s="93"/>
      <c r="T15" s="89"/>
      <c r="U15" s="89"/>
      <c r="V15" s="89"/>
      <c r="W15" s="178" t="s">
        <v>135</v>
      </c>
      <c r="X15" s="178"/>
      <c r="Y15" s="178"/>
      <c r="Z15" s="178"/>
      <c r="AA15" s="178"/>
      <c r="AB15" s="178"/>
      <c r="AC15" s="180"/>
      <c r="AD15" s="180">
        <f>SUM(명절휴가비,가족수당,연장근로수당,AD30)</f>
        <v>7964000</v>
      </c>
      <c r="AE15" s="179" t="s">
        <v>57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35" t="s">
        <v>362</v>
      </c>
      <c r="P16" s="291"/>
      <c r="Q16" s="291"/>
      <c r="R16" s="291"/>
      <c r="S16" s="291"/>
      <c r="T16" s="289"/>
      <c r="U16" s="289"/>
      <c r="V16" s="289"/>
      <c r="W16" s="447" t="s">
        <v>361</v>
      </c>
      <c r="X16" s="447"/>
      <c r="Y16" s="447"/>
      <c r="Z16" s="447"/>
      <c r="AA16" s="447"/>
      <c r="AB16" s="447"/>
      <c r="AC16" s="448" t="s">
        <v>363</v>
      </c>
      <c r="AD16" s="448">
        <f>ROUND(SUM(AD17:AD19),-3)</f>
        <v>2342000</v>
      </c>
      <c r="AE16" s="449" t="s">
        <v>355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 t="s">
        <v>483</v>
      </c>
      <c r="P17" s="291"/>
      <c r="Q17" s="291"/>
      <c r="R17" s="389" t="s">
        <v>716</v>
      </c>
      <c r="S17" s="670">
        <v>1926000</v>
      </c>
      <c r="T17" s="388" t="s">
        <v>57</v>
      </c>
      <c r="U17" s="389" t="s">
        <v>58</v>
      </c>
      <c r="V17" s="671">
        <v>0.6</v>
      </c>
      <c r="W17" s="289"/>
      <c r="X17" s="289"/>
      <c r="Y17" s="289"/>
      <c r="Z17" s="289" t="s">
        <v>482</v>
      </c>
      <c r="AA17" s="289"/>
      <c r="AB17" s="289" t="s">
        <v>485</v>
      </c>
      <c r="AC17" s="292"/>
      <c r="AD17" s="292">
        <f>ROUNDDOWN(S17*V17,-3)</f>
        <v>1155000</v>
      </c>
      <c r="AE17" s="396" t="s">
        <v>355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 t="s">
        <v>717</v>
      </c>
      <c r="S18" s="548">
        <v>1962000</v>
      </c>
      <c r="T18" s="289" t="s">
        <v>57</v>
      </c>
      <c r="U18" s="389" t="s">
        <v>58</v>
      </c>
      <c r="V18" s="671">
        <v>0.6</v>
      </c>
      <c r="W18" s="289"/>
      <c r="X18" s="289"/>
      <c r="Y18" s="289"/>
      <c r="Z18" s="289" t="s">
        <v>482</v>
      </c>
      <c r="AA18" s="289"/>
      <c r="AB18" s="289" t="s">
        <v>485</v>
      </c>
      <c r="AC18" s="292"/>
      <c r="AD18" s="292">
        <f>ROUNDDOWN(S18*V18,-3)</f>
        <v>1177000</v>
      </c>
      <c r="AE18" s="396" t="s">
        <v>57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1"/>
      <c r="P19" s="291"/>
      <c r="Q19" s="291"/>
      <c r="R19" s="291"/>
      <c r="S19" s="548"/>
      <c r="T19" s="289"/>
      <c r="U19" s="389"/>
      <c r="V19" s="671"/>
      <c r="W19" s="289"/>
      <c r="X19" s="289"/>
      <c r="Y19" s="289"/>
      <c r="Z19" s="289"/>
      <c r="AA19" s="289"/>
      <c r="AB19" s="289" t="s">
        <v>718</v>
      </c>
      <c r="AC19" s="292"/>
      <c r="AD19" s="292">
        <v>10000</v>
      </c>
      <c r="AE19" s="396" t="s">
        <v>719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1"/>
      <c r="P20" s="291"/>
      <c r="Q20" s="291"/>
      <c r="R20" s="291"/>
      <c r="S20" s="291"/>
      <c r="T20" s="289"/>
      <c r="U20" s="289"/>
      <c r="V20" s="289"/>
      <c r="W20" s="289"/>
      <c r="X20" s="289"/>
      <c r="Y20" s="289"/>
      <c r="Z20" s="289"/>
      <c r="AA20" s="289"/>
      <c r="AB20" s="289"/>
      <c r="AC20" s="292"/>
      <c r="AD20" s="292"/>
      <c r="AE20" s="396"/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535" t="s">
        <v>364</v>
      </c>
      <c r="P21" s="291"/>
      <c r="Q21" s="291"/>
      <c r="R21" s="291"/>
      <c r="S21" s="291"/>
      <c r="T21" s="289"/>
      <c r="U21" s="289"/>
      <c r="V21" s="289"/>
      <c r="W21" s="447" t="s">
        <v>361</v>
      </c>
      <c r="X21" s="447"/>
      <c r="Y21" s="447"/>
      <c r="Z21" s="447"/>
      <c r="AA21" s="447"/>
      <c r="AB21" s="447"/>
      <c r="AC21" s="448" t="s">
        <v>363</v>
      </c>
      <c r="AD21" s="448">
        <f>SUM(AD22:AD23)</f>
        <v>240000</v>
      </c>
      <c r="AE21" s="449" t="s">
        <v>355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 t="s">
        <v>483</v>
      </c>
      <c r="P22" s="291"/>
      <c r="Q22" s="291"/>
      <c r="R22" s="291"/>
      <c r="S22" s="670">
        <v>20000</v>
      </c>
      <c r="T22" s="289" t="s">
        <v>480</v>
      </c>
      <c r="U22" s="389" t="s">
        <v>58</v>
      </c>
      <c r="V22" s="388">
        <v>12</v>
      </c>
      <c r="W22" s="388" t="s">
        <v>481</v>
      </c>
      <c r="X22" s="289"/>
      <c r="Y22" s="289"/>
      <c r="Z22" s="289" t="s">
        <v>482</v>
      </c>
      <c r="AA22" s="289"/>
      <c r="AB22" s="289" t="s">
        <v>485</v>
      </c>
      <c r="AC22" s="292"/>
      <c r="AD22" s="292">
        <f t="shared" ref="AD22" si="3">S22*V22</f>
        <v>240000</v>
      </c>
      <c r="AE22" s="396" t="s">
        <v>57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1"/>
      <c r="P23" s="291"/>
      <c r="Q23" s="291"/>
      <c r="R23" s="291"/>
      <c r="S23" s="670">
        <v>0</v>
      </c>
      <c r="T23" s="289" t="s">
        <v>480</v>
      </c>
      <c r="U23" s="389" t="s">
        <v>58</v>
      </c>
      <c r="V23" s="388">
        <v>0</v>
      </c>
      <c r="W23" s="388" t="s">
        <v>481</v>
      </c>
      <c r="X23" s="289"/>
      <c r="Y23" s="289"/>
      <c r="Z23" s="289" t="s">
        <v>482</v>
      </c>
      <c r="AA23" s="289"/>
      <c r="AB23" s="289" t="s">
        <v>485</v>
      </c>
      <c r="AC23" s="292"/>
      <c r="AD23" s="292">
        <f t="shared" ref="AD23" si="4">S23*V23</f>
        <v>0</v>
      </c>
      <c r="AE23" s="396" t="s">
        <v>57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1"/>
      <c r="P24" s="291"/>
      <c r="Q24" s="291"/>
      <c r="R24" s="291"/>
      <c r="S24" s="291"/>
      <c r="T24" s="289"/>
      <c r="U24" s="289"/>
      <c r="V24" s="289"/>
      <c r="W24" s="289"/>
      <c r="X24" s="289"/>
      <c r="Y24" s="289"/>
      <c r="Z24" s="289"/>
      <c r="AA24" s="289"/>
      <c r="AB24" s="289"/>
      <c r="AC24" s="292"/>
      <c r="AD24" s="292"/>
      <c r="AE24" s="396"/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535" t="s">
        <v>365</v>
      </c>
      <c r="P25" s="291"/>
      <c r="Q25" s="291"/>
      <c r="R25" s="291"/>
      <c r="S25" s="291"/>
      <c r="T25" s="289"/>
      <c r="U25" s="289"/>
      <c r="V25" s="289"/>
      <c r="W25" s="447" t="s">
        <v>361</v>
      </c>
      <c r="X25" s="447"/>
      <c r="Y25" s="447"/>
      <c r="Z25" s="447"/>
      <c r="AA25" s="447"/>
      <c r="AB25" s="447"/>
      <c r="AC25" s="448" t="s">
        <v>363</v>
      </c>
      <c r="AD25" s="448">
        <f>ROUND(SUM(AD26:AD28),-3)</f>
        <v>4182000</v>
      </c>
      <c r="AE25" s="449" t="s">
        <v>355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 t="s">
        <v>484</v>
      </c>
      <c r="P26" s="291"/>
      <c r="Q26" s="291"/>
      <c r="R26" s="389" t="s">
        <v>716</v>
      </c>
      <c r="S26" s="670">
        <v>1926000</v>
      </c>
      <c r="T26" s="289" t="s">
        <v>480</v>
      </c>
      <c r="U26" s="427" t="s">
        <v>71</v>
      </c>
      <c r="V26" s="672">
        <v>209</v>
      </c>
      <c r="W26" s="673">
        <v>1.5</v>
      </c>
      <c r="X26" s="291" t="s">
        <v>58</v>
      </c>
      <c r="Y26" s="676">
        <v>25</v>
      </c>
      <c r="Z26" s="675">
        <v>8</v>
      </c>
      <c r="AA26" s="289" t="s">
        <v>482</v>
      </c>
      <c r="AB26" s="289" t="s">
        <v>485</v>
      </c>
      <c r="AC26" s="292"/>
      <c r="AD26" s="292">
        <f>ROUNDDOWN(S26/V26*W26,-1)*Y26*Z26-20000</f>
        <v>2744000</v>
      </c>
      <c r="AE26" s="396" t="s">
        <v>355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 t="s">
        <v>717</v>
      </c>
      <c r="S27" s="548">
        <v>1962000</v>
      </c>
      <c r="T27" s="289" t="s">
        <v>480</v>
      </c>
      <c r="U27" s="427" t="s">
        <v>71</v>
      </c>
      <c r="V27" s="672">
        <v>209</v>
      </c>
      <c r="W27" s="673">
        <v>1.5</v>
      </c>
      <c r="X27" s="291" t="s">
        <v>58</v>
      </c>
      <c r="Y27" s="676">
        <v>25</v>
      </c>
      <c r="Z27" s="675">
        <v>4</v>
      </c>
      <c r="AA27" s="289" t="s">
        <v>482</v>
      </c>
      <c r="AB27" s="289" t="s">
        <v>485</v>
      </c>
      <c r="AC27" s="292"/>
      <c r="AD27" s="292">
        <f>ROUNDDOWN(S27/V27*W27,-1)*Y27*Z27-20000</f>
        <v>1388000</v>
      </c>
      <c r="AE27" s="396" t="s">
        <v>454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1"/>
      <c r="P28" s="291"/>
      <c r="Q28" s="291"/>
      <c r="R28" s="647"/>
      <c r="S28" s="289"/>
      <c r="T28" s="289"/>
      <c r="U28" s="427"/>
      <c r="V28" s="672"/>
      <c r="W28" s="673"/>
      <c r="X28" s="291"/>
      <c r="Y28" s="674"/>
      <c r="Z28" s="291"/>
      <c r="AA28" s="675"/>
      <c r="AB28" s="289" t="s">
        <v>720</v>
      </c>
      <c r="AC28" s="292"/>
      <c r="AD28" s="292">
        <v>50000</v>
      </c>
      <c r="AE28" s="396" t="s">
        <v>480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/>
      <c r="P29" s="291"/>
      <c r="Q29" s="291"/>
      <c r="R29" s="291"/>
      <c r="S29" s="291"/>
      <c r="T29" s="289"/>
      <c r="U29" s="289"/>
      <c r="V29" s="289"/>
      <c r="W29" s="289"/>
      <c r="X29" s="289"/>
      <c r="Y29" s="289"/>
      <c r="Z29" s="289"/>
      <c r="AA29" s="289"/>
      <c r="AB29" s="289"/>
      <c r="AC29" s="292"/>
      <c r="AD29" s="292"/>
      <c r="AE29" s="396"/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535" t="s">
        <v>486</v>
      </c>
      <c r="P30" s="291"/>
      <c r="Q30" s="291"/>
      <c r="R30" s="291"/>
      <c r="S30" s="291"/>
      <c r="T30" s="289"/>
      <c r="U30" s="289"/>
      <c r="V30" s="289"/>
      <c r="W30" s="447" t="s">
        <v>361</v>
      </c>
      <c r="X30" s="447"/>
      <c r="Y30" s="447"/>
      <c r="Z30" s="447"/>
      <c r="AA30" s="447"/>
      <c r="AB30" s="447"/>
      <c r="AC30" s="448" t="s">
        <v>363</v>
      </c>
      <c r="AD30" s="448">
        <f>SUM(AD31:AD31)</f>
        <v>1200000</v>
      </c>
      <c r="AE30" s="449" t="s">
        <v>355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 t="s">
        <v>483</v>
      </c>
      <c r="P31" s="291"/>
      <c r="Q31" s="291"/>
      <c r="R31" s="291"/>
      <c r="S31" s="670">
        <v>100000</v>
      </c>
      <c r="T31" s="289" t="s">
        <v>480</v>
      </c>
      <c r="U31" s="389" t="s">
        <v>58</v>
      </c>
      <c r="V31" s="388">
        <v>12</v>
      </c>
      <c r="W31" s="388" t="s">
        <v>481</v>
      </c>
      <c r="X31" s="289"/>
      <c r="Y31" s="289"/>
      <c r="Z31" s="289" t="s">
        <v>482</v>
      </c>
      <c r="AA31" s="289"/>
      <c r="AB31" s="289" t="s">
        <v>485</v>
      </c>
      <c r="AC31" s="292"/>
      <c r="AD31" s="292">
        <f t="shared" ref="AD31" si="5">S31*V31</f>
        <v>1200000</v>
      </c>
      <c r="AE31" s="396" t="s">
        <v>57</v>
      </c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1"/>
      <c r="P32" s="291"/>
      <c r="Q32" s="291"/>
      <c r="R32" s="291"/>
      <c r="S32" s="289"/>
      <c r="T32" s="430"/>
      <c r="U32" s="541"/>
      <c r="V32" s="430"/>
      <c r="W32" s="542"/>
      <c r="X32" s="542"/>
      <c r="Y32" s="289"/>
      <c r="Z32" s="289"/>
      <c r="AA32" s="289"/>
      <c r="AB32" s="289"/>
      <c r="AC32" s="289"/>
      <c r="AD32" s="289"/>
      <c r="AE32" s="396"/>
      <c r="AF32" s="17"/>
    </row>
    <row r="33" spans="1:32" s="11" customFormat="1" ht="21" customHeight="1">
      <c r="A33" s="45"/>
      <c r="B33" s="46"/>
      <c r="C33" s="36" t="s">
        <v>9</v>
      </c>
      <c r="D33" s="162">
        <v>2589</v>
      </c>
      <c r="E33" s="114">
        <f>AD33/1000</f>
        <v>2607</v>
      </c>
      <c r="F33" s="114">
        <f>SUM(AD34)/1000</f>
        <v>2597</v>
      </c>
      <c r="G33" s="114">
        <v>0</v>
      </c>
      <c r="H33" s="114">
        <v>0</v>
      </c>
      <c r="I33" s="114">
        <v>0</v>
      </c>
      <c r="J33" s="114">
        <f>AD35/1000</f>
        <v>10</v>
      </c>
      <c r="K33" s="114">
        <v>0</v>
      </c>
      <c r="L33" s="114">
        <v>0</v>
      </c>
      <c r="M33" s="113">
        <f>E33-D33</f>
        <v>18</v>
      </c>
      <c r="N33" s="121">
        <f>IF(D33=0,0,M33/D33)</f>
        <v>6.9524913093858632E-3</v>
      </c>
      <c r="O33" s="97" t="s">
        <v>35</v>
      </c>
      <c r="P33" s="177"/>
      <c r="Q33" s="156"/>
      <c r="R33" s="93"/>
      <c r="S33" s="93"/>
      <c r="T33" s="89"/>
      <c r="U33" s="89"/>
      <c r="V33" s="89"/>
      <c r="W33" s="286" t="s">
        <v>261</v>
      </c>
      <c r="X33" s="286"/>
      <c r="Y33" s="286"/>
      <c r="Z33" s="286"/>
      <c r="AA33" s="286"/>
      <c r="AB33" s="286"/>
      <c r="AC33" s="180" t="s">
        <v>262</v>
      </c>
      <c r="AD33" s="180">
        <f>SUM(AD34:AD35)</f>
        <v>2607000</v>
      </c>
      <c r="AE33" s="179" t="s">
        <v>263</v>
      </c>
      <c r="AF33" s="2"/>
    </row>
    <row r="34" spans="1:32" s="11" customFormat="1" ht="21" customHeight="1">
      <c r="A34" s="45"/>
      <c r="B34" s="46"/>
      <c r="C34" s="46"/>
      <c r="D34" s="163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291"/>
      <c r="P34" s="291"/>
      <c r="Q34" s="291"/>
      <c r="R34" s="291"/>
      <c r="S34" s="289">
        <f>SUM(AD7,AD15)-AD28-AD19</f>
        <v>31160000</v>
      </c>
      <c r="T34" s="427" t="s">
        <v>355</v>
      </c>
      <c r="U34" s="427" t="s">
        <v>366</v>
      </c>
      <c r="V34" s="543">
        <v>12</v>
      </c>
      <c r="W34" s="426" t="s">
        <v>356</v>
      </c>
      <c r="X34" s="289"/>
      <c r="Y34" s="289"/>
      <c r="Z34" s="289"/>
      <c r="AA34" s="289" t="s">
        <v>359</v>
      </c>
      <c r="AB34" s="289" t="s">
        <v>485</v>
      </c>
      <c r="AC34" s="292"/>
      <c r="AD34" s="292">
        <f>ROUND(S34/V34,-3)</f>
        <v>2597000</v>
      </c>
      <c r="AE34" s="396" t="s">
        <v>355</v>
      </c>
      <c r="AF34" s="2"/>
    </row>
    <row r="35" spans="1:32" s="11" customFormat="1" ht="21" customHeight="1">
      <c r="A35" s="45"/>
      <c r="B35" s="46"/>
      <c r="C35" s="46"/>
      <c r="D35" s="163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291"/>
      <c r="P35" s="291"/>
      <c r="Q35" s="291"/>
      <c r="R35" s="291"/>
      <c r="S35" s="289">
        <v>120000</v>
      </c>
      <c r="T35" s="427" t="s">
        <v>57</v>
      </c>
      <c r="U35" s="427" t="s">
        <v>71</v>
      </c>
      <c r="V35" s="543">
        <v>12</v>
      </c>
      <c r="W35" s="426" t="s">
        <v>0</v>
      </c>
      <c r="X35" s="289"/>
      <c r="Y35" s="289"/>
      <c r="Z35" s="289"/>
      <c r="AA35" s="289" t="s">
        <v>53</v>
      </c>
      <c r="AB35" s="289" t="s">
        <v>720</v>
      </c>
      <c r="AC35" s="292"/>
      <c r="AD35" s="292">
        <f>ROUND(S35/V35,-3)</f>
        <v>10000</v>
      </c>
      <c r="AE35" s="396" t="s">
        <v>57</v>
      </c>
      <c r="AF35" s="2"/>
    </row>
    <row r="36" spans="1:32" s="11" customFormat="1" ht="21" customHeight="1">
      <c r="A36" s="45"/>
      <c r="B36" s="46"/>
      <c r="C36" s="46"/>
      <c r="D36" s="164"/>
      <c r="E36" s="109"/>
      <c r="F36" s="109"/>
      <c r="G36" s="109"/>
      <c r="H36" s="109"/>
      <c r="I36" s="109"/>
      <c r="J36" s="109"/>
      <c r="K36" s="109"/>
      <c r="L36" s="109"/>
      <c r="M36" s="115"/>
      <c r="N36" s="70"/>
      <c r="O36" s="32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52"/>
      <c r="AD36" s="52"/>
      <c r="AE36" s="34"/>
      <c r="AF36" s="2"/>
    </row>
    <row r="37" spans="1:32" s="11" customFormat="1" ht="21" customHeight="1">
      <c r="A37" s="45"/>
      <c r="B37" s="46"/>
      <c r="C37" s="122" t="s">
        <v>82</v>
      </c>
      <c r="D37" s="162">
        <v>2789</v>
      </c>
      <c r="E37" s="114">
        <f>AD37/1000</f>
        <v>3209</v>
      </c>
      <c r="F37" s="114">
        <f>SUM(AD40,AD43,AD46,AD49,AD52)/1000</f>
        <v>2939</v>
      </c>
      <c r="G37" s="114">
        <v>0</v>
      </c>
      <c r="H37" s="114">
        <v>0</v>
      </c>
      <c r="I37" s="114">
        <v>0</v>
      </c>
      <c r="J37" s="114">
        <f>SUM(AD41,AD44,AD47,AD50,AD53)/1000</f>
        <v>270</v>
      </c>
      <c r="K37" s="114">
        <v>0</v>
      </c>
      <c r="L37" s="114">
        <v>0</v>
      </c>
      <c r="M37" s="123">
        <f>E37-D37</f>
        <v>420</v>
      </c>
      <c r="N37" s="121">
        <f>IF(D37=0,0,M37/D37)</f>
        <v>0.15059160989602008</v>
      </c>
      <c r="O37" s="97" t="s">
        <v>36</v>
      </c>
      <c r="P37" s="177"/>
      <c r="Q37" s="93"/>
      <c r="R37" s="93"/>
      <c r="S37" s="93"/>
      <c r="T37" s="89"/>
      <c r="U37" s="89"/>
      <c r="V37" s="89"/>
      <c r="W37" s="178" t="s">
        <v>135</v>
      </c>
      <c r="X37" s="178"/>
      <c r="Y37" s="178"/>
      <c r="Z37" s="178"/>
      <c r="AA37" s="178"/>
      <c r="AB37" s="178"/>
      <c r="AC37" s="180"/>
      <c r="AD37" s="180">
        <f>SUM(AD39,AD42,AD45,AD48,AD51)</f>
        <v>3209000</v>
      </c>
      <c r="AE37" s="179" t="s">
        <v>25</v>
      </c>
    </row>
    <row r="38" spans="1:32" s="11" customFormat="1" ht="21" customHeight="1">
      <c r="A38" s="45"/>
      <c r="B38" s="46"/>
      <c r="C38" s="46" t="s">
        <v>136</v>
      </c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159"/>
      <c r="P38" s="32"/>
      <c r="Q38" s="32"/>
      <c r="R38" s="32"/>
      <c r="S38" s="32"/>
      <c r="T38" s="33"/>
      <c r="U38" s="33"/>
      <c r="V38" s="33"/>
      <c r="W38" s="33"/>
      <c r="X38" s="33"/>
      <c r="Y38" s="33"/>
      <c r="Z38" s="33"/>
      <c r="AA38" s="33"/>
      <c r="AB38" s="33"/>
      <c r="AC38" s="52"/>
      <c r="AD38" s="52"/>
      <c r="AE38" s="34"/>
      <c r="AF38" s="2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535" t="s">
        <v>370</v>
      </c>
      <c r="P39" s="291"/>
      <c r="Q39" s="291"/>
      <c r="R39" s="291"/>
      <c r="S39" s="291"/>
      <c r="T39" s="289"/>
      <c r="U39" s="289"/>
      <c r="V39" s="289"/>
      <c r="W39" s="447" t="s">
        <v>361</v>
      </c>
      <c r="X39" s="447"/>
      <c r="Y39" s="447"/>
      <c r="Z39" s="447"/>
      <c r="AA39" s="447"/>
      <c r="AB39" s="447"/>
      <c r="AC39" s="448"/>
      <c r="AD39" s="448">
        <f>SUM(AD40:AD41)</f>
        <v>1502000</v>
      </c>
      <c r="AE39" s="449" t="s">
        <v>355</v>
      </c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291"/>
      <c r="P40" s="291"/>
      <c r="Q40" s="291"/>
      <c r="R40" s="291"/>
      <c r="S40" s="289">
        <f>S34</f>
        <v>31160000</v>
      </c>
      <c r="T40" s="427" t="s">
        <v>355</v>
      </c>
      <c r="U40" s="426" t="s">
        <v>358</v>
      </c>
      <c r="V40" s="544">
        <v>0.09</v>
      </c>
      <c r="W40" s="427" t="s">
        <v>366</v>
      </c>
      <c r="X40" s="545">
        <v>2</v>
      </c>
      <c r="Y40" s="429"/>
      <c r="Z40" s="429"/>
      <c r="AA40" s="427" t="s">
        <v>359</v>
      </c>
      <c r="AB40" s="289" t="s">
        <v>485</v>
      </c>
      <c r="AC40" s="292"/>
      <c r="AD40" s="292">
        <f>ROUNDDOWN(S40*V40/X40,-3)</f>
        <v>1402000</v>
      </c>
      <c r="AE40" s="396" t="s">
        <v>355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1"/>
      <c r="P41" s="291"/>
      <c r="Q41" s="291"/>
      <c r="R41" s="291"/>
      <c r="S41" s="289"/>
      <c r="T41" s="427"/>
      <c r="U41" s="426"/>
      <c r="V41" s="544"/>
      <c r="W41" s="427"/>
      <c r="X41" s="545"/>
      <c r="Y41" s="429"/>
      <c r="Z41" s="429"/>
      <c r="AA41" s="427"/>
      <c r="AB41" s="289" t="s">
        <v>720</v>
      </c>
      <c r="AC41" s="292"/>
      <c r="AD41" s="292">
        <v>100000</v>
      </c>
      <c r="AE41" s="396" t="s">
        <v>711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535" t="s">
        <v>372</v>
      </c>
      <c r="P42" s="291"/>
      <c r="Q42" s="291"/>
      <c r="R42" s="291"/>
      <c r="S42" s="291"/>
      <c r="T42" s="289"/>
      <c r="U42" s="289"/>
      <c r="V42" s="289"/>
      <c r="W42" s="447" t="s">
        <v>360</v>
      </c>
      <c r="X42" s="447"/>
      <c r="Y42" s="447"/>
      <c r="Z42" s="447"/>
      <c r="AA42" s="447"/>
      <c r="AB42" s="447"/>
      <c r="AC42" s="448" t="s">
        <v>369</v>
      </c>
      <c r="AD42" s="448">
        <f>ROUND(SUM(AD43:AD44),-3)</f>
        <v>1053000</v>
      </c>
      <c r="AE42" s="449" t="s">
        <v>357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89">
        <f>S40</f>
        <v>31160000</v>
      </c>
      <c r="T43" s="427" t="s">
        <v>357</v>
      </c>
      <c r="U43" s="426" t="s">
        <v>371</v>
      </c>
      <c r="V43" s="546">
        <v>6.1199999999999997E-2</v>
      </c>
      <c r="W43" s="427" t="s">
        <v>367</v>
      </c>
      <c r="X43" s="547">
        <v>2</v>
      </c>
      <c r="Y43" s="429"/>
      <c r="Z43" s="429"/>
      <c r="AA43" s="427" t="s">
        <v>368</v>
      </c>
      <c r="AB43" s="289" t="s">
        <v>485</v>
      </c>
      <c r="AC43" s="292"/>
      <c r="AD43" s="292">
        <f>ROUNDDOWN(S43*V43/X43,-3)</f>
        <v>953000</v>
      </c>
      <c r="AE43" s="396" t="s">
        <v>357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1"/>
      <c r="P44" s="291"/>
      <c r="Q44" s="291"/>
      <c r="R44" s="291"/>
      <c r="S44" s="289"/>
      <c r="T44" s="427"/>
      <c r="U44" s="426"/>
      <c r="V44" s="546"/>
      <c r="W44" s="427"/>
      <c r="X44" s="547"/>
      <c r="Y44" s="429"/>
      <c r="AA44" s="427"/>
      <c r="AB44" s="289" t="s">
        <v>720</v>
      </c>
      <c r="AC44" s="292"/>
      <c r="AD44" s="292">
        <v>100000</v>
      </c>
      <c r="AE44" s="396" t="s">
        <v>480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535" t="s">
        <v>373</v>
      </c>
      <c r="P45" s="291"/>
      <c r="Q45" s="291"/>
      <c r="R45" s="291"/>
      <c r="S45" s="291"/>
      <c r="T45" s="289"/>
      <c r="U45" s="289"/>
      <c r="V45" s="289"/>
      <c r="W45" s="447" t="s">
        <v>360</v>
      </c>
      <c r="X45" s="447"/>
      <c r="Y45" s="447"/>
      <c r="Z45" s="447"/>
      <c r="AA45" s="447"/>
      <c r="AB45" s="447"/>
      <c r="AC45" s="448" t="s">
        <v>369</v>
      </c>
      <c r="AD45" s="448">
        <f>ROUND(SUM(AD46:AD47),-3)</f>
        <v>98000</v>
      </c>
      <c r="AE45" s="449" t="s">
        <v>357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548">
        <f>AD42</f>
        <v>1053000</v>
      </c>
      <c r="T46" s="427" t="s">
        <v>357</v>
      </c>
      <c r="U46" s="426" t="s">
        <v>371</v>
      </c>
      <c r="V46" s="546">
        <v>6.5500000000000003E-2</v>
      </c>
      <c r="W46" s="426"/>
      <c r="X46" s="428"/>
      <c r="Y46" s="429"/>
      <c r="Z46" s="429"/>
      <c r="AA46" s="427" t="s">
        <v>368</v>
      </c>
      <c r="AB46" s="289" t="s">
        <v>485</v>
      </c>
      <c r="AC46" s="292"/>
      <c r="AD46" s="292">
        <f>ROUNDDOWN(S46*V46,-3)</f>
        <v>68000</v>
      </c>
      <c r="AE46" s="396" t="s">
        <v>357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548"/>
      <c r="T47" s="427"/>
      <c r="U47" s="426"/>
      <c r="V47" s="546"/>
      <c r="W47" s="426"/>
      <c r="X47" s="428"/>
      <c r="Y47" s="429"/>
      <c r="Z47" s="429"/>
      <c r="AA47" s="427"/>
      <c r="AB47" s="289" t="s">
        <v>720</v>
      </c>
      <c r="AC47" s="292"/>
      <c r="AD47" s="292">
        <v>30000</v>
      </c>
      <c r="AE47" s="396" t="s">
        <v>711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535" t="s">
        <v>374</v>
      </c>
      <c r="P48" s="291"/>
      <c r="Q48" s="291"/>
      <c r="R48" s="291"/>
      <c r="S48" s="291"/>
      <c r="T48" s="289"/>
      <c r="U48" s="289"/>
      <c r="V48" s="289"/>
      <c r="W48" s="447" t="s">
        <v>360</v>
      </c>
      <c r="X48" s="447"/>
      <c r="Y48" s="447"/>
      <c r="Z48" s="447"/>
      <c r="AA48" s="447"/>
      <c r="AB48" s="447"/>
      <c r="AC48" s="448" t="s">
        <v>369</v>
      </c>
      <c r="AD48" s="448">
        <f>ROUND(SUM(AD49:AD50),-3)</f>
        <v>300000</v>
      </c>
      <c r="AE48" s="449" t="s">
        <v>357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>
        <f>S43</f>
        <v>31160000</v>
      </c>
      <c r="T49" s="427" t="s">
        <v>357</v>
      </c>
      <c r="U49" s="426" t="s">
        <v>371</v>
      </c>
      <c r="V49" s="546">
        <v>8.9999999999999993E-3</v>
      </c>
      <c r="W49" s="426"/>
      <c r="X49" s="428"/>
      <c r="Y49" s="429"/>
      <c r="Z49" s="429"/>
      <c r="AA49" s="427" t="s">
        <v>368</v>
      </c>
      <c r="AB49" s="289" t="s">
        <v>485</v>
      </c>
      <c r="AC49" s="292"/>
      <c r="AD49" s="292">
        <f>ROUNDDOWN(S49*V49,-3)</f>
        <v>280000</v>
      </c>
      <c r="AE49" s="396" t="s">
        <v>357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89"/>
      <c r="T50" s="427"/>
      <c r="U50" s="426"/>
      <c r="V50" s="546"/>
      <c r="W50" s="426"/>
      <c r="X50" s="428"/>
      <c r="Y50" s="429"/>
      <c r="Z50" s="429"/>
      <c r="AA50" s="427"/>
      <c r="AB50" s="289" t="s">
        <v>720</v>
      </c>
      <c r="AC50" s="292"/>
      <c r="AD50" s="292">
        <v>20000</v>
      </c>
      <c r="AE50" s="396" t="s">
        <v>480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535" t="s">
        <v>375</v>
      </c>
      <c r="P51" s="291"/>
      <c r="Q51" s="291"/>
      <c r="R51" s="291"/>
      <c r="S51" s="291"/>
      <c r="T51" s="289"/>
      <c r="U51" s="289"/>
      <c r="V51" s="289"/>
      <c r="W51" s="447" t="s">
        <v>360</v>
      </c>
      <c r="X51" s="447"/>
      <c r="Y51" s="447"/>
      <c r="Z51" s="447"/>
      <c r="AA51" s="447"/>
      <c r="AB51" s="447"/>
      <c r="AC51" s="448" t="s">
        <v>369</v>
      </c>
      <c r="AD51" s="448">
        <f>ROUND(SUM(AD52:AD53),-3)</f>
        <v>256000</v>
      </c>
      <c r="AE51" s="449" t="s">
        <v>357</v>
      </c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1"/>
      <c r="P52" s="291"/>
      <c r="Q52" s="291"/>
      <c r="R52" s="291"/>
      <c r="S52" s="289">
        <f>S49</f>
        <v>31160000</v>
      </c>
      <c r="T52" s="427" t="s">
        <v>357</v>
      </c>
      <c r="U52" s="426" t="s">
        <v>371</v>
      </c>
      <c r="V52" s="549">
        <v>7.6E-3</v>
      </c>
      <c r="W52" s="426"/>
      <c r="X52" s="428"/>
      <c r="Y52" s="429"/>
      <c r="Z52" s="429"/>
      <c r="AA52" s="427" t="s">
        <v>368</v>
      </c>
      <c r="AB52" s="289" t="s">
        <v>485</v>
      </c>
      <c r="AC52" s="292"/>
      <c r="AD52" s="292">
        <f>ROUNDDOWN(S52*V52,-3)</f>
        <v>236000</v>
      </c>
      <c r="AE52" s="396" t="s">
        <v>357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/>
      <c r="T53" s="427"/>
      <c r="U53" s="426"/>
      <c r="V53" s="549"/>
      <c r="W53" s="426"/>
      <c r="X53" s="428"/>
      <c r="Y53" s="429"/>
      <c r="Z53" s="429"/>
      <c r="AA53" s="427"/>
      <c r="AB53" s="289" t="s">
        <v>720</v>
      </c>
      <c r="AC53" s="292"/>
      <c r="AD53" s="292">
        <v>20000</v>
      </c>
      <c r="AE53" s="396" t="s">
        <v>480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91"/>
      <c r="T54" s="289"/>
      <c r="U54" s="289"/>
      <c r="V54" s="289"/>
      <c r="W54" s="289"/>
      <c r="X54" s="289"/>
      <c r="Y54" s="289"/>
      <c r="Z54" s="289"/>
      <c r="AA54" s="289"/>
      <c r="AB54" s="289"/>
      <c r="AC54" s="292"/>
      <c r="AD54" s="292"/>
      <c r="AE54" s="396"/>
      <c r="AF54" s="2"/>
    </row>
    <row r="55" spans="1:32" s="11" customFormat="1" ht="21" customHeight="1">
      <c r="A55" s="45"/>
      <c r="B55" s="46"/>
      <c r="C55" s="36" t="s">
        <v>83</v>
      </c>
      <c r="D55" s="162">
        <v>358</v>
      </c>
      <c r="E55" s="114">
        <f>AD55/1000</f>
        <v>70</v>
      </c>
      <c r="F55" s="114">
        <v>0</v>
      </c>
      <c r="G55" s="114">
        <v>0</v>
      </c>
      <c r="H55" s="114">
        <f>AD56/1000</f>
        <v>0</v>
      </c>
      <c r="I55" s="114">
        <f>SUM(AD57:AD58)/1000</f>
        <v>70</v>
      </c>
      <c r="J55" s="114">
        <v>0</v>
      </c>
      <c r="K55" s="114">
        <v>0</v>
      </c>
      <c r="L55" s="114">
        <v>0</v>
      </c>
      <c r="M55" s="113">
        <f>E55-D55</f>
        <v>-288</v>
      </c>
      <c r="N55" s="121">
        <f>IF(D55=0,0,M55/D55)</f>
        <v>-0.8044692737430168</v>
      </c>
      <c r="O55" s="97" t="s">
        <v>84</v>
      </c>
      <c r="P55" s="177"/>
      <c r="Q55" s="93"/>
      <c r="R55" s="93"/>
      <c r="S55" s="93"/>
      <c r="T55" s="89"/>
      <c r="U55" s="89"/>
      <c r="V55" s="89"/>
      <c r="W55" s="178" t="s">
        <v>135</v>
      </c>
      <c r="X55" s="178"/>
      <c r="Y55" s="178"/>
      <c r="Z55" s="178"/>
      <c r="AA55" s="178"/>
      <c r="AB55" s="178"/>
      <c r="AC55" s="180"/>
      <c r="AD55" s="180">
        <f>SUM(AD56:AD58)</f>
        <v>70000</v>
      </c>
      <c r="AE55" s="179" t="s">
        <v>25</v>
      </c>
      <c r="AF55" s="21"/>
    </row>
    <row r="56" spans="1:32" s="11" customFormat="1" ht="21" customHeight="1">
      <c r="A56" s="45"/>
      <c r="B56" s="46"/>
      <c r="C56" s="46" t="s">
        <v>138</v>
      </c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649" t="s">
        <v>487</v>
      </c>
      <c r="P56" s="649"/>
      <c r="Q56" s="649"/>
      <c r="R56" s="649"/>
      <c r="S56" s="648">
        <v>300000</v>
      </c>
      <c r="T56" s="384" t="s">
        <v>488</v>
      </c>
      <c r="U56" s="550" t="s">
        <v>489</v>
      </c>
      <c r="V56" s="552">
        <v>0</v>
      </c>
      <c r="W56" s="550" t="s">
        <v>490</v>
      </c>
      <c r="X56" s="553"/>
      <c r="Y56" s="76"/>
      <c r="Z56" s="76"/>
      <c r="AA56" s="384" t="s">
        <v>491</v>
      </c>
      <c r="AB56" s="648" t="s">
        <v>492</v>
      </c>
      <c r="AC56" s="136"/>
      <c r="AD56" s="136">
        <f>ROUNDUP(S56*V56,-3)</f>
        <v>0</v>
      </c>
      <c r="AE56" s="137" t="s">
        <v>488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678" t="s">
        <v>695</v>
      </c>
      <c r="P57" s="678"/>
      <c r="Q57" s="678"/>
      <c r="R57" s="678"/>
      <c r="S57" s="677">
        <v>50000</v>
      </c>
      <c r="T57" s="384" t="s">
        <v>696</v>
      </c>
      <c r="U57" s="550" t="s">
        <v>58</v>
      </c>
      <c r="V57" s="552">
        <v>1</v>
      </c>
      <c r="W57" s="550" t="s">
        <v>56</v>
      </c>
      <c r="X57" s="553"/>
      <c r="Y57" s="76"/>
      <c r="Z57" s="76"/>
      <c r="AA57" s="384"/>
      <c r="AB57" s="677" t="s">
        <v>724</v>
      </c>
      <c r="AC57" s="136"/>
      <c r="AD57" s="136">
        <f>ROUNDUP(S57*V57,-3)</f>
        <v>50000</v>
      </c>
      <c r="AE57" s="137" t="s">
        <v>696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669" t="s">
        <v>495</v>
      </c>
      <c r="P58" s="669"/>
      <c r="Q58" s="669"/>
      <c r="R58" s="669"/>
      <c r="S58" s="668">
        <v>20000</v>
      </c>
      <c r="T58" s="384" t="s">
        <v>57</v>
      </c>
      <c r="U58" s="550" t="s">
        <v>58</v>
      </c>
      <c r="V58" s="552">
        <v>1</v>
      </c>
      <c r="W58" s="550" t="s">
        <v>56</v>
      </c>
      <c r="X58" s="553"/>
      <c r="Y58" s="76"/>
      <c r="Z58" s="76"/>
      <c r="AA58" s="384" t="s">
        <v>53</v>
      </c>
      <c r="AB58" s="668" t="s">
        <v>496</v>
      </c>
      <c r="AC58" s="136"/>
      <c r="AD58" s="136">
        <f>ROUNDUP(S58*V58,-3)</f>
        <v>20000</v>
      </c>
      <c r="AE58" s="137" t="s">
        <v>57</v>
      </c>
      <c r="AF58" s="2"/>
    </row>
    <row r="59" spans="1:32" s="11" customFormat="1" ht="21" customHeight="1">
      <c r="A59" s="45"/>
      <c r="B59" s="59"/>
      <c r="C59" s="59"/>
      <c r="D59" s="161"/>
      <c r="E59" s="111"/>
      <c r="F59" s="111"/>
      <c r="G59" s="111"/>
      <c r="H59" s="111"/>
      <c r="I59" s="111"/>
      <c r="J59" s="111"/>
      <c r="K59" s="111"/>
      <c r="L59" s="111"/>
      <c r="M59" s="111"/>
      <c r="N59" s="84"/>
      <c r="O59" s="382"/>
      <c r="P59" s="382"/>
      <c r="Q59" s="382"/>
      <c r="R59" s="382"/>
      <c r="S59" s="554"/>
      <c r="T59" s="555"/>
      <c r="U59" s="555"/>
      <c r="V59" s="555"/>
      <c r="W59" s="554"/>
      <c r="X59" s="555"/>
      <c r="Y59" s="555"/>
      <c r="Z59" s="555"/>
      <c r="AA59" s="554"/>
      <c r="AB59" s="555"/>
      <c r="AC59" s="555"/>
      <c r="AD59" s="554"/>
      <c r="AE59" s="556"/>
      <c r="AF59" s="2"/>
    </row>
    <row r="60" spans="1:32" s="11" customFormat="1" ht="21" customHeight="1">
      <c r="A60" s="45"/>
      <c r="B60" s="46" t="s">
        <v>137</v>
      </c>
      <c r="C60" s="46" t="s">
        <v>5</v>
      </c>
      <c r="D60" s="109">
        <f>SUM(D61,D64,D66)</f>
        <v>50</v>
      </c>
      <c r="E60" s="109">
        <f>SUM(E61,E64,E66)</f>
        <v>150</v>
      </c>
      <c r="F60" s="109">
        <f t="shared" ref="F60:L60" si="6">SUM(F61,F64,F66)</f>
        <v>0</v>
      </c>
      <c r="G60" s="109">
        <f t="shared" si="6"/>
        <v>0</v>
      </c>
      <c r="H60" s="109">
        <f t="shared" si="6"/>
        <v>0</v>
      </c>
      <c r="I60" s="109">
        <f t="shared" si="6"/>
        <v>0</v>
      </c>
      <c r="J60" s="109">
        <f t="shared" si="6"/>
        <v>150</v>
      </c>
      <c r="K60" s="109">
        <f t="shared" si="6"/>
        <v>0</v>
      </c>
      <c r="L60" s="109">
        <f t="shared" si="6"/>
        <v>0</v>
      </c>
      <c r="M60" s="109">
        <f>E60-D60</f>
        <v>100</v>
      </c>
      <c r="N60" s="70">
        <f>IF(D60=0,0,M60/D60)</f>
        <v>2</v>
      </c>
      <c r="O60" s="187" t="s">
        <v>144</v>
      </c>
      <c r="P60" s="32"/>
      <c r="Q60" s="32"/>
      <c r="R60" s="32"/>
      <c r="S60" s="33"/>
      <c r="T60" s="33"/>
      <c r="U60" s="33"/>
      <c r="V60" s="33"/>
      <c r="W60" s="190"/>
      <c r="X60" s="190"/>
      <c r="Y60" s="190"/>
      <c r="Z60" s="190"/>
      <c r="AA60" s="190"/>
      <c r="AB60" s="190"/>
      <c r="AC60" s="94"/>
      <c r="AD60" s="94">
        <f>SUM(AD61,AD64,AD66)</f>
        <v>150000</v>
      </c>
      <c r="AE60" s="95" t="s">
        <v>25</v>
      </c>
      <c r="AF60" s="5"/>
    </row>
    <row r="61" spans="1:32" s="11" customFormat="1" ht="21" customHeight="1">
      <c r="A61" s="45"/>
      <c r="B61" s="46" t="s">
        <v>143</v>
      </c>
      <c r="C61" s="36" t="s">
        <v>10</v>
      </c>
      <c r="D61" s="162">
        <v>0</v>
      </c>
      <c r="E61" s="114">
        <f>AD61/1000</f>
        <v>50</v>
      </c>
      <c r="F61" s="113">
        <v>0</v>
      </c>
      <c r="G61" s="113">
        <v>0</v>
      </c>
      <c r="H61" s="113">
        <v>0</v>
      </c>
      <c r="I61" s="113">
        <v>0</v>
      </c>
      <c r="J61" s="113">
        <f>AD62/1000</f>
        <v>50</v>
      </c>
      <c r="K61" s="113">
        <v>0</v>
      </c>
      <c r="L61" s="113">
        <v>0</v>
      </c>
      <c r="M61" s="113">
        <f>E61-D61</f>
        <v>50</v>
      </c>
      <c r="N61" s="121">
        <f>IF(D61=0,0,M61/D61)</f>
        <v>0</v>
      </c>
      <c r="O61" s="97" t="s">
        <v>37</v>
      </c>
      <c r="P61" s="151"/>
      <c r="Q61" s="166"/>
      <c r="R61" s="166"/>
      <c r="S61" s="166"/>
      <c r="T61" s="88"/>
      <c r="U61" s="88"/>
      <c r="V61" s="88"/>
      <c r="W61" s="88"/>
      <c r="X61" s="88"/>
      <c r="Y61" s="178" t="s">
        <v>146</v>
      </c>
      <c r="Z61" s="178"/>
      <c r="AA61" s="178"/>
      <c r="AB61" s="178"/>
      <c r="AC61" s="180"/>
      <c r="AD61" s="180">
        <f>AD62</f>
        <v>50000</v>
      </c>
      <c r="AE61" s="179" t="s">
        <v>25</v>
      </c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678" t="s">
        <v>507</v>
      </c>
      <c r="P62" s="537"/>
      <c r="Q62" s="537"/>
      <c r="R62" s="537"/>
      <c r="S62" s="536"/>
      <c r="T62" s="390"/>
      <c r="U62" s="390"/>
      <c r="V62" s="536"/>
      <c r="W62" s="537"/>
      <c r="X62" s="536"/>
      <c r="Y62" s="536"/>
      <c r="Z62" s="536"/>
      <c r="AA62" s="536"/>
      <c r="AB62" s="677" t="s">
        <v>508</v>
      </c>
      <c r="AC62" s="536"/>
      <c r="AD62" s="623">
        <v>50000</v>
      </c>
      <c r="AE62" s="137" t="s">
        <v>380</v>
      </c>
      <c r="AF62" s="2"/>
    </row>
    <row r="63" spans="1:32" s="11" customFormat="1" ht="21" customHeight="1">
      <c r="A63" s="45"/>
      <c r="B63" s="46"/>
      <c r="C63" s="59"/>
      <c r="D63" s="161"/>
      <c r="E63" s="111"/>
      <c r="F63" s="111"/>
      <c r="G63" s="111"/>
      <c r="H63" s="111"/>
      <c r="I63" s="111"/>
      <c r="J63" s="111"/>
      <c r="K63" s="111"/>
      <c r="L63" s="111"/>
      <c r="M63" s="111"/>
      <c r="N63" s="84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124"/>
      <c r="AF63" s="1"/>
    </row>
    <row r="64" spans="1:32" s="11" customFormat="1" ht="21" customHeight="1">
      <c r="A64" s="45"/>
      <c r="B64" s="46"/>
      <c r="C64" s="46" t="s">
        <v>11</v>
      </c>
      <c r="D64" s="160">
        <v>0</v>
      </c>
      <c r="E64" s="114">
        <f>AD64/1000</f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f>E64-D64</f>
        <v>0</v>
      </c>
      <c r="N64" s="70">
        <f>IF(D64=0,0,M64/D64)</f>
        <v>0</v>
      </c>
      <c r="O64" s="97" t="s">
        <v>145</v>
      </c>
      <c r="P64" s="177"/>
      <c r="Q64" s="32"/>
      <c r="R64" s="32"/>
      <c r="S64" s="32"/>
      <c r="T64" s="33"/>
      <c r="U64" s="33"/>
      <c r="V64" s="33"/>
      <c r="W64" s="33"/>
      <c r="X64" s="33"/>
      <c r="Y64" s="178" t="s">
        <v>146</v>
      </c>
      <c r="Z64" s="178"/>
      <c r="AA64" s="178"/>
      <c r="AB64" s="178"/>
      <c r="AC64" s="180"/>
      <c r="AD64" s="180">
        <v>0</v>
      </c>
      <c r="AE64" s="179" t="s">
        <v>25</v>
      </c>
      <c r="AF64" s="1"/>
    </row>
    <row r="65" spans="1:34" s="11" customFormat="1" ht="21" customHeight="1">
      <c r="A65" s="45"/>
      <c r="B65" s="46"/>
      <c r="C65" s="59"/>
      <c r="D65" s="161"/>
      <c r="E65" s="111"/>
      <c r="F65" s="111"/>
      <c r="G65" s="111"/>
      <c r="H65" s="111"/>
      <c r="I65" s="111"/>
      <c r="J65" s="111"/>
      <c r="K65" s="111"/>
      <c r="L65" s="111"/>
      <c r="M65" s="111"/>
      <c r="N65" s="84"/>
      <c r="O65" s="155"/>
      <c r="P65" s="81"/>
      <c r="Q65" s="81"/>
      <c r="R65" s="81"/>
      <c r="S65" s="80"/>
      <c r="T65" s="85"/>
      <c r="U65" s="85"/>
      <c r="V65" s="80"/>
      <c r="W65" s="81"/>
      <c r="X65" s="80"/>
      <c r="Y65" s="80"/>
      <c r="Z65" s="80"/>
      <c r="AA65" s="80"/>
      <c r="AB65" s="80"/>
      <c r="AC65" s="80"/>
      <c r="AD65" s="80"/>
      <c r="AE65" s="73"/>
      <c r="AF65" s="1"/>
    </row>
    <row r="66" spans="1:34" s="11" customFormat="1" ht="21" customHeight="1">
      <c r="A66" s="45"/>
      <c r="B66" s="46"/>
      <c r="C66" s="46" t="s">
        <v>85</v>
      </c>
      <c r="D66" s="160">
        <v>50</v>
      </c>
      <c r="E66" s="114">
        <f>AD66/1000</f>
        <v>100</v>
      </c>
      <c r="F66" s="109">
        <v>0</v>
      </c>
      <c r="G66" s="109">
        <v>0</v>
      </c>
      <c r="H66" s="109">
        <v>0</v>
      </c>
      <c r="I66" s="109">
        <v>0</v>
      </c>
      <c r="J66" s="109">
        <f>AD67/1000</f>
        <v>100</v>
      </c>
      <c r="K66" s="113">
        <v>0</v>
      </c>
      <c r="L66" s="109">
        <v>0</v>
      </c>
      <c r="M66" s="109">
        <f>E66-D66</f>
        <v>50</v>
      </c>
      <c r="N66" s="70">
        <f>IF(D66=0,0,M66/D66)</f>
        <v>1</v>
      </c>
      <c r="O66" s="116" t="s">
        <v>38</v>
      </c>
      <c r="P66" s="32"/>
      <c r="Q66" s="32"/>
      <c r="R66" s="32"/>
      <c r="S66" s="32"/>
      <c r="T66" s="33"/>
      <c r="U66" s="33"/>
      <c r="V66" s="33"/>
      <c r="W66" s="33"/>
      <c r="X66" s="33"/>
      <c r="Y66" s="178" t="s">
        <v>146</v>
      </c>
      <c r="Z66" s="178"/>
      <c r="AA66" s="178"/>
      <c r="AB66" s="178"/>
      <c r="AC66" s="180"/>
      <c r="AD66" s="180">
        <f>SUM(AD67:AD67)</f>
        <v>100000</v>
      </c>
      <c r="AE66" s="179" t="s">
        <v>25</v>
      </c>
      <c r="AF66" s="1"/>
    </row>
    <row r="67" spans="1:34" s="14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291" t="s">
        <v>509</v>
      </c>
      <c r="P67" s="291"/>
      <c r="Q67" s="291"/>
      <c r="R67" s="291"/>
      <c r="S67" s="677">
        <v>25000</v>
      </c>
      <c r="T67" s="677" t="s">
        <v>57</v>
      </c>
      <c r="U67" s="678" t="s">
        <v>58</v>
      </c>
      <c r="V67" s="677">
        <v>4</v>
      </c>
      <c r="W67" s="677" t="s">
        <v>510</v>
      </c>
      <c r="X67" s="678"/>
      <c r="Y67" s="391"/>
      <c r="Z67" s="384"/>
      <c r="AA67" s="384" t="s">
        <v>53</v>
      </c>
      <c r="AB67" s="384" t="s">
        <v>508</v>
      </c>
      <c r="AC67" s="621"/>
      <c r="AD67" s="621">
        <f>S67*V67</f>
        <v>100000</v>
      </c>
      <c r="AE67" s="137" t="s">
        <v>57</v>
      </c>
      <c r="AF67" s="4"/>
    </row>
    <row r="68" spans="1:34" s="14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37"/>
      <c r="P68" s="537"/>
      <c r="Q68" s="537"/>
      <c r="R68" s="537"/>
      <c r="S68" s="536"/>
      <c r="T68" s="390"/>
      <c r="U68" s="390"/>
      <c r="V68" s="536"/>
      <c r="W68" s="537"/>
      <c r="X68" s="536"/>
      <c r="Y68" s="536"/>
      <c r="Z68" s="536"/>
      <c r="AA68" s="536"/>
      <c r="AB68" s="536"/>
      <c r="AC68" s="536"/>
      <c r="AD68" s="536"/>
      <c r="AE68" s="137"/>
      <c r="AF68" s="4"/>
    </row>
    <row r="69" spans="1:34" s="11" customFormat="1" ht="21" customHeight="1">
      <c r="A69" s="45"/>
      <c r="B69" s="36" t="s">
        <v>12</v>
      </c>
      <c r="C69" s="174" t="s">
        <v>5</v>
      </c>
      <c r="D69" s="175">
        <f t="shared" ref="D69:L69" si="7">SUM(D70,D73,D77,D84,D92,D96)</f>
        <v>8360</v>
      </c>
      <c r="E69" s="175">
        <f t="shared" si="7"/>
        <v>9017</v>
      </c>
      <c r="F69" s="175">
        <f t="shared" si="7"/>
        <v>6127</v>
      </c>
      <c r="G69" s="175">
        <f t="shared" si="7"/>
        <v>0</v>
      </c>
      <c r="H69" s="175">
        <f t="shared" si="7"/>
        <v>0</v>
      </c>
      <c r="I69" s="175">
        <f t="shared" si="7"/>
        <v>100</v>
      </c>
      <c r="J69" s="175">
        <f t="shared" si="7"/>
        <v>2790</v>
      </c>
      <c r="K69" s="175">
        <f t="shared" si="7"/>
        <v>0</v>
      </c>
      <c r="L69" s="175">
        <f t="shared" si="7"/>
        <v>0</v>
      </c>
      <c r="M69" s="175">
        <f>E69-D69</f>
        <v>657</v>
      </c>
      <c r="N69" s="176">
        <f>IF(D69=0,0,M69/D69)</f>
        <v>7.8588516746411485E-2</v>
      </c>
      <c r="O69" s="177" t="s">
        <v>148</v>
      </c>
      <c r="P69" s="177"/>
      <c r="Q69" s="177"/>
      <c r="R69" s="177"/>
      <c r="S69" s="178"/>
      <c r="T69" s="192"/>
      <c r="U69" s="178"/>
      <c r="V69" s="750"/>
      <c r="W69" s="751"/>
      <c r="X69" s="178"/>
      <c r="Y69" s="178"/>
      <c r="Z69" s="178"/>
      <c r="AA69" s="178"/>
      <c r="AB69" s="178"/>
      <c r="AC69" s="178"/>
      <c r="AD69" s="178">
        <f>SUM(AD70,AD73,AD77,AD84,AD92,AD96)</f>
        <v>9017000</v>
      </c>
      <c r="AE69" s="179" t="s">
        <v>25</v>
      </c>
      <c r="AF69" s="1"/>
    </row>
    <row r="70" spans="1:34" s="11" customFormat="1" ht="21" customHeight="1">
      <c r="A70" s="45"/>
      <c r="B70" s="46"/>
      <c r="C70" s="46" t="s">
        <v>86</v>
      </c>
      <c r="D70" s="160">
        <v>10</v>
      </c>
      <c r="E70" s="114">
        <f>AD70/1000</f>
        <v>100</v>
      </c>
      <c r="F70" s="109">
        <v>0</v>
      </c>
      <c r="G70" s="109">
        <v>0</v>
      </c>
      <c r="H70" s="109">
        <v>0</v>
      </c>
      <c r="I70" s="109">
        <f>AD71/1000</f>
        <v>100</v>
      </c>
      <c r="J70" s="109">
        <v>0</v>
      </c>
      <c r="K70" s="109">
        <v>0</v>
      </c>
      <c r="L70" s="109">
        <v>0</v>
      </c>
      <c r="M70" s="109">
        <f>E70-D70</f>
        <v>90</v>
      </c>
      <c r="N70" s="70">
        <f>IF(D70=0,0,M70/D70)</f>
        <v>9</v>
      </c>
      <c r="O70" s="116" t="s">
        <v>40</v>
      </c>
      <c r="P70" s="32"/>
      <c r="Q70" s="32"/>
      <c r="R70" s="32"/>
      <c r="S70" s="32"/>
      <c r="T70" s="33"/>
      <c r="U70" s="33"/>
      <c r="V70" s="33"/>
      <c r="W70" s="33"/>
      <c r="X70" s="33"/>
      <c r="Y70" s="523" t="s">
        <v>146</v>
      </c>
      <c r="Z70" s="523"/>
      <c r="AA70" s="523"/>
      <c r="AB70" s="523"/>
      <c r="AC70" s="180"/>
      <c r="AD70" s="180">
        <f>SUM(AD71:AD71)</f>
        <v>100000</v>
      </c>
      <c r="AE70" s="179" t="s">
        <v>25</v>
      </c>
      <c r="AF70" s="20"/>
      <c r="AG70" s="19"/>
      <c r="AH70" s="19"/>
    </row>
    <row r="71" spans="1:34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291" t="s">
        <v>299</v>
      </c>
      <c r="P71" s="291"/>
      <c r="Q71" s="291"/>
      <c r="R71" s="291"/>
      <c r="S71" s="289">
        <v>50000</v>
      </c>
      <c r="T71" s="430" t="s">
        <v>25</v>
      </c>
      <c r="U71" s="430" t="s">
        <v>26</v>
      </c>
      <c r="V71" s="289">
        <v>1</v>
      </c>
      <c r="W71" s="430" t="s">
        <v>149</v>
      </c>
      <c r="X71" s="289" t="s">
        <v>26</v>
      </c>
      <c r="Y71" s="289">
        <v>2</v>
      </c>
      <c r="Z71" s="289" t="s">
        <v>287</v>
      </c>
      <c r="AA71" s="289" t="s">
        <v>27</v>
      </c>
      <c r="AB71" s="289" t="s">
        <v>511</v>
      </c>
      <c r="AC71" s="289"/>
      <c r="AD71" s="289">
        <f>S71*V71*Y71</f>
        <v>100000</v>
      </c>
      <c r="AE71" s="396" t="s">
        <v>286</v>
      </c>
      <c r="AF71" s="2"/>
    </row>
    <row r="72" spans="1:34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189"/>
      <c r="P72" s="50"/>
      <c r="Q72" s="50"/>
      <c r="R72" s="50"/>
      <c r="S72" s="51"/>
      <c r="T72" s="55"/>
      <c r="U72" s="55"/>
      <c r="V72" s="51"/>
      <c r="W72" s="55"/>
      <c r="X72" s="51"/>
      <c r="Y72" s="51"/>
      <c r="Z72" s="188"/>
      <c r="AA72" s="51"/>
      <c r="AB72" s="188"/>
      <c r="AC72" s="51"/>
      <c r="AD72" s="51"/>
      <c r="AE72" s="57" t="s">
        <v>67</v>
      </c>
      <c r="AF72" s="2"/>
    </row>
    <row r="73" spans="1:34" s="11" customFormat="1" ht="21" customHeight="1">
      <c r="A73" s="45"/>
      <c r="B73" s="46"/>
      <c r="C73" s="36" t="s">
        <v>41</v>
      </c>
      <c r="D73" s="162">
        <v>2661</v>
      </c>
      <c r="E73" s="114">
        <f>AD73/1000</f>
        <v>2300</v>
      </c>
      <c r="F73" s="123">
        <f>AD74/1000</f>
        <v>1800</v>
      </c>
      <c r="G73" s="123">
        <v>0</v>
      </c>
      <c r="H73" s="123">
        <v>0</v>
      </c>
      <c r="I73" s="123">
        <v>0</v>
      </c>
      <c r="J73" s="123">
        <f>AD75/1000</f>
        <v>500</v>
      </c>
      <c r="K73" s="123">
        <v>0</v>
      </c>
      <c r="L73" s="123">
        <v>0</v>
      </c>
      <c r="M73" s="113">
        <f>E73-D73</f>
        <v>-361</v>
      </c>
      <c r="N73" s="121">
        <f>IF(D73=0,0,M73/D73)</f>
        <v>-0.13566328447951898</v>
      </c>
      <c r="O73" s="397" t="s">
        <v>42</v>
      </c>
      <c r="P73" s="398"/>
      <c r="Q73" s="398"/>
      <c r="R73" s="398"/>
      <c r="S73" s="398"/>
      <c r="T73" s="399"/>
      <c r="U73" s="399"/>
      <c r="V73" s="399"/>
      <c r="W73" s="399"/>
      <c r="X73" s="399"/>
      <c r="Y73" s="400" t="s">
        <v>28</v>
      </c>
      <c r="Z73" s="400"/>
      <c r="AA73" s="400"/>
      <c r="AB73" s="400"/>
      <c r="AC73" s="401"/>
      <c r="AD73" s="401">
        <f>ROUNDDOWN(SUM(AD74:AD75),-3)</f>
        <v>2300000</v>
      </c>
      <c r="AE73" s="179" t="s">
        <v>25</v>
      </c>
      <c r="AF73" s="1"/>
    </row>
    <row r="74" spans="1:34" s="11" customFormat="1" ht="21" customHeight="1">
      <c r="A74" s="45"/>
      <c r="B74" s="46"/>
      <c r="C74" s="46" t="s">
        <v>153</v>
      </c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402" t="s">
        <v>512</v>
      </c>
      <c r="P74" s="537"/>
      <c r="Q74" s="537"/>
      <c r="R74" s="537"/>
      <c r="S74" s="536"/>
      <c r="T74" s="390"/>
      <c r="U74" s="536"/>
      <c r="V74" s="403">
        <v>150000</v>
      </c>
      <c r="W74" s="404" t="s">
        <v>57</v>
      </c>
      <c r="X74" s="404" t="s">
        <v>26</v>
      </c>
      <c r="Y74" s="403">
        <v>12</v>
      </c>
      <c r="Z74" s="405" t="s">
        <v>29</v>
      </c>
      <c r="AA74" s="403" t="s">
        <v>27</v>
      </c>
      <c r="AB74" s="386" t="s">
        <v>386</v>
      </c>
      <c r="AC74" s="386"/>
      <c r="AD74" s="621">
        <f>V74*Y74</f>
        <v>1800000</v>
      </c>
      <c r="AE74" s="557" t="s">
        <v>25</v>
      </c>
      <c r="AF74" s="1"/>
    </row>
    <row r="75" spans="1:34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678" t="s">
        <v>513</v>
      </c>
      <c r="P75" s="537"/>
      <c r="Q75" s="537"/>
      <c r="R75" s="537"/>
      <c r="S75" s="536"/>
      <c r="T75" s="390"/>
      <c r="U75" s="390"/>
      <c r="V75" s="536"/>
      <c r="W75" s="537"/>
      <c r="X75" s="536"/>
      <c r="Y75" s="536"/>
      <c r="Z75" s="536"/>
      <c r="AA75" s="536"/>
      <c r="AB75" s="677" t="s">
        <v>508</v>
      </c>
      <c r="AC75" s="536"/>
      <c r="AD75" s="536">
        <v>500000</v>
      </c>
      <c r="AE75" s="137" t="s">
        <v>377</v>
      </c>
      <c r="AF75" s="20"/>
    </row>
    <row r="76" spans="1:34" s="11" customFormat="1" ht="21" customHeight="1">
      <c r="A76" s="45"/>
      <c r="B76" s="46"/>
      <c r="C76" s="59"/>
      <c r="D76" s="161"/>
      <c r="E76" s="111"/>
      <c r="F76" s="111"/>
      <c r="G76" s="111"/>
      <c r="H76" s="111"/>
      <c r="I76" s="111"/>
      <c r="J76" s="111"/>
      <c r="K76" s="111"/>
      <c r="L76" s="111"/>
      <c r="M76" s="111"/>
      <c r="N76" s="84"/>
      <c r="O76" s="538"/>
      <c r="P76" s="538"/>
      <c r="Q76" s="538"/>
      <c r="R76" s="538"/>
      <c r="S76" s="538"/>
      <c r="T76" s="538"/>
      <c r="U76" s="538"/>
      <c r="V76" s="538"/>
      <c r="W76" s="538"/>
      <c r="X76" s="538"/>
      <c r="Y76" s="538"/>
      <c r="Z76" s="538"/>
      <c r="AA76" s="538"/>
      <c r="AB76" s="538"/>
      <c r="AC76" s="538"/>
      <c r="AD76" s="539"/>
      <c r="AE76" s="540"/>
      <c r="AF76" s="1"/>
    </row>
    <row r="77" spans="1:34" s="11" customFormat="1" ht="21" customHeight="1">
      <c r="A77" s="45"/>
      <c r="B77" s="46"/>
      <c r="C77" s="46" t="s">
        <v>39</v>
      </c>
      <c r="D77" s="160">
        <v>4539</v>
      </c>
      <c r="E77" s="114">
        <f>AD77/1000</f>
        <v>5170</v>
      </c>
      <c r="F77" s="589">
        <f>SUM(AD78,AD80)/1000</f>
        <v>3480</v>
      </c>
      <c r="G77" s="589">
        <v>0</v>
      </c>
      <c r="H77" s="589">
        <v>0</v>
      </c>
      <c r="I77" s="589">
        <v>0</v>
      </c>
      <c r="J77" s="589">
        <f>SUM(AD79,AD81:AD82)/1000</f>
        <v>1690</v>
      </c>
      <c r="K77" s="589">
        <v>0</v>
      </c>
      <c r="L77" s="589">
        <v>0</v>
      </c>
      <c r="M77" s="109">
        <f>E77-D77</f>
        <v>631</v>
      </c>
      <c r="N77" s="70">
        <f>IF(D77=0,0,M77/D77)</f>
        <v>0.13901740471469487</v>
      </c>
      <c r="O77" s="431" t="s">
        <v>43</v>
      </c>
      <c r="P77" s="432"/>
      <c r="Q77" s="432"/>
      <c r="R77" s="432"/>
      <c r="S77" s="432"/>
      <c r="T77" s="433"/>
      <c r="U77" s="433"/>
      <c r="V77" s="433"/>
      <c r="W77" s="433"/>
      <c r="X77" s="433"/>
      <c r="Y77" s="434" t="s">
        <v>292</v>
      </c>
      <c r="Z77" s="434"/>
      <c r="AA77" s="434"/>
      <c r="AB77" s="434"/>
      <c r="AC77" s="435"/>
      <c r="AD77" s="435">
        <f>ROUND(SUM(AD78:AD82),-3)</f>
        <v>5170000</v>
      </c>
      <c r="AE77" s="436" t="s">
        <v>25</v>
      </c>
      <c r="AF77" s="1"/>
    </row>
    <row r="78" spans="1:34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437" t="s">
        <v>514</v>
      </c>
      <c r="P78" s="291"/>
      <c r="Q78" s="291"/>
      <c r="R78" s="291"/>
      <c r="S78" s="289">
        <v>40000</v>
      </c>
      <c r="T78" s="439" t="s">
        <v>25</v>
      </c>
      <c r="U78" s="439" t="s">
        <v>26</v>
      </c>
      <c r="V78" s="438">
        <v>12</v>
      </c>
      <c r="W78" s="440" t="s">
        <v>29</v>
      </c>
      <c r="X78" s="438" t="s">
        <v>27</v>
      </c>
      <c r="Y78" s="289"/>
      <c r="Z78" s="289"/>
      <c r="AA78" s="289"/>
      <c r="AB78" s="289" t="s">
        <v>295</v>
      </c>
      <c r="AC78" s="289"/>
      <c r="AD78" s="289">
        <f>S78*V78</f>
        <v>480000</v>
      </c>
      <c r="AE78" s="396" t="s">
        <v>25</v>
      </c>
      <c r="AF78" s="1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291"/>
      <c r="P79" s="291"/>
      <c r="Q79" s="291"/>
      <c r="R79" s="291"/>
      <c r="S79" s="289">
        <v>20000</v>
      </c>
      <c r="T79" s="430" t="s">
        <v>286</v>
      </c>
      <c r="U79" s="430" t="s">
        <v>26</v>
      </c>
      <c r="V79" s="289">
        <v>12</v>
      </c>
      <c r="W79" s="291" t="s">
        <v>290</v>
      </c>
      <c r="X79" s="289" t="s">
        <v>27</v>
      </c>
      <c r="Y79" s="289"/>
      <c r="Z79" s="289"/>
      <c r="AA79" s="289"/>
      <c r="AB79" s="289" t="s">
        <v>515</v>
      </c>
      <c r="AC79" s="289"/>
      <c r="AD79" s="289">
        <f>S79*V79</f>
        <v>240000</v>
      </c>
      <c r="AE79" s="396" t="s">
        <v>286</v>
      </c>
      <c r="AF79" s="1"/>
    </row>
    <row r="80" spans="1:34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291" t="s">
        <v>516</v>
      </c>
      <c r="P80" s="291"/>
      <c r="Q80" s="291"/>
      <c r="R80" s="291"/>
      <c r="S80" s="289">
        <v>250000</v>
      </c>
      <c r="T80" s="430" t="s">
        <v>286</v>
      </c>
      <c r="U80" s="430" t="s">
        <v>26</v>
      </c>
      <c r="V80" s="289">
        <v>12</v>
      </c>
      <c r="W80" s="291" t="s">
        <v>290</v>
      </c>
      <c r="X80" s="289" t="s">
        <v>27</v>
      </c>
      <c r="Y80" s="289"/>
      <c r="Z80" s="289"/>
      <c r="AA80" s="289"/>
      <c r="AB80" s="289" t="s">
        <v>295</v>
      </c>
      <c r="AC80" s="289"/>
      <c r="AD80" s="289">
        <f>S80*V80</f>
        <v>3000000</v>
      </c>
      <c r="AE80" s="396" t="s">
        <v>25</v>
      </c>
      <c r="AF80" s="1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291"/>
      <c r="P81" s="291"/>
      <c r="Q81" s="291"/>
      <c r="R81" s="291"/>
      <c r="S81" s="289">
        <v>100000</v>
      </c>
      <c r="T81" s="430" t="s">
        <v>57</v>
      </c>
      <c r="U81" s="430" t="s">
        <v>26</v>
      </c>
      <c r="V81" s="289">
        <v>12</v>
      </c>
      <c r="W81" s="291" t="s">
        <v>168</v>
      </c>
      <c r="X81" s="289" t="s">
        <v>27</v>
      </c>
      <c r="Y81" s="289"/>
      <c r="Z81" s="289"/>
      <c r="AA81" s="289"/>
      <c r="AB81" s="289" t="s">
        <v>293</v>
      </c>
      <c r="AC81" s="289"/>
      <c r="AD81" s="289">
        <f>S81*V81+200000</f>
        <v>1400000</v>
      </c>
      <c r="AE81" s="396" t="s">
        <v>25</v>
      </c>
      <c r="AF81" s="1"/>
    </row>
    <row r="82" spans="1:32" s="14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291" t="s">
        <v>517</v>
      </c>
      <c r="P82" s="537"/>
      <c r="Q82" s="537"/>
      <c r="R82" s="537"/>
      <c r="S82" s="289"/>
      <c r="T82" s="430"/>
      <c r="U82" s="430"/>
      <c r="V82" s="289"/>
      <c r="W82" s="291"/>
      <c r="X82" s="289"/>
      <c r="Y82" s="289"/>
      <c r="Z82" s="289"/>
      <c r="AA82" s="289"/>
      <c r="AB82" s="289" t="s">
        <v>293</v>
      </c>
      <c r="AC82" s="289"/>
      <c r="AD82" s="289">
        <v>50000</v>
      </c>
      <c r="AE82" s="396" t="s">
        <v>25</v>
      </c>
      <c r="AF82" s="4"/>
    </row>
    <row r="83" spans="1:32" s="14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120"/>
      <c r="P83" s="50"/>
      <c r="Q83" s="50"/>
      <c r="R83" s="50"/>
      <c r="S83" s="51"/>
      <c r="T83" s="55"/>
      <c r="U83" s="55"/>
      <c r="V83" s="51"/>
      <c r="W83" s="50"/>
      <c r="X83" s="51"/>
      <c r="Y83" s="51"/>
      <c r="Z83" s="51"/>
      <c r="AA83" s="51"/>
      <c r="AB83" s="142"/>
      <c r="AC83" s="51"/>
      <c r="AD83" s="51"/>
      <c r="AE83" s="57"/>
      <c r="AF83" s="4"/>
    </row>
    <row r="84" spans="1:32" ht="21" customHeight="1">
      <c r="A84" s="45"/>
      <c r="B84" s="46"/>
      <c r="C84" s="36" t="s">
        <v>15</v>
      </c>
      <c r="D84" s="162">
        <v>800</v>
      </c>
      <c r="E84" s="114">
        <f>AD84/1000</f>
        <v>697</v>
      </c>
      <c r="F84" s="113">
        <f>SUM(AD85:AD89)/1000</f>
        <v>497</v>
      </c>
      <c r="G84" s="113">
        <v>0</v>
      </c>
      <c r="H84" s="113">
        <v>0</v>
      </c>
      <c r="I84" s="113">
        <v>0</v>
      </c>
      <c r="J84" s="113">
        <f>AD90/1000</f>
        <v>200</v>
      </c>
      <c r="K84" s="113">
        <v>0</v>
      </c>
      <c r="L84" s="113">
        <v>0</v>
      </c>
      <c r="M84" s="193">
        <f>E84-D84</f>
        <v>-103</v>
      </c>
      <c r="N84" s="121">
        <f>IF(D84=0,0,M84/D84)</f>
        <v>-0.12875</v>
      </c>
      <c r="O84" s="441" t="s">
        <v>44</v>
      </c>
      <c r="P84" s="442"/>
      <c r="Q84" s="442"/>
      <c r="R84" s="442"/>
      <c r="S84" s="442"/>
      <c r="T84" s="443"/>
      <c r="U84" s="443"/>
      <c r="V84" s="443"/>
      <c r="W84" s="443"/>
      <c r="X84" s="443"/>
      <c r="Y84" s="434" t="s">
        <v>292</v>
      </c>
      <c r="Z84" s="434"/>
      <c r="AA84" s="434"/>
      <c r="AB84" s="434"/>
      <c r="AC84" s="435"/>
      <c r="AD84" s="435">
        <f>SUM(AD85:AD91)</f>
        <v>697000</v>
      </c>
      <c r="AE84" s="436" t="s">
        <v>25</v>
      </c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678" t="s">
        <v>518</v>
      </c>
      <c r="P85" s="558"/>
      <c r="Q85" s="558"/>
      <c r="R85" s="558"/>
      <c r="S85" s="537"/>
      <c r="T85" s="136"/>
      <c r="U85" s="559"/>
      <c r="V85" s="403">
        <v>110000</v>
      </c>
      <c r="W85" s="404" t="s">
        <v>57</v>
      </c>
      <c r="X85" s="404" t="s">
        <v>26</v>
      </c>
      <c r="Y85" s="403">
        <v>1</v>
      </c>
      <c r="Z85" s="405" t="s">
        <v>523</v>
      </c>
      <c r="AA85" s="403" t="s">
        <v>27</v>
      </c>
      <c r="AB85" s="677" t="s">
        <v>726</v>
      </c>
      <c r="AC85" s="677"/>
      <c r="AD85" s="677">
        <f t="shared" ref="AD85" si="8">V85*Y85</f>
        <v>110000</v>
      </c>
      <c r="AE85" s="137" t="s">
        <v>57</v>
      </c>
      <c r="AF85" s="1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 t="s">
        <v>519</v>
      </c>
      <c r="P86" s="445"/>
      <c r="Q86" s="445"/>
      <c r="R86" s="445"/>
      <c r="S86" s="291"/>
      <c r="T86" s="292"/>
      <c r="U86" s="444"/>
      <c r="V86" s="403">
        <v>55000</v>
      </c>
      <c r="W86" s="404" t="s">
        <v>57</v>
      </c>
      <c r="X86" s="404" t="s">
        <v>26</v>
      </c>
      <c r="Y86" s="403">
        <v>1</v>
      </c>
      <c r="Z86" s="405" t="s">
        <v>523</v>
      </c>
      <c r="AA86" s="403" t="s">
        <v>27</v>
      </c>
      <c r="AB86" s="677" t="s">
        <v>726</v>
      </c>
      <c r="AC86" s="677"/>
      <c r="AD86" s="677">
        <f t="shared" ref="AD86" si="9">V86*Y86</f>
        <v>55000</v>
      </c>
      <c r="AE86" s="137" t="s">
        <v>57</v>
      </c>
      <c r="AF86" s="1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291" t="s">
        <v>520</v>
      </c>
      <c r="P87" s="445"/>
      <c r="Q87" s="445"/>
      <c r="R87" s="445"/>
      <c r="S87" s="291"/>
      <c r="T87" s="292"/>
      <c r="U87" s="444"/>
      <c r="V87" s="403">
        <v>30000</v>
      </c>
      <c r="W87" s="404" t="s">
        <v>57</v>
      </c>
      <c r="X87" s="404" t="s">
        <v>26</v>
      </c>
      <c r="Y87" s="403">
        <v>1</v>
      </c>
      <c r="Z87" s="405" t="s">
        <v>523</v>
      </c>
      <c r="AA87" s="403" t="s">
        <v>27</v>
      </c>
      <c r="AB87" s="677" t="s">
        <v>87</v>
      </c>
      <c r="AC87" s="677"/>
      <c r="AD87" s="677">
        <f t="shared" ref="AD87" si="10">V87*Y87</f>
        <v>30000</v>
      </c>
      <c r="AE87" s="137" t="s">
        <v>57</v>
      </c>
      <c r="AF87" s="1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291" t="s">
        <v>521</v>
      </c>
      <c r="P88" s="445"/>
      <c r="Q88" s="445"/>
      <c r="R88" s="445"/>
      <c r="S88" s="291"/>
      <c r="T88" s="292"/>
      <c r="U88" s="444"/>
      <c r="V88" s="403">
        <v>30000</v>
      </c>
      <c r="W88" s="404" t="s">
        <v>57</v>
      </c>
      <c r="X88" s="404" t="s">
        <v>26</v>
      </c>
      <c r="Y88" s="403">
        <v>1</v>
      </c>
      <c r="Z88" s="405" t="s">
        <v>523</v>
      </c>
      <c r="AA88" s="403" t="s">
        <v>27</v>
      </c>
      <c r="AB88" s="677" t="s">
        <v>87</v>
      </c>
      <c r="AC88" s="677"/>
      <c r="AD88" s="677">
        <f t="shared" ref="AD88" si="11">V88*Y88</f>
        <v>30000</v>
      </c>
      <c r="AE88" s="137" t="s">
        <v>57</v>
      </c>
      <c r="AF88" s="1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291" t="s">
        <v>522</v>
      </c>
      <c r="P89" s="445"/>
      <c r="Q89" s="445"/>
      <c r="R89" s="445"/>
      <c r="S89" s="677">
        <v>816000</v>
      </c>
      <c r="T89" s="390" t="s">
        <v>57</v>
      </c>
      <c r="U89" s="390" t="s">
        <v>26</v>
      </c>
      <c r="V89" s="677">
        <v>1</v>
      </c>
      <c r="W89" s="678" t="s">
        <v>72</v>
      </c>
      <c r="X89" s="427" t="s">
        <v>71</v>
      </c>
      <c r="Y89" s="547">
        <v>3</v>
      </c>
      <c r="Z89" s="677"/>
      <c r="AA89" s="677" t="s">
        <v>27</v>
      </c>
      <c r="AB89" s="677" t="s">
        <v>87</v>
      </c>
      <c r="AC89" s="677"/>
      <c r="AD89" s="677">
        <f>S89*V89/Y89</f>
        <v>272000</v>
      </c>
      <c r="AE89" s="137" t="s">
        <v>57</v>
      </c>
      <c r="AF89" s="1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291" t="s">
        <v>615</v>
      </c>
      <c r="P90" s="445"/>
      <c r="Q90" s="445"/>
      <c r="R90" s="445"/>
      <c r="S90" s="291"/>
      <c r="T90" s="292"/>
      <c r="U90" s="444"/>
      <c r="V90" s="403"/>
      <c r="W90" s="404"/>
      <c r="X90" s="404"/>
      <c r="Y90" s="403"/>
      <c r="Z90" s="405"/>
      <c r="AA90" s="403" t="s">
        <v>27</v>
      </c>
      <c r="AB90" s="677" t="s">
        <v>515</v>
      </c>
      <c r="AC90" s="677"/>
      <c r="AD90" s="677">
        <v>200000</v>
      </c>
      <c r="AE90" s="137" t="s">
        <v>57</v>
      </c>
      <c r="AF90" s="1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126"/>
      <c r="P91" s="127"/>
      <c r="Q91" s="127"/>
      <c r="R91" s="127"/>
      <c r="S91" s="127"/>
      <c r="T91" s="127"/>
      <c r="U91" s="127"/>
      <c r="V91" s="127"/>
      <c r="W91" s="127"/>
      <c r="X91" s="127"/>
      <c r="Y91" s="75"/>
      <c r="Z91" s="75"/>
      <c r="AA91" s="75"/>
      <c r="AB91" s="75"/>
      <c r="AC91" s="75"/>
      <c r="AD91" s="51"/>
      <c r="AE91" s="57"/>
      <c r="AF91" s="1"/>
    </row>
    <row r="92" spans="1:32" s="11" customFormat="1" ht="21" customHeight="1">
      <c r="A92" s="45"/>
      <c r="B92" s="46"/>
      <c r="C92" s="36" t="s">
        <v>45</v>
      </c>
      <c r="D92" s="162">
        <v>300</v>
      </c>
      <c r="E92" s="114">
        <f>AD92/1000</f>
        <v>600</v>
      </c>
      <c r="F92" s="113">
        <f>SUM(AD93)/1000</f>
        <v>300</v>
      </c>
      <c r="G92" s="113">
        <v>0</v>
      </c>
      <c r="H92" s="113">
        <v>0</v>
      </c>
      <c r="I92" s="113">
        <v>0</v>
      </c>
      <c r="J92" s="113">
        <f>SUM(AD94:AD94)/1000</f>
        <v>300</v>
      </c>
      <c r="K92" s="113">
        <v>0</v>
      </c>
      <c r="L92" s="113">
        <v>0</v>
      </c>
      <c r="M92" s="113">
        <f>E92-D92</f>
        <v>300</v>
      </c>
      <c r="N92" s="121">
        <f>IF(D92=0,0,M92/D92)</f>
        <v>1</v>
      </c>
      <c r="O92" s="97" t="s">
        <v>46</v>
      </c>
      <c r="P92" s="93"/>
      <c r="Q92" s="93"/>
      <c r="R92" s="93"/>
      <c r="S92" s="93"/>
      <c r="T92" s="89"/>
      <c r="U92" s="89"/>
      <c r="V92" s="89"/>
      <c r="W92" s="89"/>
      <c r="X92" s="89"/>
      <c r="Y92" s="178" t="s">
        <v>146</v>
      </c>
      <c r="Z92" s="178"/>
      <c r="AA92" s="178"/>
      <c r="AB92" s="178"/>
      <c r="AC92" s="180"/>
      <c r="AD92" s="180">
        <f>SUM(AD93:AD94)</f>
        <v>600000</v>
      </c>
      <c r="AE92" s="179" t="s">
        <v>25</v>
      </c>
      <c r="AF92" s="1"/>
    </row>
    <row r="93" spans="1:32" s="11" customFormat="1" ht="21" customHeight="1">
      <c r="A93" s="45"/>
      <c r="B93" s="46"/>
      <c r="C93" s="46"/>
      <c r="D93" s="11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78" t="s">
        <v>525</v>
      </c>
      <c r="P93" s="537"/>
      <c r="Q93" s="537"/>
      <c r="R93" s="537"/>
      <c r="S93" s="536">
        <v>25000</v>
      </c>
      <c r="T93" s="390" t="s">
        <v>380</v>
      </c>
      <c r="U93" s="390" t="s">
        <v>26</v>
      </c>
      <c r="V93" s="536">
        <v>12</v>
      </c>
      <c r="W93" s="537" t="s">
        <v>383</v>
      </c>
      <c r="X93" s="536" t="s">
        <v>27</v>
      </c>
      <c r="Y93" s="536"/>
      <c r="Z93" s="536"/>
      <c r="AA93" s="536"/>
      <c r="AB93" s="536" t="s">
        <v>386</v>
      </c>
      <c r="AC93" s="536"/>
      <c r="AD93" s="677">
        <f>S93*V93</f>
        <v>300000</v>
      </c>
      <c r="AE93" s="137" t="s">
        <v>25</v>
      </c>
      <c r="AF93" s="1"/>
    </row>
    <row r="94" spans="1:32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678" t="s">
        <v>526</v>
      </c>
      <c r="P94" s="537"/>
      <c r="Q94" s="537"/>
      <c r="R94" s="537"/>
      <c r="S94" s="536"/>
      <c r="T94" s="390"/>
      <c r="U94" s="390"/>
      <c r="V94" s="536"/>
      <c r="W94" s="537"/>
      <c r="X94" s="536"/>
      <c r="Y94" s="536"/>
      <c r="Z94" s="536"/>
      <c r="AA94" s="536"/>
      <c r="AB94" s="677" t="s">
        <v>515</v>
      </c>
      <c r="AC94" s="536"/>
      <c r="AD94" s="536">
        <v>300000</v>
      </c>
      <c r="AE94" s="137" t="s">
        <v>25</v>
      </c>
    </row>
    <row r="95" spans="1:32" s="11" customFormat="1" ht="21" customHeight="1">
      <c r="A95" s="45"/>
      <c r="B95" s="46"/>
      <c r="C95" s="59"/>
      <c r="D95" s="128"/>
      <c r="E95" s="111"/>
      <c r="F95" s="111"/>
      <c r="G95" s="111"/>
      <c r="H95" s="111"/>
      <c r="I95" s="111"/>
      <c r="J95" s="111"/>
      <c r="K95" s="111"/>
      <c r="L95" s="111"/>
      <c r="M95" s="111"/>
      <c r="N95" s="84"/>
      <c r="O95" s="382"/>
      <c r="P95" s="382"/>
      <c r="Q95" s="382"/>
      <c r="R95" s="382"/>
      <c r="S95" s="554"/>
      <c r="T95" s="560"/>
      <c r="U95" s="554"/>
      <c r="V95" s="748"/>
      <c r="W95" s="749"/>
      <c r="X95" s="554"/>
      <c r="Y95" s="554"/>
      <c r="Z95" s="554"/>
      <c r="AA95" s="554"/>
      <c r="AB95" s="554"/>
      <c r="AC95" s="554"/>
      <c r="AD95" s="554"/>
      <c r="AE95" s="561"/>
      <c r="AF95" s="1"/>
    </row>
    <row r="96" spans="1:32" s="11" customFormat="1" ht="21" customHeight="1">
      <c r="A96" s="45"/>
      <c r="B96" s="46"/>
      <c r="C96" s="36" t="s">
        <v>88</v>
      </c>
      <c r="D96" s="129">
        <v>50</v>
      </c>
      <c r="E96" s="114">
        <f>AD96/1000</f>
        <v>150</v>
      </c>
      <c r="F96" s="113">
        <f>SUM(AD97)/1000</f>
        <v>50</v>
      </c>
      <c r="G96" s="113">
        <v>0</v>
      </c>
      <c r="H96" s="113">
        <v>0</v>
      </c>
      <c r="I96" s="113">
        <v>0</v>
      </c>
      <c r="J96" s="113">
        <f>AD98/1000</f>
        <v>100</v>
      </c>
      <c r="K96" s="113">
        <v>0</v>
      </c>
      <c r="L96" s="113">
        <v>0</v>
      </c>
      <c r="M96" s="113">
        <f>E96-D96</f>
        <v>100</v>
      </c>
      <c r="N96" s="121">
        <f>IF(D96=0,0,M96/D96)</f>
        <v>2</v>
      </c>
      <c r="O96" s="116" t="s">
        <v>89</v>
      </c>
      <c r="P96" s="93"/>
      <c r="Q96" s="93"/>
      <c r="R96" s="93"/>
      <c r="S96" s="93"/>
      <c r="T96" s="89"/>
      <c r="U96" s="89"/>
      <c r="V96" s="89"/>
      <c r="W96" s="89"/>
      <c r="X96" s="89"/>
      <c r="Y96" s="178" t="s">
        <v>146</v>
      </c>
      <c r="Z96" s="178"/>
      <c r="AA96" s="178"/>
      <c r="AB96" s="178"/>
      <c r="AC96" s="180"/>
      <c r="AD96" s="180">
        <f>SUM(AD97:AD98)</f>
        <v>150000</v>
      </c>
      <c r="AE96" s="179" t="s">
        <v>25</v>
      </c>
      <c r="AF96" s="1"/>
    </row>
    <row r="97" spans="1:32" s="11" customFormat="1" ht="20.25" customHeight="1">
      <c r="A97" s="45"/>
      <c r="B97" s="46"/>
      <c r="C97" s="46"/>
      <c r="D97" s="13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 t="s">
        <v>524</v>
      </c>
      <c r="P97" s="291"/>
      <c r="Q97" s="291"/>
      <c r="R97" s="291"/>
      <c r="S97" s="289">
        <v>50000</v>
      </c>
      <c r="T97" s="289" t="s">
        <v>286</v>
      </c>
      <c r="U97" s="426" t="s">
        <v>294</v>
      </c>
      <c r="V97" s="289">
        <v>1</v>
      </c>
      <c r="W97" s="289" t="s">
        <v>727</v>
      </c>
      <c r="X97" s="426"/>
      <c r="Y97" s="289"/>
      <c r="Z97" s="289"/>
      <c r="AA97" s="289" t="s">
        <v>291</v>
      </c>
      <c r="AB97" s="289" t="s">
        <v>449</v>
      </c>
      <c r="AC97" s="292"/>
      <c r="AD97" s="136">
        <f>S97*V97</f>
        <v>50000</v>
      </c>
      <c r="AE97" s="396" t="s">
        <v>286</v>
      </c>
      <c r="AF97" s="2"/>
    </row>
    <row r="98" spans="1:32" s="11" customFormat="1" ht="20.25" customHeight="1">
      <c r="A98" s="45"/>
      <c r="B98" s="46"/>
      <c r="C98" s="46"/>
      <c r="D98" s="13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1"/>
      <c r="P98" s="291"/>
      <c r="Q98" s="291"/>
      <c r="R98" s="291"/>
      <c r="S98" s="289">
        <v>50000</v>
      </c>
      <c r="T98" s="289" t="s">
        <v>57</v>
      </c>
      <c r="U98" s="426" t="s">
        <v>58</v>
      </c>
      <c r="V98" s="289">
        <v>2</v>
      </c>
      <c r="W98" s="289" t="s">
        <v>56</v>
      </c>
      <c r="X98" s="426"/>
      <c r="Y98" s="289"/>
      <c r="Z98" s="289"/>
      <c r="AA98" s="289" t="s">
        <v>237</v>
      </c>
      <c r="AB98" s="289" t="s">
        <v>515</v>
      </c>
      <c r="AC98" s="292"/>
      <c r="AD98" s="136">
        <f>S98*V98</f>
        <v>100000</v>
      </c>
      <c r="AE98" s="396" t="s">
        <v>57</v>
      </c>
      <c r="AF98" s="2"/>
    </row>
    <row r="99" spans="1:32" s="11" customFormat="1" ht="21" customHeight="1">
      <c r="A99" s="45"/>
      <c r="B99" s="46"/>
      <c r="C99" s="47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84"/>
      <c r="O99" s="155"/>
      <c r="P99" s="81"/>
      <c r="Q99" s="81"/>
      <c r="R99" s="81"/>
      <c r="S99" s="80"/>
      <c r="T99" s="81"/>
      <c r="U99" s="80"/>
      <c r="V99" s="131"/>
      <c r="W99" s="131"/>
      <c r="X99" s="80"/>
      <c r="Y99" s="80"/>
      <c r="Z99" s="80"/>
      <c r="AA99" s="80"/>
      <c r="AB99" s="80"/>
      <c r="AC99" s="80"/>
      <c r="AD99" s="80"/>
      <c r="AE99" s="73"/>
      <c r="AF99" s="2"/>
    </row>
    <row r="100" spans="1:32" s="11" customFormat="1" ht="21" customHeight="1">
      <c r="A100" s="112" t="s">
        <v>47</v>
      </c>
      <c r="B100" s="741" t="s">
        <v>20</v>
      </c>
      <c r="C100" s="741"/>
      <c r="D100" s="196">
        <f>D101</f>
        <v>1600</v>
      </c>
      <c r="E100" s="196">
        <f>E101</f>
        <v>1500</v>
      </c>
      <c r="F100" s="196">
        <f t="shared" ref="F100:L100" si="12">F101</f>
        <v>0</v>
      </c>
      <c r="G100" s="196">
        <f t="shared" si="12"/>
        <v>1000</v>
      </c>
      <c r="H100" s="196">
        <f t="shared" si="12"/>
        <v>0</v>
      </c>
      <c r="I100" s="196">
        <f t="shared" si="12"/>
        <v>500</v>
      </c>
      <c r="J100" s="196">
        <f t="shared" si="12"/>
        <v>0</v>
      </c>
      <c r="K100" s="196">
        <f t="shared" si="12"/>
        <v>0</v>
      </c>
      <c r="L100" s="196">
        <f t="shared" si="12"/>
        <v>0</v>
      </c>
      <c r="M100" s="196">
        <f>E100-D100</f>
        <v>-100</v>
      </c>
      <c r="N100" s="172">
        <f>IF(D100=0,0,M100/D100)</f>
        <v>-6.25E-2</v>
      </c>
      <c r="O100" s="187" t="s">
        <v>150</v>
      </c>
      <c r="P100" s="32"/>
      <c r="Q100" s="32"/>
      <c r="R100" s="32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>
        <f>AD101</f>
        <v>1500000</v>
      </c>
      <c r="AE100" s="34" t="s">
        <v>25</v>
      </c>
      <c r="AF100" s="2"/>
    </row>
    <row r="101" spans="1:32" s="11" customFormat="1" ht="21" customHeight="1">
      <c r="A101" s="195" t="s">
        <v>157</v>
      </c>
      <c r="B101" s="46" t="s">
        <v>17</v>
      </c>
      <c r="C101" s="46" t="s">
        <v>151</v>
      </c>
      <c r="D101" s="109">
        <f t="shared" ref="D101:L101" si="13">SUM(D102,D105,D110)</f>
        <v>1600</v>
      </c>
      <c r="E101" s="109">
        <f t="shared" si="13"/>
        <v>1500</v>
      </c>
      <c r="F101" s="109">
        <f t="shared" si="13"/>
        <v>0</v>
      </c>
      <c r="G101" s="109">
        <f t="shared" si="13"/>
        <v>1000</v>
      </c>
      <c r="H101" s="109">
        <f t="shared" si="13"/>
        <v>0</v>
      </c>
      <c r="I101" s="109">
        <f t="shared" si="13"/>
        <v>500</v>
      </c>
      <c r="J101" s="109">
        <f t="shared" si="13"/>
        <v>0</v>
      </c>
      <c r="K101" s="109">
        <f t="shared" si="13"/>
        <v>0</v>
      </c>
      <c r="L101" s="109">
        <f t="shared" si="13"/>
        <v>0</v>
      </c>
      <c r="M101" s="109">
        <f>E101-D101</f>
        <v>-100</v>
      </c>
      <c r="N101" s="70">
        <f>IF(D101=0,0,M101/D101)</f>
        <v>-6.25E-2</v>
      </c>
      <c r="O101" s="191" t="s">
        <v>152</v>
      </c>
      <c r="P101" s="93"/>
      <c r="Q101" s="93"/>
      <c r="R101" s="93"/>
      <c r="S101" s="93"/>
      <c r="T101" s="89"/>
      <c r="U101" s="89"/>
      <c r="V101" s="89"/>
      <c r="W101" s="89"/>
      <c r="X101" s="89"/>
      <c r="Y101" s="89"/>
      <c r="Z101" s="89"/>
      <c r="AA101" s="89"/>
      <c r="AB101" s="89"/>
      <c r="AC101" s="94"/>
      <c r="AD101" s="94">
        <f>SUM(AD102,AD105,AD110)</f>
        <v>1500000</v>
      </c>
      <c r="AE101" s="95" t="s">
        <v>25</v>
      </c>
      <c r="AF101" s="1"/>
    </row>
    <row r="102" spans="1:32" s="11" customFormat="1" ht="21" customHeight="1">
      <c r="A102" s="45"/>
      <c r="B102" s="46"/>
      <c r="C102" s="36" t="s">
        <v>152</v>
      </c>
      <c r="D102" s="193">
        <v>0</v>
      </c>
      <c r="E102" s="114">
        <f>AD102/1000</f>
        <v>0</v>
      </c>
      <c r="F102" s="193">
        <v>0</v>
      </c>
      <c r="G102" s="193">
        <v>0</v>
      </c>
      <c r="H102" s="193">
        <v>0</v>
      </c>
      <c r="I102" s="193">
        <v>0</v>
      </c>
      <c r="J102" s="193">
        <v>0</v>
      </c>
      <c r="K102" s="193">
        <v>0</v>
      </c>
      <c r="L102" s="193">
        <v>0</v>
      </c>
      <c r="M102" s="193">
        <f>E102-D102</f>
        <v>0</v>
      </c>
      <c r="N102" s="194">
        <f>IF(D102=0,0,M102/D102)</f>
        <v>0</v>
      </c>
      <c r="O102" s="97" t="s">
        <v>48</v>
      </c>
      <c r="P102" s="191"/>
      <c r="Q102" s="191"/>
      <c r="R102" s="191"/>
      <c r="S102" s="191"/>
      <c r="T102" s="190"/>
      <c r="U102" s="190"/>
      <c r="V102" s="190"/>
      <c r="W102" s="190"/>
      <c r="X102" s="190"/>
      <c r="Y102" s="178" t="s">
        <v>146</v>
      </c>
      <c r="Z102" s="178"/>
      <c r="AA102" s="178"/>
      <c r="AB102" s="178"/>
      <c r="AC102" s="180"/>
      <c r="AD102" s="180">
        <f>SUM(AD103:AD103)</f>
        <v>0</v>
      </c>
      <c r="AE102" s="179" t="s">
        <v>25</v>
      </c>
      <c r="AF102" s="1"/>
    </row>
    <row r="103" spans="1:32" s="11" customFormat="1" ht="21" customHeight="1">
      <c r="A103" s="45"/>
      <c r="B103" s="46"/>
      <c r="C103" s="46"/>
      <c r="D103" s="11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185" t="s">
        <v>527</v>
      </c>
      <c r="P103" s="144"/>
      <c r="Q103" s="144"/>
      <c r="R103" s="144"/>
      <c r="S103" s="144"/>
      <c r="T103" s="143"/>
      <c r="U103" s="143"/>
      <c r="V103" s="143"/>
      <c r="W103" s="143"/>
      <c r="X103" s="143"/>
      <c r="Y103" s="143"/>
      <c r="Z103" s="143"/>
      <c r="AA103" s="143"/>
      <c r="AB103" s="145"/>
      <c r="AC103" s="52"/>
      <c r="AD103" s="292">
        <v>0</v>
      </c>
      <c r="AE103" s="57" t="s">
        <v>128</v>
      </c>
      <c r="AF103" s="2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32"/>
      <c r="AE104" s="124"/>
      <c r="AF104" s="2"/>
    </row>
    <row r="105" spans="1:32" s="11" customFormat="1" ht="21" customHeight="1">
      <c r="A105" s="45"/>
      <c r="B105" s="46"/>
      <c r="C105" s="36" t="s">
        <v>18</v>
      </c>
      <c r="D105" s="162">
        <v>1600</v>
      </c>
      <c r="E105" s="114">
        <f>AD105/1000</f>
        <v>0</v>
      </c>
      <c r="F105" s="113">
        <f>AD108/1000</f>
        <v>0</v>
      </c>
      <c r="G105" s="113">
        <v>0</v>
      </c>
      <c r="H105" s="113">
        <v>0</v>
      </c>
      <c r="I105" s="113">
        <f>AD106/1000</f>
        <v>0</v>
      </c>
      <c r="J105" s="113">
        <f>AD107/1000</f>
        <v>0</v>
      </c>
      <c r="K105" s="113">
        <v>0</v>
      </c>
      <c r="L105" s="113">
        <v>0</v>
      </c>
      <c r="M105" s="113">
        <f>E105-D105</f>
        <v>-1600</v>
      </c>
      <c r="N105" s="121">
        <f>IF(D105=0,0,M105/D105)</f>
        <v>-1</v>
      </c>
      <c r="O105" s="97" t="s">
        <v>49</v>
      </c>
      <c r="P105" s="93"/>
      <c r="Q105" s="93"/>
      <c r="R105" s="93"/>
      <c r="S105" s="93"/>
      <c r="T105" s="89"/>
      <c r="U105" s="89"/>
      <c r="V105" s="89"/>
      <c r="W105" s="89"/>
      <c r="X105" s="89"/>
      <c r="Y105" s="178" t="s">
        <v>146</v>
      </c>
      <c r="Z105" s="178"/>
      <c r="AA105" s="178"/>
      <c r="AB105" s="178"/>
      <c r="AC105" s="180"/>
      <c r="AD105" s="180">
        <f>SUM(AD106:AD108)</f>
        <v>0</v>
      </c>
      <c r="AE105" s="179" t="s">
        <v>25</v>
      </c>
      <c r="AF105" s="1"/>
    </row>
    <row r="106" spans="1:32" s="11" customFormat="1" ht="21" customHeight="1">
      <c r="A106" s="45"/>
      <c r="B106" s="46"/>
      <c r="C106" s="46"/>
      <c r="D106" s="11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669" t="s">
        <v>494</v>
      </c>
      <c r="P106" s="537"/>
      <c r="Q106" s="537"/>
      <c r="R106" s="562"/>
      <c r="S106" s="562"/>
      <c r="T106" s="563"/>
      <c r="U106" s="563"/>
      <c r="V106" s="563"/>
      <c r="W106" s="563"/>
      <c r="X106" s="563"/>
      <c r="Y106" s="563"/>
      <c r="Z106" s="563"/>
      <c r="AA106" s="563"/>
      <c r="AB106" s="668" t="s">
        <v>493</v>
      </c>
      <c r="AC106" s="564"/>
      <c r="AD106" s="136">
        <v>0</v>
      </c>
      <c r="AE106" s="137" t="s">
        <v>25</v>
      </c>
      <c r="AF106" s="2"/>
    </row>
    <row r="107" spans="1:32" s="11" customFormat="1" ht="21" customHeight="1">
      <c r="A107" s="45"/>
      <c r="B107" s="46"/>
      <c r="C107" s="46"/>
      <c r="D107" s="11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678" t="s">
        <v>708</v>
      </c>
      <c r="P107" s="678"/>
      <c r="Q107" s="678"/>
      <c r="R107" s="562"/>
      <c r="S107" s="562"/>
      <c r="T107" s="563"/>
      <c r="U107" s="563"/>
      <c r="V107" s="563"/>
      <c r="W107" s="563"/>
      <c r="X107" s="563"/>
      <c r="Y107" s="563"/>
      <c r="Z107" s="563"/>
      <c r="AA107" s="563"/>
      <c r="AB107" s="677" t="s">
        <v>709</v>
      </c>
      <c r="AC107" s="564"/>
      <c r="AD107" s="136">
        <v>0</v>
      </c>
      <c r="AE107" s="137" t="s">
        <v>710</v>
      </c>
      <c r="AF107" s="2"/>
    </row>
    <row r="108" spans="1:32" s="11" customFormat="1" ht="21" customHeight="1">
      <c r="A108" s="45"/>
      <c r="B108" s="46"/>
      <c r="C108" s="46"/>
      <c r="D108" s="11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678"/>
      <c r="P108" s="678"/>
      <c r="Q108" s="678"/>
      <c r="R108" s="562"/>
      <c r="S108" s="562"/>
      <c r="T108" s="563"/>
      <c r="U108" s="563"/>
      <c r="V108" s="563"/>
      <c r="W108" s="563"/>
      <c r="X108" s="563"/>
      <c r="Y108" s="563"/>
      <c r="Z108" s="563"/>
      <c r="AA108" s="563"/>
      <c r="AB108" s="677" t="s">
        <v>712</v>
      </c>
      <c r="AC108" s="564"/>
      <c r="AD108" s="136">
        <v>0</v>
      </c>
      <c r="AE108" s="137" t="s">
        <v>711</v>
      </c>
      <c r="AF108" s="2"/>
    </row>
    <row r="109" spans="1:32" s="11" customFormat="1" ht="21" customHeight="1">
      <c r="A109" s="45"/>
      <c r="B109" s="46"/>
      <c r="C109" s="46"/>
      <c r="D109" s="11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157"/>
      <c r="P109" s="50"/>
      <c r="Q109" s="50"/>
      <c r="R109" s="50"/>
      <c r="S109" s="51"/>
      <c r="T109" s="117"/>
      <c r="U109" s="55"/>
      <c r="V109" s="68"/>
      <c r="W109" s="68"/>
      <c r="X109" s="51"/>
      <c r="Y109" s="51"/>
      <c r="Z109" s="51"/>
      <c r="AA109" s="51"/>
      <c r="AB109" s="51"/>
      <c r="AC109" s="51"/>
      <c r="AD109" s="51"/>
      <c r="AE109" s="57"/>
      <c r="AF109" s="2"/>
    </row>
    <row r="110" spans="1:32" s="11" customFormat="1" ht="21" customHeight="1">
      <c r="A110" s="45"/>
      <c r="B110" s="46"/>
      <c r="C110" s="36" t="s">
        <v>50</v>
      </c>
      <c r="D110" s="162">
        <v>0</v>
      </c>
      <c r="E110" s="114">
        <f>AD110/1000</f>
        <v>1500</v>
      </c>
      <c r="F110" s="113">
        <v>0</v>
      </c>
      <c r="G110" s="113">
        <f>AD111/1000</f>
        <v>1000</v>
      </c>
      <c r="H110" s="113">
        <v>0</v>
      </c>
      <c r="I110" s="113">
        <f>AD112/1000</f>
        <v>500</v>
      </c>
      <c r="J110" s="113">
        <v>0</v>
      </c>
      <c r="K110" s="113">
        <v>0</v>
      </c>
      <c r="L110" s="113">
        <v>0</v>
      </c>
      <c r="M110" s="113">
        <f>E110-D110</f>
        <v>1500</v>
      </c>
      <c r="N110" s="121">
        <f>IF(D110=0,0,M110/D110)</f>
        <v>0</v>
      </c>
      <c r="O110" s="97" t="s">
        <v>51</v>
      </c>
      <c r="P110" s="93"/>
      <c r="Q110" s="93"/>
      <c r="R110" s="93"/>
      <c r="S110" s="93"/>
      <c r="T110" s="89"/>
      <c r="U110" s="89"/>
      <c r="V110" s="89"/>
      <c r="W110" s="89"/>
      <c r="X110" s="89"/>
      <c r="Y110" s="178" t="s">
        <v>146</v>
      </c>
      <c r="Z110" s="178"/>
      <c r="AA110" s="178"/>
      <c r="AB110" s="178"/>
      <c r="AC110" s="180"/>
      <c r="AD110" s="180">
        <f>SUM(AD111:AD112)</f>
        <v>1500000</v>
      </c>
      <c r="AE110" s="179" t="s">
        <v>25</v>
      </c>
      <c r="AF110" s="1"/>
    </row>
    <row r="111" spans="1:32" s="1" customFormat="1" ht="21" customHeight="1">
      <c r="A111" s="45"/>
      <c r="B111" s="46"/>
      <c r="C111" s="46" t="s">
        <v>163</v>
      </c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678" t="s">
        <v>730</v>
      </c>
      <c r="P111" s="537"/>
      <c r="Q111" s="537"/>
      <c r="R111" s="537"/>
      <c r="S111" s="536"/>
      <c r="T111" s="390"/>
      <c r="U111" s="390"/>
      <c r="V111" s="536"/>
      <c r="W111" s="537"/>
      <c r="X111" s="536"/>
      <c r="Y111" s="536"/>
      <c r="Z111" s="536"/>
      <c r="AA111" s="536"/>
      <c r="AB111" s="536" t="s">
        <v>386</v>
      </c>
      <c r="AC111" s="536"/>
      <c r="AD111" s="536">
        <v>1000000</v>
      </c>
      <c r="AE111" s="137" t="s">
        <v>25</v>
      </c>
      <c r="AF111" s="2"/>
    </row>
    <row r="112" spans="1:32" s="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678" t="s">
        <v>528</v>
      </c>
      <c r="P112" s="537"/>
      <c r="Q112" s="537"/>
      <c r="R112" s="537"/>
      <c r="S112" s="536"/>
      <c r="T112" s="390"/>
      <c r="U112" s="390"/>
      <c r="V112" s="536"/>
      <c r="W112" s="537"/>
      <c r="X112" s="536"/>
      <c r="Y112" s="536"/>
      <c r="Z112" s="536"/>
      <c r="AA112" s="536"/>
      <c r="AB112" s="623" t="s">
        <v>450</v>
      </c>
      <c r="AC112" s="536"/>
      <c r="AD112" s="536">
        <v>500000</v>
      </c>
      <c r="AE112" s="137" t="s">
        <v>377</v>
      </c>
      <c r="AF112" s="2"/>
    </row>
    <row r="113" spans="1:32" s="1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157"/>
      <c r="P113" s="50"/>
      <c r="Q113" s="50"/>
      <c r="R113" s="50"/>
      <c r="S113" s="51"/>
      <c r="T113" s="55"/>
      <c r="U113" s="55"/>
      <c r="V113" s="51"/>
      <c r="W113" s="50"/>
      <c r="X113" s="51"/>
      <c r="Y113" s="51"/>
      <c r="Z113" s="51"/>
      <c r="AA113" s="51"/>
      <c r="AB113" s="125"/>
      <c r="AC113" s="51"/>
      <c r="AD113" s="51"/>
      <c r="AE113" s="57"/>
      <c r="AF113" s="2"/>
    </row>
    <row r="114" spans="1:32" s="11" customFormat="1" ht="21" customHeight="1">
      <c r="A114" s="197" t="s">
        <v>19</v>
      </c>
      <c r="B114" s="739" t="s">
        <v>20</v>
      </c>
      <c r="C114" s="740"/>
      <c r="D114" s="198">
        <f t="shared" ref="D114:L114" si="14">SUM(D115,D145)</f>
        <v>16738</v>
      </c>
      <c r="E114" s="198">
        <f t="shared" si="14"/>
        <v>20281</v>
      </c>
      <c r="F114" s="198">
        <f t="shared" si="14"/>
        <v>12882</v>
      </c>
      <c r="G114" s="198">
        <f t="shared" si="14"/>
        <v>0</v>
      </c>
      <c r="H114" s="198">
        <f t="shared" si="14"/>
        <v>0</v>
      </c>
      <c r="I114" s="198">
        <f t="shared" si="14"/>
        <v>930</v>
      </c>
      <c r="J114" s="198">
        <f t="shared" si="14"/>
        <v>6420</v>
      </c>
      <c r="K114" s="198">
        <f t="shared" si="14"/>
        <v>0</v>
      </c>
      <c r="L114" s="198">
        <f t="shared" si="14"/>
        <v>49</v>
      </c>
      <c r="M114" s="198">
        <f>SUM(M115,M125,M131,M135,M141)</f>
        <v>2196</v>
      </c>
      <c r="N114" s="199">
        <f>IF(D114=0,0,M114/D114)</f>
        <v>0.13119847054606285</v>
      </c>
      <c r="O114" s="191" t="s">
        <v>154</v>
      </c>
      <c r="P114" s="93"/>
      <c r="Q114" s="93"/>
      <c r="R114" s="93"/>
      <c r="S114" s="93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>
        <f>SUM(AD115,AD145)</f>
        <v>20281000</v>
      </c>
      <c r="AE114" s="95" t="s">
        <v>25</v>
      </c>
      <c r="AF114" s="13"/>
    </row>
    <row r="115" spans="1:32" s="11" customFormat="1" ht="21" customHeight="1">
      <c r="A115" s="46"/>
      <c r="B115" s="36" t="s">
        <v>93</v>
      </c>
      <c r="C115" s="36" t="s">
        <v>155</v>
      </c>
      <c r="D115" s="113">
        <f t="shared" ref="D115:L115" si="15">SUM(D116,D125,D131,D135,D141)</f>
        <v>13317</v>
      </c>
      <c r="E115" s="113">
        <f t="shared" si="15"/>
        <v>15080</v>
      </c>
      <c r="F115" s="113">
        <f t="shared" si="15"/>
        <v>12882</v>
      </c>
      <c r="G115" s="113">
        <f t="shared" si="15"/>
        <v>0</v>
      </c>
      <c r="H115" s="113">
        <f t="shared" si="15"/>
        <v>0</v>
      </c>
      <c r="I115" s="113">
        <f t="shared" si="15"/>
        <v>930</v>
      </c>
      <c r="J115" s="113">
        <f t="shared" si="15"/>
        <v>1219</v>
      </c>
      <c r="K115" s="113">
        <f t="shared" si="15"/>
        <v>0</v>
      </c>
      <c r="L115" s="113">
        <f t="shared" si="15"/>
        <v>49</v>
      </c>
      <c r="M115" s="113">
        <f>E115-D115</f>
        <v>1763</v>
      </c>
      <c r="N115" s="121">
        <f>IF(D115=0,0,M115/D115)</f>
        <v>0.13238717428850341</v>
      </c>
      <c r="O115" s="93"/>
      <c r="P115" s="93"/>
      <c r="Q115" s="93"/>
      <c r="R115" s="93"/>
      <c r="S115" s="93"/>
      <c r="T115" s="89"/>
      <c r="U115" s="89"/>
      <c r="V115" s="89"/>
      <c r="W115" s="89"/>
      <c r="X115" s="89"/>
      <c r="Y115" s="89" t="s">
        <v>28</v>
      </c>
      <c r="Z115" s="89"/>
      <c r="AA115" s="89"/>
      <c r="AB115" s="89"/>
      <c r="AC115" s="94"/>
      <c r="AD115" s="94">
        <f>SUM(AD116,AD125,AD131,AD135,AD141)</f>
        <v>15080000</v>
      </c>
      <c r="AE115" s="95" t="s">
        <v>25</v>
      </c>
      <c r="AF115" s="1"/>
    </row>
    <row r="116" spans="1:32" s="11" customFormat="1" ht="21" customHeight="1">
      <c r="A116" s="46"/>
      <c r="B116" s="46"/>
      <c r="C116" s="36" t="s">
        <v>59</v>
      </c>
      <c r="D116" s="162">
        <v>10688</v>
      </c>
      <c r="E116" s="114">
        <f>AD116/1000</f>
        <v>12018</v>
      </c>
      <c r="F116" s="113">
        <f>SUM(AD117:AD118)/1000</f>
        <v>10630</v>
      </c>
      <c r="G116" s="113">
        <v>0</v>
      </c>
      <c r="H116" s="113">
        <v>0</v>
      </c>
      <c r="I116" s="113">
        <f>SUM(AD120,AD123)/1000</f>
        <v>380</v>
      </c>
      <c r="J116" s="113">
        <f>SUM(AD119)/1000</f>
        <v>959</v>
      </c>
      <c r="K116" s="113">
        <v>0</v>
      </c>
      <c r="L116" s="113">
        <f>AD121/1000</f>
        <v>49</v>
      </c>
      <c r="M116" s="113">
        <f>E116-D116</f>
        <v>1330</v>
      </c>
      <c r="N116" s="121">
        <f>IF(D116=0,0,M116/D116)</f>
        <v>0.12443862275449102</v>
      </c>
      <c r="O116" s="97" t="s">
        <v>94</v>
      </c>
      <c r="P116" s="191"/>
      <c r="Q116" s="191"/>
      <c r="R116" s="191"/>
      <c r="S116" s="191"/>
      <c r="T116" s="190"/>
      <c r="U116" s="190"/>
      <c r="V116" s="190"/>
      <c r="W116" s="190"/>
      <c r="X116" s="190"/>
      <c r="Y116" s="178" t="s">
        <v>146</v>
      </c>
      <c r="Z116" s="178"/>
      <c r="AA116" s="178"/>
      <c r="AB116" s="178"/>
      <c r="AC116" s="180"/>
      <c r="AD116" s="180">
        <f>ROUNDDOWN(SUM(AD117:AD123),-3)</f>
        <v>12018000</v>
      </c>
      <c r="AE116" s="179" t="s">
        <v>25</v>
      </c>
      <c r="AF116" s="1"/>
    </row>
    <row r="117" spans="1:32" s="11" customFormat="1" ht="21" customHeight="1">
      <c r="A117" s="46"/>
      <c r="B117" s="46"/>
      <c r="C117" s="46"/>
      <c r="D117" s="11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678" t="s">
        <v>529</v>
      </c>
      <c r="P117" s="537"/>
      <c r="Q117" s="536"/>
      <c r="R117" s="536"/>
      <c r="S117" s="536">
        <v>200000</v>
      </c>
      <c r="T117" s="536" t="s">
        <v>380</v>
      </c>
      <c r="U117" s="390" t="s">
        <v>381</v>
      </c>
      <c r="V117" s="536">
        <v>12</v>
      </c>
      <c r="W117" s="536" t="s">
        <v>383</v>
      </c>
      <c r="X117" s="390" t="s">
        <v>381</v>
      </c>
      <c r="Y117" s="536">
        <v>4</v>
      </c>
      <c r="Z117" s="536" t="s">
        <v>382</v>
      </c>
      <c r="AA117" s="384" t="s">
        <v>384</v>
      </c>
      <c r="AB117" s="536" t="s">
        <v>386</v>
      </c>
      <c r="AC117" s="136"/>
      <c r="AD117" s="136">
        <f>ROUNDDOWN(S117*V117*Y117,-3)</f>
        <v>9600000</v>
      </c>
      <c r="AE117" s="137" t="s">
        <v>25</v>
      </c>
      <c r="AF117" s="2"/>
    </row>
    <row r="118" spans="1:32" s="11" customFormat="1" ht="21" customHeight="1">
      <c r="A118" s="46"/>
      <c r="B118" s="46"/>
      <c r="C118" s="46"/>
      <c r="D118" s="11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678" t="s">
        <v>614</v>
      </c>
      <c r="P118" s="678"/>
      <c r="Q118" s="677"/>
      <c r="R118" s="677"/>
      <c r="S118" s="677"/>
      <c r="T118" s="677"/>
      <c r="U118" s="390"/>
      <c r="V118" s="677"/>
      <c r="W118" s="677"/>
      <c r="X118" s="390"/>
      <c r="Y118" s="677"/>
      <c r="Z118" s="677"/>
      <c r="AA118" s="384"/>
      <c r="AB118" s="677" t="s">
        <v>581</v>
      </c>
      <c r="AC118" s="136"/>
      <c r="AD118" s="136">
        <v>1030000</v>
      </c>
      <c r="AE118" s="137" t="s">
        <v>534</v>
      </c>
      <c r="AF118" s="2"/>
    </row>
    <row r="119" spans="1:32" s="11" customFormat="1" ht="21" customHeight="1">
      <c r="A119" s="46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8" t="s">
        <v>530</v>
      </c>
      <c r="P119" s="537"/>
      <c r="Q119" s="537"/>
      <c r="R119" s="537"/>
      <c r="S119" s="536"/>
      <c r="T119" s="536"/>
      <c r="U119" s="390"/>
      <c r="V119" s="536"/>
      <c r="W119" s="536"/>
      <c r="X119" s="390"/>
      <c r="Y119" s="536"/>
      <c r="Z119" s="536"/>
      <c r="AA119" s="384"/>
      <c r="AB119" s="536" t="s">
        <v>387</v>
      </c>
      <c r="AC119" s="136"/>
      <c r="AD119" s="136">
        <v>959000</v>
      </c>
      <c r="AE119" s="137" t="s">
        <v>25</v>
      </c>
      <c r="AF119" s="2"/>
    </row>
    <row r="120" spans="1:32" s="11" customFormat="1" ht="21" customHeight="1">
      <c r="A120" s="46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78" t="s">
        <v>530</v>
      </c>
      <c r="P120" s="678"/>
      <c r="Q120" s="678"/>
      <c r="R120" s="678"/>
      <c r="S120" s="677"/>
      <c r="T120" s="677"/>
      <c r="U120" s="390"/>
      <c r="V120" s="677"/>
      <c r="W120" s="677"/>
      <c r="X120" s="390"/>
      <c r="Y120" s="677"/>
      <c r="Z120" s="677"/>
      <c r="AA120" s="384"/>
      <c r="AB120" s="677" t="s">
        <v>533</v>
      </c>
      <c r="AC120" s="136"/>
      <c r="AD120" s="136">
        <v>80000</v>
      </c>
      <c r="AE120" s="137" t="s">
        <v>534</v>
      </c>
      <c r="AF120" s="2"/>
    </row>
    <row r="121" spans="1:32" s="11" customFormat="1" ht="21" customHeight="1">
      <c r="A121" s="46"/>
      <c r="B121" s="46"/>
      <c r="C121" s="46"/>
      <c r="D121" s="11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678" t="s">
        <v>530</v>
      </c>
      <c r="P121" s="678"/>
      <c r="Q121" s="678"/>
      <c r="R121" s="678"/>
      <c r="S121" s="677"/>
      <c r="T121" s="677"/>
      <c r="U121" s="390"/>
      <c r="V121" s="677"/>
      <c r="W121" s="677"/>
      <c r="X121" s="390"/>
      <c r="Y121" s="677"/>
      <c r="Z121" s="677"/>
      <c r="AA121" s="384"/>
      <c r="AB121" s="677" t="s">
        <v>535</v>
      </c>
      <c r="AC121" s="136"/>
      <c r="AD121" s="136">
        <v>49000</v>
      </c>
      <c r="AE121" s="137" t="s">
        <v>534</v>
      </c>
      <c r="AF121" s="2"/>
    </row>
    <row r="122" spans="1:32" s="11" customFormat="1" ht="21" customHeight="1">
      <c r="A122" s="46"/>
      <c r="B122" s="46"/>
      <c r="C122" s="46"/>
      <c r="D122" s="11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678" t="s">
        <v>530</v>
      </c>
      <c r="P122" s="678"/>
      <c r="Q122" s="678"/>
      <c r="R122" s="678"/>
      <c r="S122" s="677"/>
      <c r="T122" s="677"/>
      <c r="U122" s="390"/>
      <c r="V122" s="677"/>
      <c r="W122" s="677"/>
      <c r="X122" s="390"/>
      <c r="Y122" s="677"/>
      <c r="Z122" s="677"/>
      <c r="AA122" s="384"/>
      <c r="AB122" s="677" t="s">
        <v>536</v>
      </c>
      <c r="AC122" s="136"/>
      <c r="AD122" s="136">
        <v>57</v>
      </c>
      <c r="AE122" s="137" t="s">
        <v>534</v>
      </c>
      <c r="AF122" s="2"/>
    </row>
    <row r="123" spans="1:32" s="11" customFormat="1" ht="21" customHeight="1">
      <c r="A123" s="46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678" t="s">
        <v>531</v>
      </c>
      <c r="P123" s="537"/>
      <c r="Q123" s="536"/>
      <c r="R123" s="536"/>
      <c r="S123" s="536"/>
      <c r="T123" s="536"/>
      <c r="U123" s="390"/>
      <c r="V123" s="536"/>
      <c r="W123" s="536"/>
      <c r="X123" s="390"/>
      <c r="Y123" s="536"/>
      <c r="Z123" s="536"/>
      <c r="AA123" s="384" t="s">
        <v>378</v>
      </c>
      <c r="AB123" s="677" t="s">
        <v>532</v>
      </c>
      <c r="AC123" s="136"/>
      <c r="AD123" s="136">
        <v>300000</v>
      </c>
      <c r="AE123" s="137" t="s">
        <v>25</v>
      </c>
      <c r="AF123" s="2"/>
    </row>
    <row r="124" spans="1:32" s="11" customFormat="1" ht="21" customHeight="1">
      <c r="A124" s="46"/>
      <c r="B124" s="46"/>
      <c r="C124" s="59"/>
      <c r="D124" s="161"/>
      <c r="E124" s="111"/>
      <c r="F124" s="111"/>
      <c r="G124" s="111"/>
      <c r="H124" s="111"/>
      <c r="I124" s="111"/>
      <c r="J124" s="111"/>
      <c r="K124" s="111"/>
      <c r="L124" s="111"/>
      <c r="M124" s="111"/>
      <c r="N124" s="84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32"/>
      <c r="AE124" s="124"/>
      <c r="AF124" s="2"/>
    </row>
    <row r="125" spans="1:32" s="11" customFormat="1" ht="21" customHeight="1">
      <c r="A125" s="46"/>
      <c r="B125" s="46"/>
      <c r="C125" s="46" t="s">
        <v>95</v>
      </c>
      <c r="D125" s="160">
        <v>970</v>
      </c>
      <c r="E125" s="114">
        <f>AD125/1000</f>
        <v>1382</v>
      </c>
      <c r="F125" s="109">
        <f>SUM(AD126:AD127)/1000</f>
        <v>1032</v>
      </c>
      <c r="G125" s="109">
        <v>0</v>
      </c>
      <c r="H125" s="109">
        <v>0</v>
      </c>
      <c r="I125" s="109">
        <f>SUM(AD128:AD129)/1000</f>
        <v>350</v>
      </c>
      <c r="J125" s="109">
        <v>0</v>
      </c>
      <c r="K125" s="109">
        <v>0</v>
      </c>
      <c r="L125" s="109">
        <v>0</v>
      </c>
      <c r="M125" s="109">
        <f>E125-D125</f>
        <v>412</v>
      </c>
      <c r="N125" s="70">
        <f>IF(D125=0,0,M125/D125)</f>
        <v>0.4247422680412371</v>
      </c>
      <c r="O125" s="97" t="s">
        <v>96</v>
      </c>
      <c r="P125" s="93"/>
      <c r="Q125" s="93"/>
      <c r="R125" s="93"/>
      <c r="S125" s="93"/>
      <c r="T125" s="89"/>
      <c r="U125" s="89"/>
      <c r="V125" s="89"/>
      <c r="W125" s="89"/>
      <c r="X125" s="89"/>
      <c r="Y125" s="178" t="s">
        <v>146</v>
      </c>
      <c r="Z125" s="178"/>
      <c r="AA125" s="178"/>
      <c r="AB125" s="178"/>
      <c r="AC125" s="180"/>
      <c r="AD125" s="180">
        <f>SUM(AD126:AD130)</f>
        <v>1382000</v>
      </c>
      <c r="AE125" s="179" t="s">
        <v>25</v>
      </c>
      <c r="AF125" s="1"/>
    </row>
    <row r="126" spans="1:32" s="11" customFormat="1" ht="21" customHeight="1">
      <c r="A126" s="46"/>
      <c r="B126" s="46"/>
      <c r="C126" s="46" t="s">
        <v>156</v>
      </c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78" t="s">
        <v>728</v>
      </c>
      <c r="P126" s="537"/>
      <c r="Q126" s="537"/>
      <c r="R126" s="537"/>
      <c r="S126" s="536"/>
      <c r="T126" s="390"/>
      <c r="U126" s="390"/>
      <c r="V126" s="403">
        <v>50000</v>
      </c>
      <c r="W126" s="404" t="s">
        <v>57</v>
      </c>
      <c r="X126" s="404" t="s">
        <v>26</v>
      </c>
      <c r="Y126" s="403">
        <v>12</v>
      </c>
      <c r="Z126" s="405" t="s">
        <v>29</v>
      </c>
      <c r="AA126" s="403" t="s">
        <v>27</v>
      </c>
      <c r="AB126" s="536" t="s">
        <v>379</v>
      </c>
      <c r="AC126" s="536"/>
      <c r="AD126" s="677">
        <f>V126*Y126</f>
        <v>600000</v>
      </c>
      <c r="AE126" s="137" t="s">
        <v>377</v>
      </c>
      <c r="AF126" s="2"/>
    </row>
    <row r="127" spans="1:32" s="11" customFormat="1" ht="21" customHeight="1">
      <c r="A127" s="46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78" t="s">
        <v>725</v>
      </c>
      <c r="P127" s="678"/>
      <c r="Q127" s="678"/>
      <c r="R127" s="678"/>
      <c r="S127" s="677"/>
      <c r="T127" s="390"/>
      <c r="U127" s="390"/>
      <c r="V127" s="403">
        <v>36000</v>
      </c>
      <c r="W127" s="404" t="s">
        <v>57</v>
      </c>
      <c r="X127" s="404" t="s">
        <v>26</v>
      </c>
      <c r="Y127" s="403">
        <v>12</v>
      </c>
      <c r="Z127" s="405" t="s">
        <v>29</v>
      </c>
      <c r="AA127" s="403" t="s">
        <v>27</v>
      </c>
      <c r="AB127" s="677" t="s">
        <v>87</v>
      </c>
      <c r="AC127" s="677"/>
      <c r="AD127" s="677">
        <f>V127*Y127</f>
        <v>432000</v>
      </c>
      <c r="AE127" s="137" t="s">
        <v>57</v>
      </c>
      <c r="AF127" s="2"/>
    </row>
    <row r="128" spans="1:32" s="11" customFormat="1" ht="21" customHeight="1">
      <c r="A128" s="46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78" t="s">
        <v>538</v>
      </c>
      <c r="P128" s="537"/>
      <c r="Q128" s="537"/>
      <c r="R128" s="537"/>
      <c r="S128" s="536"/>
      <c r="T128" s="390"/>
      <c r="U128" s="390"/>
      <c r="V128" s="536"/>
      <c r="W128" s="536"/>
      <c r="X128" s="536"/>
      <c r="Y128" s="536"/>
      <c r="Z128" s="536"/>
      <c r="AA128" s="536"/>
      <c r="AB128" s="623" t="s">
        <v>162</v>
      </c>
      <c r="AC128" s="536"/>
      <c r="AD128" s="536">
        <v>200000</v>
      </c>
      <c r="AE128" s="137" t="s">
        <v>377</v>
      </c>
      <c r="AF128" s="2"/>
    </row>
    <row r="129" spans="1:32" s="11" customFormat="1" ht="21" customHeight="1">
      <c r="A129" s="46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678" t="s">
        <v>539</v>
      </c>
      <c r="P129" s="537"/>
      <c r="Q129" s="537"/>
      <c r="R129" s="537"/>
      <c r="S129" s="536"/>
      <c r="T129" s="390"/>
      <c r="U129" s="390"/>
      <c r="V129" s="536"/>
      <c r="W129" s="536"/>
      <c r="X129" s="536"/>
      <c r="Y129" s="536"/>
      <c r="Z129" s="536"/>
      <c r="AA129" s="536"/>
      <c r="AB129" s="623" t="s">
        <v>450</v>
      </c>
      <c r="AC129" s="536"/>
      <c r="AD129" s="536">
        <v>150000</v>
      </c>
      <c r="AE129" s="137" t="s">
        <v>377</v>
      </c>
      <c r="AF129" s="2"/>
    </row>
    <row r="130" spans="1:32" s="11" customFormat="1" ht="21" customHeight="1">
      <c r="A130" s="46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293"/>
      <c r="P130" s="293"/>
      <c r="Q130" s="293"/>
      <c r="R130" s="293"/>
      <c r="S130" s="392"/>
      <c r="T130" s="393"/>
      <c r="U130" s="372"/>
      <c r="V130" s="394"/>
      <c r="W130" s="392"/>
      <c r="X130" s="392"/>
      <c r="Y130" s="392"/>
      <c r="Z130" s="392"/>
      <c r="AA130" s="392"/>
      <c r="AB130" s="392"/>
      <c r="AC130" s="392"/>
      <c r="AD130" s="392"/>
      <c r="AE130" s="395"/>
      <c r="AF130" s="1"/>
    </row>
    <row r="131" spans="1:32" s="11" customFormat="1" ht="21" customHeight="1">
      <c r="A131" s="46"/>
      <c r="B131" s="46"/>
      <c r="C131" s="36" t="s">
        <v>90</v>
      </c>
      <c r="D131" s="162">
        <v>1200</v>
      </c>
      <c r="E131" s="114">
        <f>AD131/1000</f>
        <v>1200</v>
      </c>
      <c r="F131" s="113">
        <f>AD132/1000</f>
        <v>1000</v>
      </c>
      <c r="G131" s="113">
        <v>0</v>
      </c>
      <c r="H131" s="113">
        <v>0</v>
      </c>
      <c r="I131" s="113">
        <f>AD133/1000</f>
        <v>200</v>
      </c>
      <c r="J131" s="113">
        <v>0</v>
      </c>
      <c r="K131" s="113">
        <v>0</v>
      </c>
      <c r="L131" s="113">
        <v>0</v>
      </c>
      <c r="M131" s="113">
        <f>E131-D131</f>
        <v>0</v>
      </c>
      <c r="N131" s="121">
        <f>IF(D131=0,0,M131/D131)</f>
        <v>0</v>
      </c>
      <c r="O131" s="97" t="s">
        <v>141</v>
      </c>
      <c r="P131" s="177"/>
      <c r="Q131" s="93"/>
      <c r="R131" s="93"/>
      <c r="S131" s="93"/>
      <c r="T131" s="89"/>
      <c r="U131" s="89"/>
      <c r="V131" s="89"/>
      <c r="W131" s="190"/>
      <c r="X131" s="190"/>
      <c r="Y131" s="178" t="s">
        <v>146</v>
      </c>
      <c r="Z131" s="178"/>
      <c r="AA131" s="178"/>
      <c r="AB131" s="178"/>
      <c r="AC131" s="180"/>
      <c r="AD131" s="180">
        <f>SUM(AD132:AD134)</f>
        <v>1200000</v>
      </c>
      <c r="AE131" s="179" t="s">
        <v>25</v>
      </c>
      <c r="AF131" s="1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678" t="s">
        <v>729</v>
      </c>
      <c r="P132" s="537"/>
      <c r="Q132" s="536"/>
      <c r="R132" s="536"/>
      <c r="S132" s="536">
        <v>250000</v>
      </c>
      <c r="T132" s="536" t="s">
        <v>380</v>
      </c>
      <c r="U132" s="537" t="s">
        <v>381</v>
      </c>
      <c r="V132" s="668">
        <v>4</v>
      </c>
      <c r="W132" s="668" t="s">
        <v>56</v>
      </c>
      <c r="X132" s="537"/>
      <c r="Y132" s="536"/>
      <c r="Z132" s="536"/>
      <c r="AA132" s="536" t="s">
        <v>384</v>
      </c>
      <c r="AB132" s="668" t="s">
        <v>498</v>
      </c>
      <c r="AC132" s="136"/>
      <c r="AD132" s="136">
        <f>S132*V132</f>
        <v>1000000</v>
      </c>
      <c r="AE132" s="137" t="s">
        <v>25</v>
      </c>
      <c r="AF132" s="1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678"/>
      <c r="P133" s="678"/>
      <c r="Q133" s="677"/>
      <c r="R133" s="677"/>
      <c r="S133" s="677">
        <v>50000</v>
      </c>
      <c r="T133" s="677" t="s">
        <v>57</v>
      </c>
      <c r="U133" s="678" t="s">
        <v>58</v>
      </c>
      <c r="V133" s="677">
        <v>4</v>
      </c>
      <c r="W133" s="677" t="s">
        <v>56</v>
      </c>
      <c r="X133" s="678"/>
      <c r="Y133" s="677"/>
      <c r="Z133" s="677"/>
      <c r="AA133" s="677" t="s">
        <v>53</v>
      </c>
      <c r="AB133" s="677" t="s">
        <v>763</v>
      </c>
      <c r="AC133" s="136"/>
      <c r="AD133" s="136">
        <f>S133*V133</f>
        <v>200000</v>
      </c>
      <c r="AE133" s="137" t="s">
        <v>25</v>
      </c>
      <c r="AF133" s="1"/>
    </row>
    <row r="134" spans="1:32" s="11" customFormat="1" ht="21" customHeight="1">
      <c r="A134" s="46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37"/>
      <c r="P134" s="537"/>
      <c r="Q134" s="536"/>
      <c r="R134" s="536"/>
      <c r="S134" s="536"/>
      <c r="T134" s="536"/>
      <c r="U134" s="537"/>
      <c r="V134" s="536"/>
      <c r="W134" s="536"/>
      <c r="X134" s="537"/>
      <c r="Y134" s="536"/>
      <c r="Z134" s="536"/>
      <c r="AA134" s="536"/>
      <c r="AB134" s="536"/>
      <c r="AC134" s="136"/>
      <c r="AD134" s="136"/>
      <c r="AE134" s="137"/>
      <c r="AF134" s="1"/>
    </row>
    <row r="135" spans="1:32" s="11" customFormat="1" ht="21" customHeight="1">
      <c r="A135" s="46"/>
      <c r="B135" s="46"/>
      <c r="C135" s="36" t="s">
        <v>91</v>
      </c>
      <c r="D135" s="162">
        <v>360</v>
      </c>
      <c r="E135" s="114">
        <f>AD135/1000</f>
        <v>360</v>
      </c>
      <c r="F135" s="113">
        <f>AD136/1000</f>
        <v>160</v>
      </c>
      <c r="G135" s="113">
        <v>0</v>
      </c>
      <c r="H135" s="113">
        <v>0</v>
      </c>
      <c r="I135" s="113">
        <f>SUM(AD138,AD139:AD139)/1000</f>
        <v>0</v>
      </c>
      <c r="J135" s="113">
        <f>SUM(AD137:AD139)/1000</f>
        <v>200</v>
      </c>
      <c r="K135" s="113">
        <v>0</v>
      </c>
      <c r="L135" s="113">
        <v>0</v>
      </c>
      <c r="M135" s="113">
        <f>E135-D135</f>
        <v>0</v>
      </c>
      <c r="N135" s="121">
        <f>IF(D135=0,0,M135/D135)</f>
        <v>0</v>
      </c>
      <c r="O135" s="97" t="s">
        <v>142</v>
      </c>
      <c r="P135" s="177"/>
      <c r="Q135" s="182"/>
      <c r="R135" s="182"/>
      <c r="S135" s="182"/>
      <c r="T135" s="181"/>
      <c r="U135" s="181"/>
      <c r="V135" s="181"/>
      <c r="W135" s="190"/>
      <c r="X135" s="190"/>
      <c r="Y135" s="178" t="s">
        <v>146</v>
      </c>
      <c r="Z135" s="178"/>
      <c r="AA135" s="178"/>
      <c r="AB135" s="178"/>
      <c r="AC135" s="180"/>
      <c r="AD135" s="180">
        <f>SUM(AD136:AD139)</f>
        <v>360000</v>
      </c>
      <c r="AE135" s="179" t="s">
        <v>25</v>
      </c>
      <c r="AF135" s="1"/>
    </row>
    <row r="136" spans="1:32" s="14" customFormat="1" ht="21" customHeight="1">
      <c r="A136" s="46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669" t="s">
        <v>499</v>
      </c>
      <c r="P136" s="537"/>
      <c r="Q136" s="536"/>
      <c r="R136" s="536"/>
      <c r="S136" s="536">
        <v>40000</v>
      </c>
      <c r="T136" s="536" t="s">
        <v>380</v>
      </c>
      <c r="U136" s="537" t="s">
        <v>381</v>
      </c>
      <c r="V136" s="536">
        <v>1</v>
      </c>
      <c r="W136" s="536" t="s">
        <v>385</v>
      </c>
      <c r="X136" s="537" t="s">
        <v>381</v>
      </c>
      <c r="Y136" s="536">
        <v>4</v>
      </c>
      <c r="Z136" s="536" t="s">
        <v>382</v>
      </c>
      <c r="AA136" s="536" t="s">
        <v>384</v>
      </c>
      <c r="AB136" s="536" t="s">
        <v>386</v>
      </c>
      <c r="AC136" s="136"/>
      <c r="AD136" s="136">
        <f>S136*V136*Y136</f>
        <v>160000</v>
      </c>
      <c r="AE136" s="137" t="s">
        <v>25</v>
      </c>
      <c r="AF136" s="5"/>
    </row>
    <row r="137" spans="1:32" s="14" customFormat="1" ht="21" customHeight="1">
      <c r="A137" s="46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290"/>
      <c r="O137" s="378" t="s">
        <v>500</v>
      </c>
      <c r="P137" s="537"/>
      <c r="Q137" s="537"/>
      <c r="R137" s="537"/>
      <c r="S137" s="536"/>
      <c r="T137" s="536"/>
      <c r="U137" s="537"/>
      <c r="V137" s="536"/>
      <c r="W137" s="536"/>
      <c r="X137" s="537"/>
      <c r="Y137" s="391"/>
      <c r="Z137" s="384"/>
      <c r="AA137" s="384"/>
      <c r="AB137" s="668" t="s">
        <v>501</v>
      </c>
      <c r="AC137" s="136"/>
      <c r="AD137" s="536">
        <v>200000</v>
      </c>
      <c r="AE137" s="137" t="s">
        <v>380</v>
      </c>
      <c r="AF137" s="5"/>
    </row>
    <row r="138" spans="1:32" s="14" customFormat="1" ht="21" customHeight="1">
      <c r="A138" s="46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669" t="s">
        <v>502</v>
      </c>
      <c r="P138" s="669"/>
      <c r="Q138" s="669"/>
      <c r="R138" s="669"/>
      <c r="S138" s="668">
        <v>20000</v>
      </c>
      <c r="T138" s="668" t="s">
        <v>57</v>
      </c>
      <c r="U138" s="669" t="s">
        <v>58</v>
      </c>
      <c r="V138" s="668">
        <v>0</v>
      </c>
      <c r="W138" s="668" t="s">
        <v>56</v>
      </c>
      <c r="X138" s="669" t="s">
        <v>58</v>
      </c>
      <c r="Y138" s="391">
        <v>1</v>
      </c>
      <c r="Z138" s="384" t="s">
        <v>72</v>
      </c>
      <c r="AA138" s="384" t="s">
        <v>53</v>
      </c>
      <c r="AB138" s="668" t="s">
        <v>501</v>
      </c>
      <c r="AC138" s="136"/>
      <c r="AD138" s="668">
        <f>S138*V138*Y138</f>
        <v>0</v>
      </c>
      <c r="AE138" s="137" t="s">
        <v>57</v>
      </c>
      <c r="AF138" s="5"/>
    </row>
    <row r="139" spans="1:32" s="14" customFormat="1" ht="21" customHeight="1">
      <c r="A139" s="46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669" t="s">
        <v>503</v>
      </c>
      <c r="P139" s="537"/>
      <c r="Q139" s="537"/>
      <c r="R139" s="537"/>
      <c r="S139" s="536"/>
      <c r="T139" s="536"/>
      <c r="U139" s="537"/>
      <c r="V139" s="536"/>
      <c r="W139" s="536"/>
      <c r="X139" s="537"/>
      <c r="Y139" s="565"/>
      <c r="Z139" s="551"/>
      <c r="AA139" s="567"/>
      <c r="AB139" s="668" t="s">
        <v>501</v>
      </c>
      <c r="AC139" s="536"/>
      <c r="AD139" s="536">
        <v>0</v>
      </c>
      <c r="AE139" s="137" t="s">
        <v>377</v>
      </c>
      <c r="AF139" s="5"/>
    </row>
    <row r="140" spans="1:32" s="11" customFormat="1" ht="21" customHeight="1">
      <c r="A140" s="46"/>
      <c r="B140" s="46"/>
      <c r="C140" s="59"/>
      <c r="D140" s="161"/>
      <c r="E140" s="167"/>
      <c r="F140" s="167"/>
      <c r="G140" s="167"/>
      <c r="H140" s="167"/>
      <c r="I140" s="167"/>
      <c r="J140" s="167"/>
      <c r="K140" s="167"/>
      <c r="L140" s="167"/>
      <c r="M140" s="133"/>
      <c r="N140" s="84"/>
      <c r="O140" s="568"/>
      <c r="P140" s="568"/>
      <c r="Q140" s="568"/>
      <c r="R140" s="568"/>
      <c r="S140" s="568"/>
      <c r="T140" s="134"/>
      <c r="U140" s="536"/>
      <c r="V140" s="384"/>
      <c r="W140" s="536"/>
      <c r="X140" s="536"/>
      <c r="Y140" s="536"/>
      <c r="Z140" s="536"/>
      <c r="AA140" s="536"/>
      <c r="AB140" s="536"/>
      <c r="AC140" s="536"/>
      <c r="AD140" s="536"/>
      <c r="AE140" s="137"/>
      <c r="AF140" s="1"/>
    </row>
    <row r="141" spans="1:32" s="11" customFormat="1" ht="21" customHeight="1">
      <c r="A141" s="46"/>
      <c r="B141" s="46"/>
      <c r="C141" s="46" t="s">
        <v>92</v>
      </c>
      <c r="D141" s="130">
        <v>99</v>
      </c>
      <c r="E141" s="114">
        <f>AD141/1000</f>
        <v>120</v>
      </c>
      <c r="F141" s="109">
        <f>AD142/1000</f>
        <v>60</v>
      </c>
      <c r="G141" s="109">
        <v>0</v>
      </c>
      <c r="H141" s="109">
        <v>0</v>
      </c>
      <c r="I141" s="109">
        <v>0</v>
      </c>
      <c r="J141" s="109">
        <f>AD143/1000</f>
        <v>60</v>
      </c>
      <c r="K141" s="109">
        <v>0</v>
      </c>
      <c r="L141" s="109">
        <v>0</v>
      </c>
      <c r="M141" s="109">
        <f>E141-D141</f>
        <v>21</v>
      </c>
      <c r="N141" s="70">
        <f>IF(D141=0,0,M141/D141)</f>
        <v>0.21212121212121213</v>
      </c>
      <c r="O141" s="97" t="s">
        <v>97</v>
      </c>
      <c r="P141" s="93"/>
      <c r="Q141" s="93"/>
      <c r="R141" s="93"/>
      <c r="S141" s="93"/>
      <c r="T141" s="89"/>
      <c r="U141" s="89"/>
      <c r="V141" s="89"/>
      <c r="W141" s="89"/>
      <c r="X141" s="89"/>
      <c r="Y141" s="178" t="s">
        <v>146</v>
      </c>
      <c r="Z141" s="178"/>
      <c r="AA141" s="178"/>
      <c r="AB141" s="178"/>
      <c r="AC141" s="180"/>
      <c r="AD141" s="180">
        <f>ROUND(SUM(AD142:AD143),-3)</f>
        <v>120000</v>
      </c>
      <c r="AE141" s="179" t="s">
        <v>25</v>
      </c>
      <c r="AF141" s="1"/>
    </row>
    <row r="142" spans="1:32" s="11" customFormat="1" ht="21" customHeight="1">
      <c r="A142" s="46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678" t="s">
        <v>540</v>
      </c>
      <c r="P142" s="537"/>
      <c r="Q142" s="537"/>
      <c r="R142" s="537"/>
      <c r="S142" s="536">
        <v>10000</v>
      </c>
      <c r="T142" s="390" t="s">
        <v>380</v>
      </c>
      <c r="U142" s="390" t="s">
        <v>26</v>
      </c>
      <c r="V142" s="536">
        <v>6</v>
      </c>
      <c r="W142" s="536" t="s">
        <v>383</v>
      </c>
      <c r="X142" s="384"/>
      <c r="Y142" s="565"/>
      <c r="Z142" s="551"/>
      <c r="AA142" s="566" t="s">
        <v>384</v>
      </c>
      <c r="AB142" s="536" t="s">
        <v>386</v>
      </c>
      <c r="AC142" s="536"/>
      <c r="AD142" s="536">
        <f>S142*V142</f>
        <v>60000</v>
      </c>
      <c r="AE142" s="137" t="s">
        <v>25</v>
      </c>
      <c r="AF142" s="1"/>
    </row>
    <row r="143" spans="1:32" s="11" customFormat="1" ht="21" customHeight="1">
      <c r="A143" s="46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622"/>
      <c r="P143" s="622"/>
      <c r="Q143" s="622"/>
      <c r="R143" s="622"/>
      <c r="S143" s="621">
        <v>10000</v>
      </c>
      <c r="T143" s="390" t="s">
        <v>57</v>
      </c>
      <c r="U143" s="390" t="s">
        <v>26</v>
      </c>
      <c r="V143" s="621">
        <v>6</v>
      </c>
      <c r="W143" s="621" t="s">
        <v>168</v>
      </c>
      <c r="X143" s="384"/>
      <c r="Y143" s="565"/>
      <c r="Z143" s="551"/>
      <c r="AA143" s="566" t="s">
        <v>237</v>
      </c>
      <c r="AB143" s="677" t="s">
        <v>515</v>
      </c>
      <c r="AC143" s="621"/>
      <c r="AD143" s="621">
        <f>S143*V143</f>
        <v>60000</v>
      </c>
      <c r="AE143" s="137" t="s">
        <v>25</v>
      </c>
      <c r="AF143" s="1"/>
    </row>
    <row r="144" spans="1:32" s="11" customFormat="1" ht="21" customHeight="1">
      <c r="A144" s="46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37"/>
      <c r="P144" s="537"/>
      <c r="Q144" s="537"/>
      <c r="R144" s="537"/>
      <c r="S144" s="536"/>
      <c r="T144" s="390"/>
      <c r="U144" s="537"/>
      <c r="V144" s="536"/>
      <c r="W144" s="537"/>
      <c r="X144" s="536"/>
      <c r="Y144" s="536"/>
      <c r="Z144" s="536"/>
      <c r="AA144" s="536"/>
      <c r="AB144" s="536"/>
      <c r="AC144" s="536"/>
      <c r="AD144" s="536"/>
      <c r="AE144" s="137"/>
      <c r="AF144" s="1"/>
    </row>
    <row r="145" spans="1:33" s="11" customFormat="1" ht="21" customHeight="1">
      <c r="A145" s="46"/>
      <c r="B145" s="36" t="s">
        <v>98</v>
      </c>
      <c r="C145" s="174" t="s">
        <v>151</v>
      </c>
      <c r="D145" s="175">
        <f t="shared" ref="D145:L145" si="16">SUM(D146,D152,D159,D162,D168,D172,D178)</f>
        <v>3421</v>
      </c>
      <c r="E145" s="175">
        <f t="shared" si="16"/>
        <v>5201</v>
      </c>
      <c r="F145" s="175">
        <f t="shared" si="16"/>
        <v>0</v>
      </c>
      <c r="G145" s="175">
        <f t="shared" si="16"/>
        <v>0</v>
      </c>
      <c r="H145" s="175">
        <f t="shared" si="16"/>
        <v>0</v>
      </c>
      <c r="I145" s="175">
        <f t="shared" si="16"/>
        <v>0</v>
      </c>
      <c r="J145" s="175">
        <f t="shared" si="16"/>
        <v>5201</v>
      </c>
      <c r="K145" s="175">
        <f t="shared" si="16"/>
        <v>0</v>
      </c>
      <c r="L145" s="175">
        <f t="shared" si="16"/>
        <v>0</v>
      </c>
      <c r="M145" s="175">
        <f>E145-D145</f>
        <v>1780</v>
      </c>
      <c r="N145" s="176">
        <f>IF(D145=0,0,M145/D145)</f>
        <v>0.52031569716457171</v>
      </c>
      <c r="O145" s="177"/>
      <c r="P145" s="177"/>
      <c r="Q145" s="177"/>
      <c r="R145" s="177"/>
      <c r="S145" s="177"/>
      <c r="T145" s="178"/>
      <c r="U145" s="178"/>
      <c r="V145" s="178"/>
      <c r="W145" s="178"/>
      <c r="X145" s="178"/>
      <c r="Y145" s="178" t="s">
        <v>28</v>
      </c>
      <c r="Z145" s="178"/>
      <c r="AA145" s="178"/>
      <c r="AB145" s="178"/>
      <c r="AC145" s="180"/>
      <c r="AD145" s="180">
        <f>SUM(AD146,AD152,AD159,AD162,AD168,AD172,AD178)</f>
        <v>5201000</v>
      </c>
      <c r="AE145" s="179" t="s">
        <v>25</v>
      </c>
      <c r="AF145" s="1"/>
    </row>
    <row r="146" spans="1:33" s="15" customFormat="1" ht="24" customHeight="1">
      <c r="A146" s="46"/>
      <c r="B146" s="46" t="s">
        <v>455</v>
      </c>
      <c r="C146" s="36" t="s">
        <v>541</v>
      </c>
      <c r="D146" s="643">
        <v>850</v>
      </c>
      <c r="E146" s="114">
        <f>AD146/1000</f>
        <v>850</v>
      </c>
      <c r="F146" s="109">
        <v>0</v>
      </c>
      <c r="G146" s="109">
        <v>0</v>
      </c>
      <c r="H146" s="109">
        <v>0</v>
      </c>
      <c r="I146" s="109">
        <v>0</v>
      </c>
      <c r="J146" s="109">
        <f>SUM(AD147:AD150)/1000</f>
        <v>850</v>
      </c>
      <c r="K146" s="109">
        <v>0</v>
      </c>
      <c r="L146" s="109">
        <v>0</v>
      </c>
      <c r="M146" s="109">
        <f>E146-D146</f>
        <v>0</v>
      </c>
      <c r="N146" s="70">
        <f>IF(D146=0,0,M146/D146)</f>
        <v>0</v>
      </c>
      <c r="O146" s="631"/>
      <c r="P146" s="166"/>
      <c r="Q146" s="166"/>
      <c r="R146" s="166"/>
      <c r="S146" s="166"/>
      <c r="T146" s="88"/>
      <c r="U146" s="88"/>
      <c r="V146" s="88"/>
      <c r="W146" s="148" t="s">
        <v>140</v>
      </c>
      <c r="X146" s="148"/>
      <c r="Y146" s="148"/>
      <c r="Z146" s="148"/>
      <c r="AA146" s="148"/>
      <c r="AB146" s="148"/>
      <c r="AC146" s="149"/>
      <c r="AD146" s="149">
        <f>SUM(AD147:AD150)</f>
        <v>850000</v>
      </c>
      <c r="AE146" s="150" t="s">
        <v>25</v>
      </c>
      <c r="AF146" s="16"/>
    </row>
    <row r="147" spans="1:33" s="15" customFormat="1" ht="24" customHeight="1">
      <c r="A147" s="46"/>
      <c r="B147" s="46"/>
      <c r="C147" s="46" t="s">
        <v>542</v>
      </c>
      <c r="D147" s="163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678" t="s">
        <v>543</v>
      </c>
      <c r="P147" s="628"/>
      <c r="Q147" s="628"/>
      <c r="R147" s="628"/>
      <c r="S147" s="677">
        <v>50000</v>
      </c>
      <c r="T147" s="390" t="s">
        <v>57</v>
      </c>
      <c r="U147" s="390" t="s">
        <v>26</v>
      </c>
      <c r="V147" s="677">
        <v>4</v>
      </c>
      <c r="W147" s="677" t="s">
        <v>544</v>
      </c>
      <c r="X147" s="384"/>
      <c r="Y147" s="565"/>
      <c r="Z147" s="551"/>
      <c r="AA147" s="566" t="s">
        <v>53</v>
      </c>
      <c r="AB147" s="677" t="s">
        <v>515</v>
      </c>
      <c r="AC147" s="677"/>
      <c r="AD147" s="677">
        <f>S147*V147</f>
        <v>200000</v>
      </c>
      <c r="AE147" s="137" t="s">
        <v>25</v>
      </c>
      <c r="AF147" s="16"/>
    </row>
    <row r="148" spans="1:33" s="15" customFormat="1" ht="24" customHeight="1">
      <c r="A148" s="46"/>
      <c r="B148" s="46"/>
      <c r="C148" s="46"/>
      <c r="D148" s="163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78" t="s">
        <v>545</v>
      </c>
      <c r="P148" s="628"/>
      <c r="Q148" s="628"/>
      <c r="R148" s="628"/>
      <c r="S148" s="677">
        <v>50000</v>
      </c>
      <c r="T148" s="390" t="s">
        <v>57</v>
      </c>
      <c r="U148" s="390" t="s">
        <v>26</v>
      </c>
      <c r="V148" s="677">
        <v>2</v>
      </c>
      <c r="W148" s="677" t="s">
        <v>546</v>
      </c>
      <c r="X148" s="384"/>
      <c r="Y148" s="565"/>
      <c r="Z148" s="551"/>
      <c r="AA148" s="566" t="s">
        <v>53</v>
      </c>
      <c r="AB148" s="677" t="s">
        <v>515</v>
      </c>
      <c r="AC148" s="677"/>
      <c r="AD148" s="677">
        <f>S148*V148</f>
        <v>100000</v>
      </c>
      <c r="AE148" s="137" t="s">
        <v>25</v>
      </c>
      <c r="AF148" s="16"/>
    </row>
    <row r="149" spans="1:33" s="15" customFormat="1" ht="24" customHeight="1">
      <c r="A149" s="46"/>
      <c r="B149" s="46"/>
      <c r="C149" s="46"/>
      <c r="D149" s="163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678" t="s">
        <v>547</v>
      </c>
      <c r="P149" s="628"/>
      <c r="Q149" s="628"/>
      <c r="R149" s="628"/>
      <c r="S149" s="677">
        <v>50000</v>
      </c>
      <c r="T149" s="390" t="s">
        <v>57</v>
      </c>
      <c r="U149" s="390" t="s">
        <v>26</v>
      </c>
      <c r="V149" s="677">
        <v>6</v>
      </c>
      <c r="W149" s="677" t="s">
        <v>546</v>
      </c>
      <c r="X149" s="384"/>
      <c r="Y149" s="565"/>
      <c r="Z149" s="551"/>
      <c r="AA149" s="566" t="s">
        <v>53</v>
      </c>
      <c r="AB149" s="677" t="s">
        <v>515</v>
      </c>
      <c r="AC149" s="677"/>
      <c r="AD149" s="677">
        <f>S149*V149</f>
        <v>300000</v>
      </c>
      <c r="AE149" s="137" t="s">
        <v>25</v>
      </c>
      <c r="AF149" s="16"/>
    </row>
    <row r="150" spans="1:33" s="15" customFormat="1" ht="24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78" t="s">
        <v>548</v>
      </c>
      <c r="P150" s="628"/>
      <c r="Q150" s="628"/>
      <c r="R150" s="628"/>
      <c r="S150" s="677">
        <v>50000</v>
      </c>
      <c r="T150" s="390" t="s">
        <v>57</v>
      </c>
      <c r="U150" s="390" t="s">
        <v>26</v>
      </c>
      <c r="V150" s="677">
        <v>5</v>
      </c>
      <c r="W150" s="677" t="s">
        <v>546</v>
      </c>
      <c r="X150" s="384"/>
      <c r="Y150" s="565"/>
      <c r="Z150" s="551"/>
      <c r="AA150" s="566" t="s">
        <v>53</v>
      </c>
      <c r="AB150" s="677" t="s">
        <v>515</v>
      </c>
      <c r="AC150" s="677"/>
      <c r="AD150" s="677">
        <f>S150*V150</f>
        <v>250000</v>
      </c>
      <c r="AE150" s="137" t="s">
        <v>25</v>
      </c>
      <c r="AF150" s="16"/>
    </row>
    <row r="151" spans="1:33" s="15" customFormat="1" ht="24" customHeight="1">
      <c r="A151" s="46"/>
      <c r="B151" s="46"/>
      <c r="C151" s="59"/>
      <c r="D151" s="161"/>
      <c r="E151" s="111"/>
      <c r="F151" s="111"/>
      <c r="G151" s="111"/>
      <c r="H151" s="111"/>
      <c r="I151" s="111"/>
      <c r="J151" s="111"/>
      <c r="K151" s="111"/>
      <c r="L151" s="111"/>
      <c r="M151" s="111"/>
      <c r="N151" s="84"/>
      <c r="O151" s="626"/>
      <c r="P151" s="626"/>
      <c r="Q151" s="626"/>
      <c r="R151" s="626"/>
      <c r="S151" s="625"/>
      <c r="T151" s="625"/>
      <c r="U151" s="626"/>
      <c r="V151" s="625"/>
      <c r="W151" s="625"/>
      <c r="X151" s="625"/>
      <c r="Y151" s="625"/>
      <c r="Z151" s="625"/>
      <c r="AA151" s="625"/>
      <c r="AB151" s="625"/>
      <c r="AC151" s="625"/>
      <c r="AD151" s="625"/>
      <c r="AE151" s="561"/>
      <c r="AF151" s="16"/>
    </row>
    <row r="152" spans="1:33" s="15" customFormat="1" ht="24" customHeight="1">
      <c r="A152" s="46"/>
      <c r="B152" s="46"/>
      <c r="C152" s="36" t="s">
        <v>549</v>
      </c>
      <c r="D152" s="162">
        <v>380</v>
      </c>
      <c r="E152" s="114">
        <f>AD152/1000</f>
        <v>900</v>
      </c>
      <c r="F152" s="109">
        <v>0</v>
      </c>
      <c r="G152" s="109">
        <v>0</v>
      </c>
      <c r="H152" s="109">
        <v>0</v>
      </c>
      <c r="I152" s="109">
        <v>0</v>
      </c>
      <c r="J152" s="109">
        <f>SUM(AD153:AD157)/1000</f>
        <v>900</v>
      </c>
      <c r="K152" s="109">
        <v>0</v>
      </c>
      <c r="L152" s="109">
        <v>0</v>
      </c>
      <c r="M152" s="109">
        <f>E152-D152</f>
        <v>520</v>
      </c>
      <c r="N152" s="70">
        <f>IF(D152=0,0,M152/D152)</f>
        <v>1.368421052631579</v>
      </c>
      <c r="O152" s="381"/>
      <c r="P152" s="398"/>
      <c r="Q152" s="398"/>
      <c r="R152" s="636"/>
      <c r="S152" s="636"/>
      <c r="T152" s="636"/>
      <c r="U152" s="636"/>
      <c r="V152" s="636"/>
      <c r="W152" s="637" t="s">
        <v>140</v>
      </c>
      <c r="X152" s="637"/>
      <c r="Y152" s="637"/>
      <c r="Z152" s="637"/>
      <c r="AA152" s="637"/>
      <c r="AB152" s="637"/>
      <c r="AC152" s="638"/>
      <c r="AD152" s="638">
        <f>SUM(AD153:AD157)</f>
        <v>900000</v>
      </c>
      <c r="AE152" s="639" t="s">
        <v>25</v>
      </c>
      <c r="AF152" s="16"/>
    </row>
    <row r="153" spans="1:33" s="15" customFormat="1" ht="24" customHeight="1">
      <c r="A153" s="46"/>
      <c r="B153" s="46"/>
      <c r="C153" s="46" t="s">
        <v>455</v>
      </c>
      <c r="D153" s="163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678" t="s">
        <v>550</v>
      </c>
      <c r="P153" s="628"/>
      <c r="Q153" s="628"/>
      <c r="R153" s="628"/>
      <c r="S153" s="677">
        <v>150000</v>
      </c>
      <c r="T153" s="390" t="s">
        <v>57</v>
      </c>
      <c r="U153" s="390" t="s">
        <v>26</v>
      </c>
      <c r="V153" s="677">
        <v>2</v>
      </c>
      <c r="W153" s="678" t="s">
        <v>72</v>
      </c>
      <c r="X153" s="677"/>
      <c r="Y153" s="569"/>
      <c r="Z153" s="569" t="s">
        <v>53</v>
      </c>
      <c r="AA153" s="569"/>
      <c r="AB153" s="569" t="s">
        <v>293</v>
      </c>
      <c r="AC153" s="569"/>
      <c r="AD153" s="570">
        <f>S153*V153</f>
        <v>300000</v>
      </c>
      <c r="AE153" s="571" t="s">
        <v>57</v>
      </c>
      <c r="AF153" s="16"/>
    </row>
    <row r="154" spans="1:33" s="15" customFormat="1" ht="24" customHeight="1">
      <c r="A154" s="46"/>
      <c r="B154" s="46"/>
      <c r="C154" s="46"/>
      <c r="D154" s="163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678" t="s">
        <v>551</v>
      </c>
      <c r="P154" s="562"/>
      <c r="Q154" s="562"/>
      <c r="R154" s="558"/>
      <c r="S154" s="629">
        <v>100000</v>
      </c>
      <c r="T154" s="390" t="s">
        <v>57</v>
      </c>
      <c r="U154" s="390" t="s">
        <v>26</v>
      </c>
      <c r="V154" s="629">
        <v>2</v>
      </c>
      <c r="W154" s="630" t="s">
        <v>459</v>
      </c>
      <c r="X154" s="629"/>
      <c r="Y154" s="569"/>
      <c r="Z154" s="569" t="s">
        <v>53</v>
      </c>
      <c r="AA154" s="569"/>
      <c r="AB154" s="569" t="s">
        <v>293</v>
      </c>
      <c r="AC154" s="569"/>
      <c r="AD154" s="570">
        <f>S154*V154</f>
        <v>200000</v>
      </c>
      <c r="AE154" s="571" t="s">
        <v>57</v>
      </c>
      <c r="AF154" s="16"/>
    </row>
    <row r="155" spans="1:33" s="15" customFormat="1" ht="24" customHeight="1">
      <c r="A155" s="46"/>
      <c r="B155" s="46"/>
      <c r="C155" s="46"/>
      <c r="D155" s="163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678" t="s">
        <v>552</v>
      </c>
      <c r="P155" s="562"/>
      <c r="Q155" s="562"/>
      <c r="R155" s="558"/>
      <c r="S155" s="677">
        <v>100000</v>
      </c>
      <c r="T155" s="390" t="s">
        <v>57</v>
      </c>
      <c r="U155" s="390" t="s">
        <v>26</v>
      </c>
      <c r="V155" s="677">
        <v>2</v>
      </c>
      <c r="W155" s="678" t="s">
        <v>72</v>
      </c>
      <c r="X155" s="677"/>
      <c r="Y155" s="569"/>
      <c r="Z155" s="569" t="s">
        <v>53</v>
      </c>
      <c r="AA155" s="569"/>
      <c r="AB155" s="569" t="s">
        <v>293</v>
      </c>
      <c r="AC155" s="569"/>
      <c r="AD155" s="570">
        <f>S155*V155</f>
        <v>200000</v>
      </c>
      <c r="AE155" s="571" t="s">
        <v>57</v>
      </c>
      <c r="AF155" s="16"/>
    </row>
    <row r="156" spans="1:33" s="15" customFormat="1" ht="24" customHeight="1">
      <c r="A156" s="46"/>
      <c r="B156" s="46"/>
      <c r="C156" s="46"/>
      <c r="D156" s="163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678" t="s">
        <v>553</v>
      </c>
      <c r="P156" s="562"/>
      <c r="Q156" s="562"/>
      <c r="R156" s="558"/>
      <c r="S156" s="677">
        <v>100000</v>
      </c>
      <c r="T156" s="390" t="s">
        <v>57</v>
      </c>
      <c r="U156" s="390" t="s">
        <v>26</v>
      </c>
      <c r="V156" s="677">
        <v>2</v>
      </c>
      <c r="W156" s="678" t="s">
        <v>72</v>
      </c>
      <c r="X156" s="677"/>
      <c r="Y156" s="569"/>
      <c r="Z156" s="569" t="s">
        <v>53</v>
      </c>
      <c r="AA156" s="569"/>
      <c r="AB156" s="569" t="s">
        <v>293</v>
      </c>
      <c r="AC156" s="569"/>
      <c r="AD156" s="570">
        <f>S156*V156</f>
        <v>200000</v>
      </c>
      <c r="AE156" s="571" t="s">
        <v>57</v>
      </c>
      <c r="AF156" s="16"/>
    </row>
    <row r="157" spans="1:33" s="15" customFormat="1" ht="24" customHeight="1">
      <c r="A157" s="46"/>
      <c r="B157" s="46"/>
      <c r="C157" s="46"/>
      <c r="D157" s="163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8" t="s">
        <v>554</v>
      </c>
      <c r="P157" s="562"/>
      <c r="Q157" s="562"/>
      <c r="R157" s="558"/>
      <c r="S157" s="677">
        <v>20000</v>
      </c>
      <c r="T157" s="390" t="s">
        <v>57</v>
      </c>
      <c r="U157" s="390" t="s">
        <v>26</v>
      </c>
      <c r="V157" s="677">
        <v>0</v>
      </c>
      <c r="W157" s="678" t="s">
        <v>544</v>
      </c>
      <c r="X157" s="677"/>
      <c r="Y157" s="569"/>
      <c r="Z157" s="569" t="s">
        <v>53</v>
      </c>
      <c r="AA157" s="569"/>
      <c r="AB157" s="569" t="s">
        <v>293</v>
      </c>
      <c r="AC157" s="569"/>
      <c r="AD157" s="570">
        <f>S157*V157</f>
        <v>0</v>
      </c>
      <c r="AE157" s="571" t="s">
        <v>57</v>
      </c>
      <c r="AF157" s="16"/>
    </row>
    <row r="158" spans="1:33" s="15" customFormat="1" ht="24" customHeight="1">
      <c r="A158" s="46"/>
      <c r="B158" s="46"/>
      <c r="C158" s="59"/>
      <c r="D158" s="164"/>
      <c r="E158" s="111"/>
      <c r="F158" s="111"/>
      <c r="G158" s="111"/>
      <c r="H158" s="111"/>
      <c r="I158" s="111"/>
      <c r="J158" s="111"/>
      <c r="K158" s="111"/>
      <c r="L158" s="111"/>
      <c r="M158" s="111"/>
      <c r="N158" s="84"/>
      <c r="O158" s="626"/>
      <c r="P158" s="626"/>
      <c r="Q158" s="626"/>
      <c r="R158" s="626"/>
      <c r="S158" s="626"/>
      <c r="T158" s="625"/>
      <c r="U158" s="625"/>
      <c r="V158" s="625"/>
      <c r="W158" s="625"/>
      <c r="X158" s="625"/>
      <c r="Y158" s="625"/>
      <c r="Z158" s="625"/>
      <c r="AA158" s="625"/>
      <c r="AB158" s="625"/>
      <c r="AC158" s="572"/>
      <c r="AD158" s="572"/>
      <c r="AE158" s="561"/>
      <c r="AF158" s="16"/>
      <c r="AG158" s="16"/>
    </row>
    <row r="159" spans="1:33" s="15" customFormat="1" ht="24" customHeight="1">
      <c r="A159" s="46"/>
      <c r="B159" s="46"/>
      <c r="C159" s="36" t="s">
        <v>555</v>
      </c>
      <c r="D159" s="643">
        <v>100</v>
      </c>
      <c r="E159" s="114">
        <f>AD159/1000</f>
        <v>240</v>
      </c>
      <c r="F159" s="113">
        <v>0</v>
      </c>
      <c r="G159" s="113">
        <v>0</v>
      </c>
      <c r="H159" s="113">
        <v>0</v>
      </c>
      <c r="I159" s="113">
        <v>0</v>
      </c>
      <c r="J159" s="113">
        <f>SUM(AD160:AD160)/1000</f>
        <v>240</v>
      </c>
      <c r="K159" s="113">
        <v>0</v>
      </c>
      <c r="L159" s="113">
        <v>0</v>
      </c>
      <c r="M159" s="113">
        <f>E159-D159</f>
        <v>140</v>
      </c>
      <c r="N159" s="121">
        <f>IF(D159=0,0,M159/D159)</f>
        <v>1.4</v>
      </c>
      <c r="O159" s="381"/>
      <c r="P159" s="398"/>
      <c r="Q159" s="398"/>
      <c r="R159" s="636"/>
      <c r="S159" s="636"/>
      <c r="T159" s="636"/>
      <c r="U159" s="636"/>
      <c r="V159" s="636"/>
      <c r="W159" s="637" t="s">
        <v>140</v>
      </c>
      <c r="X159" s="637"/>
      <c r="Y159" s="637"/>
      <c r="Z159" s="637"/>
      <c r="AA159" s="637"/>
      <c r="AB159" s="637"/>
      <c r="AC159" s="638"/>
      <c r="AD159" s="638">
        <f>SUM(AD160:AD160)</f>
        <v>240000</v>
      </c>
      <c r="AE159" s="639" t="s">
        <v>25</v>
      </c>
      <c r="AF159" s="16"/>
      <c r="AG159" s="16"/>
    </row>
    <row r="160" spans="1:33" s="15" customFormat="1" ht="24" customHeight="1">
      <c r="A160" s="46"/>
      <c r="B160" s="46"/>
      <c r="C160" s="46" t="s">
        <v>542</v>
      </c>
      <c r="D160" s="163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678" t="s">
        <v>556</v>
      </c>
      <c r="P160" s="562"/>
      <c r="Q160" s="562"/>
      <c r="R160" s="558"/>
      <c r="S160" s="677">
        <v>10000</v>
      </c>
      <c r="T160" s="677" t="s">
        <v>57</v>
      </c>
      <c r="U160" s="678" t="s">
        <v>58</v>
      </c>
      <c r="V160" s="677">
        <v>4</v>
      </c>
      <c r="W160" s="677" t="s">
        <v>56</v>
      </c>
      <c r="X160" s="678" t="s">
        <v>58</v>
      </c>
      <c r="Y160" s="391">
        <v>6</v>
      </c>
      <c r="Z160" s="384" t="s">
        <v>72</v>
      </c>
      <c r="AA160" s="384" t="s">
        <v>53</v>
      </c>
      <c r="AB160" s="677" t="s">
        <v>293</v>
      </c>
      <c r="AC160" s="136"/>
      <c r="AD160" s="677">
        <f>S160*V160*Y160</f>
        <v>240000</v>
      </c>
      <c r="AE160" s="137" t="s">
        <v>57</v>
      </c>
      <c r="AF160" s="16"/>
      <c r="AG160" s="16"/>
    </row>
    <row r="161" spans="1:32" s="15" customFormat="1" ht="24" customHeight="1">
      <c r="A161" s="46"/>
      <c r="B161" s="46"/>
      <c r="C161" s="59"/>
      <c r="D161" s="161"/>
      <c r="E161" s="111"/>
      <c r="F161" s="111"/>
      <c r="G161" s="111"/>
      <c r="H161" s="111"/>
      <c r="I161" s="111"/>
      <c r="J161" s="111"/>
      <c r="K161" s="111"/>
      <c r="L161" s="111"/>
      <c r="M161" s="111"/>
      <c r="N161" s="84"/>
      <c r="O161" s="626"/>
      <c r="P161" s="626"/>
      <c r="Q161" s="626"/>
      <c r="R161" s="626"/>
      <c r="S161" s="626"/>
      <c r="T161" s="625"/>
      <c r="U161" s="625"/>
      <c r="V161" s="625"/>
      <c r="W161" s="625"/>
      <c r="X161" s="625"/>
      <c r="Y161" s="625"/>
      <c r="Z161" s="625"/>
      <c r="AA161" s="625"/>
      <c r="AB161" s="625"/>
      <c r="AC161" s="572"/>
      <c r="AD161" s="640"/>
      <c r="AE161" s="561"/>
      <c r="AF161" s="16"/>
    </row>
    <row r="162" spans="1:32" s="15" customFormat="1" ht="24" customHeight="1">
      <c r="A162" s="46"/>
      <c r="B162" s="46"/>
      <c r="C162" s="36" t="s">
        <v>561</v>
      </c>
      <c r="D162" s="162">
        <v>1300</v>
      </c>
      <c r="E162" s="114">
        <f>AD162/1000</f>
        <v>2100</v>
      </c>
      <c r="F162" s="113">
        <v>0</v>
      </c>
      <c r="G162" s="113">
        <v>0</v>
      </c>
      <c r="H162" s="113">
        <v>0</v>
      </c>
      <c r="I162" s="113">
        <v>0</v>
      </c>
      <c r="J162" s="113">
        <f>SUM(AD163:AD166)/1000</f>
        <v>2100</v>
      </c>
      <c r="K162" s="113">
        <v>0</v>
      </c>
      <c r="L162" s="113">
        <v>0</v>
      </c>
      <c r="M162" s="113">
        <f>E162-D162</f>
        <v>800</v>
      </c>
      <c r="N162" s="121">
        <f>IF(D162=0,0,M162/D162)</f>
        <v>0.61538461538461542</v>
      </c>
      <c r="O162" s="381"/>
      <c r="P162" s="398"/>
      <c r="Q162" s="398"/>
      <c r="R162" s="636"/>
      <c r="S162" s="636"/>
      <c r="T162" s="636"/>
      <c r="U162" s="636"/>
      <c r="V162" s="636"/>
      <c r="W162" s="637" t="s">
        <v>140</v>
      </c>
      <c r="X162" s="637"/>
      <c r="Y162" s="637"/>
      <c r="Z162" s="637"/>
      <c r="AA162" s="637"/>
      <c r="AB162" s="637"/>
      <c r="AC162" s="638"/>
      <c r="AD162" s="638">
        <f>SUM(AD163:AD166)</f>
        <v>2100000</v>
      </c>
      <c r="AE162" s="639" t="s">
        <v>25</v>
      </c>
      <c r="AF162" s="16"/>
    </row>
    <row r="163" spans="1:32" s="15" customFormat="1" ht="24" customHeight="1">
      <c r="A163" s="46"/>
      <c r="B163" s="46"/>
      <c r="C163" s="46" t="s">
        <v>562</v>
      </c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68" t="s">
        <v>557</v>
      </c>
      <c r="P163" s="568"/>
      <c r="Q163" s="568"/>
      <c r="R163" s="568"/>
      <c r="S163" s="677">
        <v>50000</v>
      </c>
      <c r="T163" s="390" t="s">
        <v>57</v>
      </c>
      <c r="U163" s="390" t="s">
        <v>26</v>
      </c>
      <c r="V163" s="677">
        <v>4</v>
      </c>
      <c r="W163" s="678" t="s">
        <v>544</v>
      </c>
      <c r="X163" s="677"/>
      <c r="Y163" s="569"/>
      <c r="Z163" s="569" t="s">
        <v>53</v>
      </c>
      <c r="AA163" s="569"/>
      <c r="AB163" s="569" t="s">
        <v>293</v>
      </c>
      <c r="AC163" s="569"/>
      <c r="AD163" s="570">
        <f t="shared" ref="AD163:AD166" si="17">S163*V163</f>
        <v>200000</v>
      </c>
      <c r="AE163" s="571" t="s">
        <v>57</v>
      </c>
      <c r="AF163" s="16"/>
    </row>
    <row r="164" spans="1:32" s="15" customFormat="1" ht="24" customHeight="1">
      <c r="A164" s="46"/>
      <c r="B164" s="46"/>
      <c r="C164" s="46"/>
      <c r="D164" s="16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68" t="s">
        <v>558</v>
      </c>
      <c r="P164" s="568"/>
      <c r="Q164" s="568"/>
      <c r="R164" s="568"/>
      <c r="S164" s="677">
        <v>200000</v>
      </c>
      <c r="T164" s="390" t="s">
        <v>57</v>
      </c>
      <c r="U164" s="390" t="s">
        <v>26</v>
      </c>
      <c r="V164" s="677">
        <v>5</v>
      </c>
      <c r="W164" s="678" t="s">
        <v>544</v>
      </c>
      <c r="X164" s="677"/>
      <c r="Y164" s="569"/>
      <c r="Z164" s="569" t="s">
        <v>53</v>
      </c>
      <c r="AA164" s="569"/>
      <c r="AB164" s="569" t="s">
        <v>293</v>
      </c>
      <c r="AC164" s="569"/>
      <c r="AD164" s="570">
        <f t="shared" si="17"/>
        <v>1000000</v>
      </c>
      <c r="AE164" s="571" t="s">
        <v>57</v>
      </c>
      <c r="AF164" s="16"/>
    </row>
    <row r="165" spans="1:32" s="15" customFormat="1" ht="24" customHeight="1">
      <c r="A165" s="46"/>
      <c r="B165" s="46"/>
      <c r="C165" s="46"/>
      <c r="D165" s="16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68" t="s">
        <v>559</v>
      </c>
      <c r="P165" s="568"/>
      <c r="Q165" s="568"/>
      <c r="R165" s="568"/>
      <c r="S165" s="677">
        <v>150000</v>
      </c>
      <c r="T165" s="390" t="s">
        <v>57</v>
      </c>
      <c r="U165" s="390" t="s">
        <v>26</v>
      </c>
      <c r="V165" s="677">
        <v>4</v>
      </c>
      <c r="W165" s="678" t="s">
        <v>544</v>
      </c>
      <c r="X165" s="677"/>
      <c r="Y165" s="569"/>
      <c r="Z165" s="569" t="s">
        <v>53</v>
      </c>
      <c r="AA165" s="569"/>
      <c r="AB165" s="569" t="s">
        <v>293</v>
      </c>
      <c r="AC165" s="569"/>
      <c r="AD165" s="570">
        <f t="shared" si="17"/>
        <v>600000</v>
      </c>
      <c r="AE165" s="571" t="s">
        <v>57</v>
      </c>
      <c r="AF165" s="16"/>
    </row>
    <row r="166" spans="1:32" s="15" customFormat="1" ht="24" customHeight="1">
      <c r="A166" s="46"/>
      <c r="B166" s="46"/>
      <c r="C166" s="46"/>
      <c r="D166" s="16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68" t="s">
        <v>560</v>
      </c>
      <c r="P166" s="568"/>
      <c r="Q166" s="568"/>
      <c r="R166" s="568"/>
      <c r="S166" s="677">
        <v>75000</v>
      </c>
      <c r="T166" s="390" t="s">
        <v>57</v>
      </c>
      <c r="U166" s="390" t="s">
        <v>26</v>
      </c>
      <c r="V166" s="677">
        <v>4</v>
      </c>
      <c r="W166" s="678" t="s">
        <v>544</v>
      </c>
      <c r="X166" s="677"/>
      <c r="Y166" s="569"/>
      <c r="Z166" s="569" t="s">
        <v>53</v>
      </c>
      <c r="AA166" s="569"/>
      <c r="AB166" s="569" t="s">
        <v>293</v>
      </c>
      <c r="AC166" s="569"/>
      <c r="AD166" s="570">
        <f t="shared" si="17"/>
        <v>300000</v>
      </c>
      <c r="AE166" s="571" t="s">
        <v>57</v>
      </c>
      <c r="AF166" s="16"/>
    </row>
    <row r="167" spans="1:32" s="15" customFormat="1" ht="24" customHeight="1">
      <c r="A167" s="46"/>
      <c r="B167" s="46"/>
      <c r="C167" s="59"/>
      <c r="D167" s="161"/>
      <c r="E167" s="111"/>
      <c r="F167" s="111"/>
      <c r="G167" s="111"/>
      <c r="H167" s="111"/>
      <c r="I167" s="111"/>
      <c r="J167" s="111"/>
      <c r="K167" s="111"/>
      <c r="L167" s="111"/>
      <c r="M167" s="111"/>
      <c r="N167" s="84"/>
      <c r="O167" s="633"/>
      <c r="P167" s="633"/>
      <c r="Q167" s="633"/>
      <c r="R167" s="633"/>
      <c r="S167" s="625"/>
      <c r="T167" s="560"/>
      <c r="U167" s="560"/>
      <c r="V167" s="625"/>
      <c r="W167" s="626"/>
      <c r="X167" s="625"/>
      <c r="Y167" s="633"/>
      <c r="Z167" s="633"/>
      <c r="AA167" s="633"/>
      <c r="AB167" s="633"/>
      <c r="AC167" s="633"/>
      <c r="AD167" s="634"/>
      <c r="AE167" s="635"/>
      <c r="AF167" s="16"/>
    </row>
    <row r="168" spans="1:32" s="15" customFormat="1" ht="24" customHeight="1">
      <c r="A168" s="46"/>
      <c r="B168" s="46"/>
      <c r="C168" s="36" t="s">
        <v>563</v>
      </c>
      <c r="D168" s="162">
        <v>80</v>
      </c>
      <c r="E168" s="114">
        <f>AD168/1000</f>
        <v>400</v>
      </c>
      <c r="F168" s="113">
        <v>0</v>
      </c>
      <c r="G168" s="113">
        <v>0</v>
      </c>
      <c r="H168" s="113">
        <v>0</v>
      </c>
      <c r="I168" s="113">
        <v>0</v>
      </c>
      <c r="J168" s="113">
        <f>SUM(AD169:AD170)/1000</f>
        <v>400</v>
      </c>
      <c r="K168" s="113">
        <v>0</v>
      </c>
      <c r="L168" s="113">
        <v>0</v>
      </c>
      <c r="M168" s="113">
        <f>E168-D168</f>
        <v>320</v>
      </c>
      <c r="N168" s="121">
        <f>IF(D168=0,0,M168/D168)</f>
        <v>4</v>
      </c>
      <c r="O168" s="381"/>
      <c r="P168" s="398"/>
      <c r="Q168" s="398"/>
      <c r="R168" s="636"/>
      <c r="S168" s="636"/>
      <c r="T168" s="636"/>
      <c r="U168" s="636"/>
      <c r="V168" s="636"/>
      <c r="W168" s="637" t="s">
        <v>140</v>
      </c>
      <c r="X168" s="637"/>
      <c r="Y168" s="637"/>
      <c r="Z168" s="637"/>
      <c r="AA168" s="637"/>
      <c r="AB168" s="637"/>
      <c r="AC168" s="638"/>
      <c r="AD168" s="638">
        <f>SUM(AD169:AD170)</f>
        <v>400000</v>
      </c>
      <c r="AE168" s="639" t="s">
        <v>25</v>
      </c>
      <c r="AF168" s="16"/>
    </row>
    <row r="169" spans="1:32" s="15" customFormat="1" ht="24" customHeight="1">
      <c r="A169" s="46"/>
      <c r="B169" s="46"/>
      <c r="C169" s="46" t="s">
        <v>542</v>
      </c>
      <c r="D169" s="16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678" t="s">
        <v>564</v>
      </c>
      <c r="P169" s="568"/>
      <c r="Q169" s="568"/>
      <c r="R169" s="568"/>
      <c r="S169" s="677">
        <v>0</v>
      </c>
      <c r="T169" s="390" t="s">
        <v>57</v>
      </c>
      <c r="U169" s="390" t="s">
        <v>26</v>
      </c>
      <c r="V169" s="677">
        <v>4</v>
      </c>
      <c r="W169" s="678" t="s">
        <v>544</v>
      </c>
      <c r="X169" s="677"/>
      <c r="Y169" s="569"/>
      <c r="Z169" s="569" t="s">
        <v>53</v>
      </c>
      <c r="AA169" s="569"/>
      <c r="AB169" s="569" t="s">
        <v>293</v>
      </c>
      <c r="AC169" s="569"/>
      <c r="AD169" s="570">
        <f t="shared" ref="AD169:AD170" si="18">S169*V169</f>
        <v>0</v>
      </c>
      <c r="AE169" s="571" t="s">
        <v>57</v>
      </c>
      <c r="AF169" s="16"/>
    </row>
    <row r="170" spans="1:32" s="15" customFormat="1" ht="24" customHeight="1">
      <c r="A170" s="46"/>
      <c r="B170" s="46"/>
      <c r="C170" s="46"/>
      <c r="D170" s="16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678" t="s">
        <v>565</v>
      </c>
      <c r="P170" s="641"/>
      <c r="Q170" s="641"/>
      <c r="R170" s="641"/>
      <c r="S170" s="677">
        <v>100000</v>
      </c>
      <c r="T170" s="390" t="s">
        <v>57</v>
      </c>
      <c r="U170" s="390" t="s">
        <v>26</v>
      </c>
      <c r="V170" s="677">
        <v>4</v>
      </c>
      <c r="W170" s="678" t="s">
        <v>544</v>
      </c>
      <c r="X170" s="677"/>
      <c r="Y170" s="569"/>
      <c r="Z170" s="569" t="s">
        <v>53</v>
      </c>
      <c r="AA170" s="569"/>
      <c r="AB170" s="569" t="s">
        <v>293</v>
      </c>
      <c r="AC170" s="569"/>
      <c r="AD170" s="570">
        <f t="shared" si="18"/>
        <v>400000</v>
      </c>
      <c r="AE170" s="571" t="s">
        <v>57</v>
      </c>
      <c r="AF170" s="16"/>
    </row>
    <row r="171" spans="1:32" s="15" customFormat="1" ht="24" customHeight="1">
      <c r="A171" s="46"/>
      <c r="B171" s="46"/>
      <c r="C171" s="59"/>
      <c r="D171" s="161"/>
      <c r="E171" s="111"/>
      <c r="F171" s="111"/>
      <c r="G171" s="111"/>
      <c r="H171" s="111"/>
      <c r="I171" s="111"/>
      <c r="J171" s="111"/>
      <c r="K171" s="111"/>
      <c r="L171" s="111"/>
      <c r="M171" s="111"/>
      <c r="N171" s="84"/>
      <c r="O171" s="626"/>
      <c r="P171" s="626"/>
      <c r="Q171" s="626"/>
      <c r="R171" s="626"/>
      <c r="S171" s="626"/>
      <c r="T171" s="625"/>
      <c r="U171" s="625"/>
      <c r="V171" s="625"/>
      <c r="W171" s="625"/>
      <c r="X171" s="625"/>
      <c r="Y171" s="625"/>
      <c r="Z171" s="625"/>
      <c r="AA171" s="625"/>
      <c r="AB171" s="625"/>
      <c r="AC171" s="572"/>
      <c r="AD171" s="640"/>
      <c r="AE171" s="561"/>
      <c r="AF171" s="16"/>
    </row>
    <row r="172" spans="1:32" s="15" customFormat="1" ht="24" customHeight="1">
      <c r="A172" s="46"/>
      <c r="B172" s="46"/>
      <c r="C172" s="36" t="s">
        <v>566</v>
      </c>
      <c r="D172" s="162">
        <v>611</v>
      </c>
      <c r="E172" s="114">
        <f>AD172/1000</f>
        <v>611</v>
      </c>
      <c r="F172" s="113">
        <v>0</v>
      </c>
      <c r="G172" s="113">
        <v>0</v>
      </c>
      <c r="H172" s="113">
        <v>0</v>
      </c>
      <c r="I172" s="113">
        <v>0</v>
      </c>
      <c r="J172" s="113">
        <f>SUM(AD173:AD176)/1000</f>
        <v>611</v>
      </c>
      <c r="K172" s="113">
        <v>0</v>
      </c>
      <c r="L172" s="113">
        <v>0</v>
      </c>
      <c r="M172" s="113">
        <f>E172-D172</f>
        <v>0</v>
      </c>
      <c r="N172" s="121">
        <f>IF(D172=0,0,M172/D172)</f>
        <v>0</v>
      </c>
      <c r="O172" s="402"/>
      <c r="P172" s="402"/>
      <c r="Q172" s="402"/>
      <c r="R172" s="402"/>
      <c r="S172" s="402"/>
      <c r="T172" s="386"/>
      <c r="U172" s="386"/>
      <c r="V172" s="386"/>
      <c r="W172" s="637" t="s">
        <v>140</v>
      </c>
      <c r="X172" s="637"/>
      <c r="Y172" s="637"/>
      <c r="Z172" s="637"/>
      <c r="AA172" s="637"/>
      <c r="AB172" s="637"/>
      <c r="AC172" s="638"/>
      <c r="AD172" s="638">
        <f>SUM(AD173:AD176)</f>
        <v>611000</v>
      </c>
      <c r="AE172" s="639" t="s">
        <v>25</v>
      </c>
      <c r="AF172" s="16"/>
    </row>
    <row r="173" spans="1:32" s="15" customFormat="1" ht="24" customHeight="1">
      <c r="A173" s="46"/>
      <c r="B173" s="46"/>
      <c r="C173" s="46" t="s">
        <v>455</v>
      </c>
      <c r="D173" s="16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678" t="s">
        <v>567</v>
      </c>
      <c r="P173" s="628"/>
      <c r="Q173" s="628"/>
      <c r="R173" s="628"/>
      <c r="S173" s="677">
        <v>10000</v>
      </c>
      <c r="T173" s="677" t="s">
        <v>57</v>
      </c>
      <c r="U173" s="678" t="s">
        <v>58</v>
      </c>
      <c r="V173" s="677">
        <v>4</v>
      </c>
      <c r="W173" s="677" t="s">
        <v>56</v>
      </c>
      <c r="X173" s="678" t="s">
        <v>58</v>
      </c>
      <c r="Y173" s="391">
        <v>4</v>
      </c>
      <c r="Z173" s="384" t="s">
        <v>72</v>
      </c>
      <c r="AA173" s="384" t="s">
        <v>53</v>
      </c>
      <c r="AB173" s="677" t="s">
        <v>293</v>
      </c>
      <c r="AC173" s="136"/>
      <c r="AD173" s="677">
        <f>S173*V173*Y173</f>
        <v>160000</v>
      </c>
      <c r="AE173" s="137" t="s">
        <v>57</v>
      </c>
      <c r="AF173" s="16"/>
    </row>
    <row r="174" spans="1:32" s="15" customFormat="1" ht="24" customHeight="1">
      <c r="A174" s="46"/>
      <c r="B174" s="46"/>
      <c r="C174" s="46"/>
      <c r="D174" s="16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568" t="s">
        <v>568</v>
      </c>
      <c r="P174" s="562"/>
      <c r="Q174" s="562"/>
      <c r="R174" s="558"/>
      <c r="S174" s="677">
        <v>10000</v>
      </c>
      <c r="T174" s="677" t="s">
        <v>57</v>
      </c>
      <c r="U174" s="678" t="s">
        <v>58</v>
      </c>
      <c r="V174" s="677">
        <v>4</v>
      </c>
      <c r="W174" s="677" t="s">
        <v>56</v>
      </c>
      <c r="X174" s="678" t="s">
        <v>58</v>
      </c>
      <c r="Y174" s="391">
        <v>5</v>
      </c>
      <c r="Z174" s="384" t="s">
        <v>72</v>
      </c>
      <c r="AA174" s="384" t="s">
        <v>53</v>
      </c>
      <c r="AB174" s="677" t="s">
        <v>293</v>
      </c>
      <c r="AC174" s="136"/>
      <c r="AD174" s="677">
        <f>S174*V174*Y174</f>
        <v>200000</v>
      </c>
      <c r="AE174" s="137" t="s">
        <v>57</v>
      </c>
      <c r="AF174" s="16"/>
    </row>
    <row r="175" spans="1:32" s="15" customFormat="1" ht="24" customHeight="1">
      <c r="A175" s="46"/>
      <c r="B175" s="46"/>
      <c r="C175" s="46"/>
      <c r="D175" s="16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568" t="s">
        <v>570</v>
      </c>
      <c r="P175" s="562"/>
      <c r="Q175" s="562"/>
      <c r="R175" s="558"/>
      <c r="S175" s="558"/>
      <c r="T175" s="558"/>
      <c r="U175" s="558"/>
      <c r="V175" s="558"/>
      <c r="W175" s="677"/>
      <c r="X175" s="677"/>
      <c r="Y175" s="677"/>
      <c r="Z175" s="677"/>
      <c r="AA175" s="677"/>
      <c r="AB175" s="677" t="s">
        <v>537</v>
      </c>
      <c r="AC175" s="136"/>
      <c r="AD175" s="136">
        <v>51000</v>
      </c>
      <c r="AE175" s="137" t="s">
        <v>534</v>
      </c>
      <c r="AF175" s="16"/>
    </row>
    <row r="176" spans="1:32" s="15" customFormat="1" ht="24" customHeight="1">
      <c r="A176" s="46"/>
      <c r="B176" s="46"/>
      <c r="C176" s="46"/>
      <c r="D176" s="16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68" t="s">
        <v>569</v>
      </c>
      <c r="P176" s="568"/>
      <c r="Q176" s="568"/>
      <c r="R176" s="568"/>
      <c r="S176" s="677">
        <v>20000</v>
      </c>
      <c r="T176" s="677" t="s">
        <v>57</v>
      </c>
      <c r="U176" s="678" t="s">
        <v>58</v>
      </c>
      <c r="V176" s="677">
        <v>2</v>
      </c>
      <c r="W176" s="677" t="s">
        <v>56</v>
      </c>
      <c r="X176" s="678" t="s">
        <v>58</v>
      </c>
      <c r="Y176" s="391">
        <v>5</v>
      </c>
      <c r="Z176" s="384" t="s">
        <v>571</v>
      </c>
      <c r="AA176" s="384" t="s">
        <v>53</v>
      </c>
      <c r="AB176" s="677" t="s">
        <v>293</v>
      </c>
      <c r="AC176" s="136"/>
      <c r="AD176" s="677">
        <f>S176*V176*Y176</f>
        <v>200000</v>
      </c>
      <c r="AE176" s="137" t="s">
        <v>57</v>
      </c>
      <c r="AF176" s="16"/>
    </row>
    <row r="177" spans="1:32" s="15" customFormat="1" ht="24" customHeight="1">
      <c r="A177" s="46"/>
      <c r="B177" s="46"/>
      <c r="C177" s="59"/>
      <c r="D177" s="161"/>
      <c r="E177" s="111"/>
      <c r="F177" s="111"/>
      <c r="G177" s="111"/>
      <c r="H177" s="111"/>
      <c r="I177" s="111"/>
      <c r="J177" s="111"/>
      <c r="K177" s="111"/>
      <c r="L177" s="111"/>
      <c r="M177" s="111"/>
      <c r="N177" s="84"/>
      <c r="O177" s="633"/>
      <c r="P177" s="633"/>
      <c r="Q177" s="633"/>
      <c r="R177" s="633"/>
      <c r="S177" s="633"/>
      <c r="T177" s="633"/>
      <c r="U177" s="633"/>
      <c r="V177" s="633"/>
      <c r="W177" s="633"/>
      <c r="X177" s="633"/>
      <c r="Y177" s="633"/>
      <c r="Z177" s="633"/>
      <c r="AA177" s="633"/>
      <c r="AB177" s="633"/>
      <c r="AC177" s="633"/>
      <c r="AD177" s="634"/>
      <c r="AE177" s="635"/>
      <c r="AF177" s="16"/>
    </row>
    <row r="178" spans="1:32" s="15" customFormat="1" ht="24" customHeight="1">
      <c r="A178" s="46"/>
      <c r="B178" s="46"/>
      <c r="C178" s="36" t="s">
        <v>457</v>
      </c>
      <c r="D178" s="162">
        <v>100</v>
      </c>
      <c r="E178" s="114">
        <f>AD178/1000</f>
        <v>100</v>
      </c>
      <c r="F178" s="113">
        <v>0</v>
      </c>
      <c r="G178" s="113">
        <v>0</v>
      </c>
      <c r="H178" s="113">
        <v>0</v>
      </c>
      <c r="I178" s="113">
        <v>0</v>
      </c>
      <c r="J178" s="113">
        <f>SUM(AD179:AD180)/1000</f>
        <v>100</v>
      </c>
      <c r="K178" s="113">
        <v>0</v>
      </c>
      <c r="L178" s="113">
        <v>0</v>
      </c>
      <c r="M178" s="113">
        <f>E178-D178</f>
        <v>0</v>
      </c>
      <c r="N178" s="121">
        <f>IF(D178=0,0,M178/D178)</f>
        <v>0</v>
      </c>
      <c r="O178" s="381"/>
      <c r="P178" s="398"/>
      <c r="Q178" s="398"/>
      <c r="R178" s="636"/>
      <c r="S178" s="636"/>
      <c r="T178" s="636"/>
      <c r="U178" s="636"/>
      <c r="V178" s="636"/>
      <c r="W178" s="637" t="s">
        <v>140</v>
      </c>
      <c r="X178" s="637"/>
      <c r="Y178" s="637"/>
      <c r="Z178" s="637"/>
      <c r="AA178" s="637"/>
      <c r="AB178" s="637"/>
      <c r="AC178" s="638"/>
      <c r="AD178" s="638">
        <f>SUM(AD179:AD180)</f>
        <v>100000</v>
      </c>
      <c r="AE178" s="639" t="s">
        <v>25</v>
      </c>
      <c r="AF178" s="16"/>
    </row>
    <row r="179" spans="1:32" s="15" customFormat="1" ht="24" customHeight="1">
      <c r="A179" s="46"/>
      <c r="B179" s="46"/>
      <c r="C179" s="46" t="s">
        <v>456</v>
      </c>
      <c r="D179" s="16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678" t="s">
        <v>572</v>
      </c>
      <c r="P179" s="562"/>
      <c r="Q179" s="562"/>
      <c r="R179" s="558"/>
      <c r="S179" s="677">
        <v>100000</v>
      </c>
      <c r="T179" s="390" t="s">
        <v>57</v>
      </c>
      <c r="U179" s="390" t="s">
        <v>26</v>
      </c>
      <c r="V179" s="677">
        <v>1</v>
      </c>
      <c r="W179" s="678" t="s">
        <v>72</v>
      </c>
      <c r="X179" s="677"/>
      <c r="Y179" s="568"/>
      <c r="Z179" s="568" t="s">
        <v>53</v>
      </c>
      <c r="AA179" s="568"/>
      <c r="AB179" s="568" t="s">
        <v>293</v>
      </c>
      <c r="AC179" s="568"/>
      <c r="AD179" s="632">
        <f>S179*V179</f>
        <v>100000</v>
      </c>
      <c r="AE179" s="571" t="s">
        <v>57</v>
      </c>
      <c r="AF179" s="16"/>
    </row>
    <row r="180" spans="1:32" s="15" customFormat="1" ht="24" customHeight="1">
      <c r="A180" s="46"/>
      <c r="B180" s="46"/>
      <c r="C180" s="46" t="s">
        <v>455</v>
      </c>
      <c r="D180" s="16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78" t="s">
        <v>573</v>
      </c>
      <c r="P180" s="562"/>
      <c r="Q180" s="562"/>
      <c r="R180" s="558"/>
      <c r="S180" s="627">
        <v>0</v>
      </c>
      <c r="T180" s="390" t="s">
        <v>57</v>
      </c>
      <c r="U180" s="390" t="s">
        <v>26</v>
      </c>
      <c r="V180" s="627">
        <v>0</v>
      </c>
      <c r="W180" s="628" t="s">
        <v>72</v>
      </c>
      <c r="X180" s="627"/>
      <c r="Y180" s="568"/>
      <c r="Z180" s="568" t="s">
        <v>53</v>
      </c>
      <c r="AA180" s="568"/>
      <c r="AB180" s="568" t="s">
        <v>293</v>
      </c>
      <c r="AC180" s="568"/>
      <c r="AD180" s="632">
        <f>S180*V180</f>
        <v>0</v>
      </c>
      <c r="AE180" s="571" t="s">
        <v>57</v>
      </c>
      <c r="AF180" s="16"/>
    </row>
    <row r="181" spans="1:32" s="15" customFormat="1" ht="24" customHeight="1">
      <c r="A181" s="46"/>
      <c r="B181" s="46"/>
      <c r="C181" s="59"/>
      <c r="D181" s="161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626"/>
      <c r="P181" s="385"/>
      <c r="Q181" s="385"/>
      <c r="R181" s="642"/>
      <c r="S181" s="642"/>
      <c r="T181" s="642"/>
      <c r="U181" s="642"/>
      <c r="V181" s="642"/>
      <c r="W181" s="625"/>
      <c r="X181" s="625"/>
      <c r="Y181" s="625"/>
      <c r="Z181" s="625"/>
      <c r="AA181" s="625"/>
      <c r="AB181" s="625"/>
      <c r="AC181" s="572"/>
      <c r="AD181" s="572"/>
      <c r="AE181" s="561"/>
      <c r="AF181" s="16"/>
    </row>
    <row r="182" spans="1:32" s="11" customFormat="1" ht="21" customHeight="1">
      <c r="A182" s="112" t="s">
        <v>158</v>
      </c>
      <c r="B182" s="737" t="s">
        <v>20</v>
      </c>
      <c r="C182" s="738"/>
      <c r="D182" s="175">
        <f>SUM(D183)</f>
        <v>11</v>
      </c>
      <c r="E182" s="175">
        <f>SUM(E183)</f>
        <v>11</v>
      </c>
      <c r="F182" s="175">
        <f t="shared" ref="F182:L182" si="19">SUM(F183)</f>
        <v>11</v>
      </c>
      <c r="G182" s="175">
        <f t="shared" si="19"/>
        <v>0</v>
      </c>
      <c r="H182" s="175">
        <f t="shared" si="19"/>
        <v>0</v>
      </c>
      <c r="I182" s="175">
        <f t="shared" si="19"/>
        <v>0</v>
      </c>
      <c r="J182" s="175">
        <f t="shared" si="19"/>
        <v>0</v>
      </c>
      <c r="K182" s="175">
        <f t="shared" si="19"/>
        <v>0</v>
      </c>
      <c r="L182" s="175">
        <f t="shared" si="19"/>
        <v>0</v>
      </c>
      <c r="M182" s="175">
        <f>E182-D182</f>
        <v>0</v>
      </c>
      <c r="N182" s="176">
        <f>IF(D182=0,0,M182/D182)</f>
        <v>0</v>
      </c>
      <c r="O182" s="97" t="s">
        <v>161</v>
      </c>
      <c r="P182" s="177"/>
      <c r="Q182" s="177"/>
      <c r="R182" s="177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>
        <f>SUM(AD183)</f>
        <v>11000</v>
      </c>
      <c r="AE182" s="179" t="s">
        <v>25</v>
      </c>
      <c r="AF182" s="1"/>
    </row>
    <row r="183" spans="1:32" s="11" customFormat="1" ht="21" customHeight="1">
      <c r="A183" s="195" t="s">
        <v>160</v>
      </c>
      <c r="B183" s="46" t="s">
        <v>158</v>
      </c>
      <c r="C183" s="46" t="s">
        <v>158</v>
      </c>
      <c r="D183" s="160">
        <v>11</v>
      </c>
      <c r="E183" s="114">
        <f>AD183/1000</f>
        <v>11</v>
      </c>
      <c r="F183" s="109">
        <f>ROUND(SUM(AD184:AD188)/1000,0)</f>
        <v>11</v>
      </c>
      <c r="G183" s="109">
        <v>0</v>
      </c>
      <c r="H183" s="109">
        <f>ROUND(SUM(AD189:AD189)/1000,0)</f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f>E183-D183</f>
        <v>0</v>
      </c>
      <c r="N183" s="70">
        <f>IF(D183=0,0,M183/D183)</f>
        <v>0</v>
      </c>
      <c r="O183" s="385" t="s">
        <v>285</v>
      </c>
      <c r="P183" s="32"/>
      <c r="Q183" s="32"/>
      <c r="R183" s="32"/>
      <c r="S183" s="32"/>
      <c r="T183" s="33"/>
      <c r="U183" s="33"/>
      <c r="V183" s="33"/>
      <c r="W183" s="33"/>
      <c r="X183" s="33"/>
      <c r="Y183" s="178" t="s">
        <v>146</v>
      </c>
      <c r="Z183" s="99"/>
      <c r="AA183" s="99"/>
      <c r="AB183" s="99"/>
      <c r="AC183" s="118"/>
      <c r="AD183" s="118">
        <f>ROUNDUP(SUM(AD184:AD189),-3)</f>
        <v>11000</v>
      </c>
      <c r="AE183" s="119" t="s">
        <v>25</v>
      </c>
      <c r="AF183" s="1"/>
    </row>
    <row r="184" spans="1:32" ht="21" customHeight="1">
      <c r="A184" s="45"/>
      <c r="B184" s="46" t="s">
        <v>159</v>
      </c>
      <c r="C184" s="46" t="s">
        <v>159</v>
      </c>
      <c r="D184" s="16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678" t="s">
        <v>574</v>
      </c>
      <c r="P184" s="537"/>
      <c r="Q184" s="537"/>
      <c r="R184" s="537"/>
      <c r="S184" s="536"/>
      <c r="T184" s="536"/>
      <c r="U184" s="536"/>
      <c r="V184" s="536"/>
      <c r="W184" s="536"/>
      <c r="X184" s="536"/>
      <c r="Y184" s="536"/>
      <c r="Z184" s="536"/>
      <c r="AA184" s="536"/>
      <c r="AB184" s="677" t="s">
        <v>581</v>
      </c>
      <c r="AC184" s="536"/>
      <c r="AD184" s="68">
        <v>0</v>
      </c>
      <c r="AE184" s="137" t="s">
        <v>25</v>
      </c>
    </row>
    <row r="185" spans="1:32" ht="21" customHeight="1">
      <c r="A185" s="45"/>
      <c r="B185" s="46"/>
      <c r="C185" s="46"/>
      <c r="D185" s="16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678" t="s">
        <v>575</v>
      </c>
      <c r="P185" s="537"/>
      <c r="Q185" s="537"/>
      <c r="R185" s="537"/>
      <c r="S185" s="536"/>
      <c r="T185" s="536"/>
      <c r="U185" s="536"/>
      <c r="V185" s="536"/>
      <c r="W185" s="536"/>
      <c r="X185" s="536"/>
      <c r="Y185" s="536"/>
      <c r="Z185" s="536"/>
      <c r="AA185" s="536"/>
      <c r="AB185" s="677" t="s">
        <v>581</v>
      </c>
      <c r="AC185" s="536"/>
      <c r="AD185" s="68">
        <v>8000</v>
      </c>
      <c r="AE185" s="137" t="s">
        <v>380</v>
      </c>
    </row>
    <row r="186" spans="1:32" ht="21" customHeight="1">
      <c r="A186" s="45"/>
      <c r="B186" s="46"/>
      <c r="C186" s="46"/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678" t="s">
        <v>580</v>
      </c>
      <c r="P186" s="678"/>
      <c r="Q186" s="678"/>
      <c r="R186" s="678"/>
      <c r="S186" s="677"/>
      <c r="T186" s="677"/>
      <c r="U186" s="677"/>
      <c r="V186" s="677"/>
      <c r="W186" s="677"/>
      <c r="X186" s="677"/>
      <c r="Y186" s="677"/>
      <c r="Z186" s="677"/>
      <c r="AA186" s="677"/>
      <c r="AB186" s="677" t="s">
        <v>581</v>
      </c>
      <c r="AC186" s="677"/>
      <c r="AD186" s="68">
        <v>3000</v>
      </c>
      <c r="AE186" s="137" t="s">
        <v>534</v>
      </c>
    </row>
    <row r="187" spans="1:32" ht="21" customHeight="1">
      <c r="A187" s="45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678" t="s">
        <v>576</v>
      </c>
      <c r="P187" s="537"/>
      <c r="Q187" s="537"/>
      <c r="R187" s="537"/>
      <c r="S187" s="536"/>
      <c r="T187" s="536"/>
      <c r="U187" s="536"/>
      <c r="V187" s="536"/>
      <c r="W187" s="536"/>
      <c r="X187" s="536"/>
      <c r="Y187" s="536"/>
      <c r="Z187" s="536"/>
      <c r="AA187" s="536"/>
      <c r="AB187" s="677" t="s">
        <v>581</v>
      </c>
      <c r="AC187" s="536"/>
      <c r="AD187" s="68">
        <v>0</v>
      </c>
      <c r="AE187" s="137" t="s">
        <v>380</v>
      </c>
    </row>
    <row r="188" spans="1:32" ht="21" customHeight="1">
      <c r="A188" s="45"/>
      <c r="B188" s="46"/>
      <c r="C188" s="46"/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678" t="s">
        <v>577</v>
      </c>
      <c r="P188" s="537"/>
      <c r="Q188" s="537"/>
      <c r="R188" s="537"/>
      <c r="S188" s="536"/>
      <c r="T188" s="536"/>
      <c r="U188" s="536"/>
      <c r="V188" s="536"/>
      <c r="W188" s="536"/>
      <c r="X188" s="536"/>
      <c r="Y188" s="536"/>
      <c r="Z188" s="536"/>
      <c r="AA188" s="536"/>
      <c r="AB188" s="677" t="s">
        <v>581</v>
      </c>
      <c r="AC188" s="536"/>
      <c r="AD188" s="68">
        <v>0</v>
      </c>
      <c r="AE188" s="137" t="s">
        <v>380</v>
      </c>
    </row>
    <row r="189" spans="1:32" ht="21" customHeight="1">
      <c r="A189" s="45"/>
      <c r="B189" s="46"/>
      <c r="C189" s="46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78" t="s">
        <v>578</v>
      </c>
      <c r="P189" s="537"/>
      <c r="Q189" s="537"/>
      <c r="R189" s="537"/>
      <c r="S189" s="536"/>
      <c r="T189" s="536"/>
      <c r="U189" s="536"/>
      <c r="V189" s="536"/>
      <c r="W189" s="536"/>
      <c r="X189" s="536"/>
      <c r="Y189" s="536"/>
      <c r="Z189" s="536"/>
      <c r="AA189" s="536"/>
      <c r="AB189" s="677" t="s">
        <v>581</v>
      </c>
      <c r="AC189" s="536"/>
      <c r="AD189" s="68">
        <v>0</v>
      </c>
      <c r="AE189" s="137" t="s">
        <v>25</v>
      </c>
    </row>
    <row r="190" spans="1:32" ht="21" customHeight="1">
      <c r="A190" s="45"/>
      <c r="B190" s="46"/>
      <c r="C190" s="47"/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678" t="s">
        <v>579</v>
      </c>
      <c r="P190" s="678"/>
      <c r="Q190" s="678"/>
      <c r="R190" s="678"/>
      <c r="S190" s="677"/>
      <c r="T190" s="677"/>
      <c r="U190" s="677"/>
      <c r="V190" s="677"/>
      <c r="W190" s="677"/>
      <c r="X190" s="677"/>
      <c r="Y190" s="677"/>
      <c r="Z190" s="677"/>
      <c r="AA190" s="677"/>
      <c r="AB190" s="677" t="s">
        <v>581</v>
      </c>
      <c r="AC190" s="677"/>
      <c r="AD190" s="68"/>
      <c r="AE190" s="137"/>
    </row>
    <row r="191" spans="1:32" s="14" customFormat="1" ht="21" customHeight="1">
      <c r="A191" s="45"/>
      <c r="B191" s="59"/>
      <c r="C191" s="47"/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1"/>
      <c r="AE191" s="57"/>
      <c r="AF191" s="4"/>
    </row>
    <row r="192" spans="1:32" s="11" customFormat="1" ht="21" customHeight="1">
      <c r="A192" s="35" t="s">
        <v>99</v>
      </c>
      <c r="B192" s="737" t="s">
        <v>20</v>
      </c>
      <c r="C192" s="738"/>
      <c r="D192" s="175">
        <f>D193</f>
        <v>0</v>
      </c>
      <c r="E192" s="175">
        <f>E193</f>
        <v>0</v>
      </c>
      <c r="F192" s="175">
        <f t="shared" ref="F192:L192" si="20">F193</f>
        <v>0</v>
      </c>
      <c r="G192" s="175">
        <f t="shared" si="20"/>
        <v>0</v>
      </c>
      <c r="H192" s="175">
        <f t="shared" si="20"/>
        <v>0</v>
      </c>
      <c r="I192" s="175">
        <f t="shared" si="20"/>
        <v>0</v>
      </c>
      <c r="J192" s="175">
        <f t="shared" si="20"/>
        <v>0</v>
      </c>
      <c r="K192" s="175">
        <f t="shared" si="20"/>
        <v>0</v>
      </c>
      <c r="L192" s="175">
        <f t="shared" si="20"/>
        <v>0</v>
      </c>
      <c r="M192" s="175">
        <f>E192-D192</f>
        <v>0</v>
      </c>
      <c r="N192" s="176">
        <f>IF(D192=0,0,M192/D192)</f>
        <v>0</v>
      </c>
      <c r="O192" s="177" t="s">
        <v>99</v>
      </c>
      <c r="P192" s="177"/>
      <c r="Q192" s="177"/>
      <c r="R192" s="177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>
        <f>SUM(AD193)</f>
        <v>0</v>
      </c>
      <c r="AE192" s="179" t="s">
        <v>25</v>
      </c>
      <c r="AF192" s="1"/>
    </row>
    <row r="193" spans="1:32" s="11" customFormat="1" ht="21" customHeight="1">
      <c r="A193" s="45"/>
      <c r="B193" s="46" t="s">
        <v>99</v>
      </c>
      <c r="C193" s="46" t="s">
        <v>99</v>
      </c>
      <c r="D193" s="160">
        <v>0</v>
      </c>
      <c r="E193" s="114">
        <f>AD193/1000</f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f>E193-D193</f>
        <v>0</v>
      </c>
      <c r="N193" s="70">
        <f>IF(D193=0,0,M193/D193)</f>
        <v>0</v>
      </c>
      <c r="O193" s="116" t="s">
        <v>100</v>
      </c>
      <c r="P193" s="32"/>
      <c r="Q193" s="32"/>
      <c r="R193" s="32"/>
      <c r="S193" s="32"/>
      <c r="T193" s="33"/>
      <c r="U193" s="33"/>
      <c r="V193" s="33"/>
      <c r="W193" s="33"/>
      <c r="X193" s="33"/>
      <c r="Y193" s="178" t="s">
        <v>146</v>
      </c>
      <c r="Z193" s="99"/>
      <c r="AA193" s="99"/>
      <c r="AB193" s="99"/>
      <c r="AC193" s="118"/>
      <c r="AD193" s="118">
        <v>0</v>
      </c>
      <c r="AE193" s="119" t="s">
        <v>25</v>
      </c>
      <c r="AF193" s="1"/>
    </row>
    <row r="194" spans="1:32" s="1" customFormat="1" ht="21" customHeight="1" thickBot="1">
      <c r="A194" s="138"/>
      <c r="B194" s="46"/>
      <c r="C194" s="46"/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141"/>
    </row>
    <row r="195" spans="1:32" s="11" customFormat="1" ht="21" customHeight="1">
      <c r="A195" s="35" t="s">
        <v>21</v>
      </c>
      <c r="B195" s="735" t="s">
        <v>20</v>
      </c>
      <c r="C195" s="736"/>
      <c r="D195" s="200">
        <f>SUM(D196)</f>
        <v>17</v>
      </c>
      <c r="E195" s="200">
        <f>SUM(E196)</f>
        <v>18</v>
      </c>
      <c r="F195" s="200">
        <f t="shared" ref="F195:L195" si="21">SUM(F196)</f>
        <v>0</v>
      </c>
      <c r="G195" s="200">
        <f t="shared" si="21"/>
        <v>0</v>
      </c>
      <c r="H195" s="200">
        <f t="shared" si="21"/>
        <v>0</v>
      </c>
      <c r="I195" s="200">
        <f t="shared" si="21"/>
        <v>4</v>
      </c>
      <c r="J195" s="200">
        <f t="shared" si="21"/>
        <v>12</v>
      </c>
      <c r="K195" s="200">
        <f t="shared" si="21"/>
        <v>0</v>
      </c>
      <c r="L195" s="200">
        <f t="shared" si="21"/>
        <v>2</v>
      </c>
      <c r="M195" s="200">
        <f>E195-D195</f>
        <v>1</v>
      </c>
      <c r="N195" s="201">
        <f>IF(D195=0,0,M195/D195)</f>
        <v>5.8823529411764705E-2</v>
      </c>
      <c r="O195" s="168" t="s">
        <v>21</v>
      </c>
      <c r="P195" s="169"/>
      <c r="Q195" s="169"/>
      <c r="R195" s="169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70">
        <f>AD196</f>
        <v>18000</v>
      </c>
      <c r="AE195" s="171" t="s">
        <v>25</v>
      </c>
      <c r="AF195" s="1"/>
    </row>
    <row r="196" spans="1:32" s="11" customFormat="1" ht="21" customHeight="1">
      <c r="A196" s="45"/>
      <c r="B196" s="46" t="s">
        <v>21</v>
      </c>
      <c r="C196" s="46" t="s">
        <v>21</v>
      </c>
      <c r="D196" s="109">
        <v>17</v>
      </c>
      <c r="E196" s="114">
        <f>AD196/1000</f>
        <v>18</v>
      </c>
      <c r="F196" s="109">
        <v>0</v>
      </c>
      <c r="G196" s="109">
        <v>0</v>
      </c>
      <c r="H196" s="109">
        <v>0</v>
      </c>
      <c r="I196" s="109">
        <f>SUM(AD199:AD200)/1000</f>
        <v>4</v>
      </c>
      <c r="J196" s="109">
        <f>SUM(AD197:AD198)/1000</f>
        <v>12</v>
      </c>
      <c r="K196" s="109">
        <v>0</v>
      </c>
      <c r="L196" s="109">
        <f>SUM(AD201:AD202)/1000</f>
        <v>2</v>
      </c>
      <c r="M196" s="109">
        <f>E196-D196</f>
        <v>1</v>
      </c>
      <c r="N196" s="70">
        <f>IF(D196=0,0,M196/D196)</f>
        <v>5.8823529411764705E-2</v>
      </c>
      <c r="O196" s="116" t="s">
        <v>52</v>
      </c>
      <c r="P196" s="32"/>
      <c r="Q196" s="32"/>
      <c r="R196" s="32"/>
      <c r="S196" s="32"/>
      <c r="T196" s="33"/>
      <c r="U196" s="33"/>
      <c r="V196" s="33"/>
      <c r="W196" s="33"/>
      <c r="X196" s="33"/>
      <c r="Y196" s="178" t="s">
        <v>146</v>
      </c>
      <c r="Z196" s="99"/>
      <c r="AA196" s="99"/>
      <c r="AB196" s="99"/>
      <c r="AC196" s="118"/>
      <c r="AD196" s="118">
        <f>SUM(AD197:AD202)</f>
        <v>18000</v>
      </c>
      <c r="AE196" s="119" t="s">
        <v>25</v>
      </c>
      <c r="AF196" s="1"/>
    </row>
    <row r="197" spans="1:32" s="11" customFormat="1" ht="21" customHeight="1">
      <c r="A197" s="45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78" t="s">
        <v>699</v>
      </c>
      <c r="P197" s="537"/>
      <c r="Q197" s="537"/>
      <c r="R197" s="537"/>
      <c r="S197" s="537"/>
      <c r="T197" s="536"/>
      <c r="U197" s="536"/>
      <c r="V197" s="536"/>
      <c r="W197" s="536"/>
      <c r="X197" s="536"/>
      <c r="Y197" s="536"/>
      <c r="Z197" s="536"/>
      <c r="AA197" s="536"/>
      <c r="AB197" s="677"/>
      <c r="AC197" s="136"/>
      <c r="AD197" s="68">
        <v>3000</v>
      </c>
      <c r="AE197" s="137" t="s">
        <v>380</v>
      </c>
      <c r="AF197" s="2"/>
    </row>
    <row r="198" spans="1:32" s="11" customFormat="1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78" t="s">
        <v>700</v>
      </c>
      <c r="P198" s="537"/>
      <c r="Q198" s="537"/>
      <c r="R198" s="537"/>
      <c r="S198" s="537"/>
      <c r="T198" s="536"/>
      <c r="U198" s="536"/>
      <c r="V198" s="536"/>
      <c r="W198" s="536"/>
      <c r="X198" s="536"/>
      <c r="Y198" s="536"/>
      <c r="Z198" s="536"/>
      <c r="AA198" s="536"/>
      <c r="AB198" s="677"/>
      <c r="AC198" s="136"/>
      <c r="AD198" s="68">
        <v>9000</v>
      </c>
      <c r="AE198" s="137" t="s">
        <v>380</v>
      </c>
      <c r="AF198" s="2"/>
    </row>
    <row r="199" spans="1:32" s="11" customFormat="1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78" t="s">
        <v>582</v>
      </c>
      <c r="P199" s="678"/>
      <c r="Q199" s="678"/>
      <c r="R199" s="678"/>
      <c r="S199" s="678"/>
      <c r="T199" s="677"/>
      <c r="U199" s="677"/>
      <c r="V199" s="677"/>
      <c r="W199" s="677"/>
      <c r="X199" s="677"/>
      <c r="Y199" s="677"/>
      <c r="Z199" s="677"/>
      <c r="AA199" s="677"/>
      <c r="AB199" s="677"/>
      <c r="AC199" s="136"/>
      <c r="AD199" s="68">
        <v>3000</v>
      </c>
      <c r="AE199" s="137" t="s">
        <v>698</v>
      </c>
      <c r="AF199" s="2"/>
    </row>
    <row r="200" spans="1:32" s="11" customFormat="1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78" t="s">
        <v>697</v>
      </c>
      <c r="P200" s="537"/>
      <c r="Q200" s="537"/>
      <c r="R200" s="537"/>
      <c r="S200" s="537"/>
      <c r="T200" s="536"/>
      <c r="U200" s="536"/>
      <c r="V200" s="536"/>
      <c r="W200" s="536"/>
      <c r="X200" s="536"/>
      <c r="Y200" s="536"/>
      <c r="Z200" s="536"/>
      <c r="AA200" s="536"/>
      <c r="AB200" s="536"/>
      <c r="AC200" s="136"/>
      <c r="AD200" s="68">
        <v>1000</v>
      </c>
      <c r="AE200" s="137" t="s">
        <v>380</v>
      </c>
      <c r="AF200" s="2"/>
    </row>
    <row r="201" spans="1:32" s="11" customFormat="1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678" t="s">
        <v>583</v>
      </c>
      <c r="P201" s="537"/>
      <c r="Q201" s="537"/>
      <c r="R201" s="537"/>
      <c r="S201" s="537"/>
      <c r="T201" s="536"/>
      <c r="U201" s="536"/>
      <c r="V201" s="536"/>
      <c r="W201" s="536"/>
      <c r="X201" s="536"/>
      <c r="Y201" s="536"/>
      <c r="Z201" s="536"/>
      <c r="AA201" s="536"/>
      <c r="AB201" s="536"/>
      <c r="AC201" s="136"/>
      <c r="AD201" s="68">
        <v>1000</v>
      </c>
      <c r="AE201" s="137" t="s">
        <v>380</v>
      </c>
      <c r="AF201" s="2"/>
    </row>
    <row r="202" spans="1:32" s="11" customFormat="1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678" t="s">
        <v>701</v>
      </c>
      <c r="P202" s="678"/>
      <c r="Q202" s="678"/>
      <c r="R202" s="678"/>
      <c r="S202" s="678"/>
      <c r="T202" s="677"/>
      <c r="U202" s="677"/>
      <c r="V202" s="677"/>
      <c r="W202" s="677"/>
      <c r="X202" s="677"/>
      <c r="Y202" s="677"/>
      <c r="Z202" s="677"/>
      <c r="AA202" s="677"/>
      <c r="AB202" s="677"/>
      <c r="AC202" s="136"/>
      <c r="AD202" s="68">
        <v>1000</v>
      </c>
      <c r="AE202" s="137" t="s">
        <v>57</v>
      </c>
      <c r="AF202" s="2"/>
    </row>
    <row r="203" spans="1:32" s="1" customFormat="1" ht="21" customHeight="1" thickBot="1">
      <c r="A203" s="138"/>
      <c r="B203" s="102"/>
      <c r="C203" s="102"/>
      <c r="D203" s="165"/>
      <c r="E203" s="139"/>
      <c r="F203" s="139"/>
      <c r="G203" s="139"/>
      <c r="H203" s="139"/>
      <c r="I203" s="139"/>
      <c r="J203" s="139"/>
      <c r="K203" s="139"/>
      <c r="L203" s="139"/>
      <c r="M203" s="139"/>
      <c r="N203" s="140"/>
      <c r="O203" s="573"/>
      <c r="P203" s="573"/>
      <c r="Q203" s="573"/>
      <c r="R203" s="573"/>
      <c r="S203" s="574"/>
      <c r="T203" s="574"/>
      <c r="U203" s="574"/>
      <c r="V203" s="574"/>
      <c r="W203" s="574"/>
      <c r="X203" s="574"/>
      <c r="Y203" s="574"/>
      <c r="Z203" s="574"/>
      <c r="AA203" s="574"/>
      <c r="AB203" s="574"/>
      <c r="AC203" s="574"/>
      <c r="AD203" s="574"/>
      <c r="AE203" s="575"/>
    </row>
    <row r="205" spans="1:32" ht="21" customHeight="1">
      <c r="E205" s="387"/>
      <c r="F205" s="387"/>
    </row>
    <row r="206" spans="1:32" ht="21" customHeight="1">
      <c r="E206" s="387"/>
      <c r="F206" s="387"/>
    </row>
    <row r="207" spans="1:32" ht="21" customHeight="1">
      <c r="F207" s="387"/>
    </row>
    <row r="208" spans="1:32" ht="21" customHeight="1">
      <c r="E208" s="387"/>
      <c r="F208" s="387"/>
    </row>
    <row r="209" spans="5:6" ht="21" customHeight="1">
      <c r="E209" s="387"/>
      <c r="F209" s="387"/>
    </row>
    <row r="210" spans="5:6" ht="21" customHeight="1">
      <c r="E210" s="387"/>
      <c r="F210" s="387"/>
    </row>
  </sheetData>
  <mergeCells count="15">
    <mergeCell ref="O2:AE3"/>
    <mergeCell ref="V95:W95"/>
    <mergeCell ref="V69:W69"/>
    <mergeCell ref="B5:C5"/>
    <mergeCell ref="A4:C4"/>
    <mergeCell ref="M2:N2"/>
    <mergeCell ref="A2:C2"/>
    <mergeCell ref="D2:D3"/>
    <mergeCell ref="E2:L2"/>
    <mergeCell ref="A1:E1"/>
    <mergeCell ref="B195:C195"/>
    <mergeCell ref="B192:C192"/>
    <mergeCell ref="B182:C182"/>
    <mergeCell ref="B114:C114"/>
    <mergeCell ref="B100:C100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6"/>
  <sheetViews>
    <sheetView topLeftCell="A16" workbookViewId="0">
      <selection activeCell="K24" sqref="K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63" t="s">
        <v>733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34.5" customHeight="1">
      <c r="A2" s="764" t="s">
        <v>268</v>
      </c>
      <c r="B2" s="765"/>
      <c r="C2" s="766"/>
      <c r="D2" s="767" t="s">
        <v>390</v>
      </c>
      <c r="E2" s="766"/>
      <c r="F2" s="768" t="s">
        <v>273</v>
      </c>
      <c r="G2" s="770" t="s">
        <v>272</v>
      </c>
      <c r="H2" s="771"/>
      <c r="I2" s="771"/>
      <c r="J2" s="771"/>
      <c r="K2" s="774" t="s">
        <v>271</v>
      </c>
      <c r="L2" s="297"/>
      <c r="M2" s="297"/>
      <c r="N2" s="297"/>
    </row>
    <row r="3" spans="1:14" ht="35.25" customHeight="1" thickBot="1">
      <c r="A3" s="304" t="s">
        <v>269</v>
      </c>
      <c r="B3" s="305" t="s">
        <v>270</v>
      </c>
      <c r="C3" s="324" t="s">
        <v>180</v>
      </c>
      <c r="D3" s="450" t="s">
        <v>734</v>
      </c>
      <c r="E3" s="450" t="s">
        <v>735</v>
      </c>
      <c r="F3" s="769"/>
      <c r="G3" s="772"/>
      <c r="H3" s="773"/>
      <c r="I3" s="773"/>
      <c r="J3" s="773"/>
      <c r="K3" s="775"/>
      <c r="L3" s="297"/>
      <c r="M3" s="297"/>
      <c r="N3" s="297"/>
    </row>
    <row r="4" spans="1:14" ht="36.75" customHeight="1" thickBot="1">
      <c r="A4" s="760" t="s">
        <v>274</v>
      </c>
      <c r="B4" s="761"/>
      <c r="C4" s="762"/>
      <c r="D4" s="335">
        <f>SUM(D5:D24)</f>
        <v>63900000</v>
      </c>
      <c r="E4" s="336">
        <f>SUM(E5:E24)</f>
        <v>69683000</v>
      </c>
      <c r="F4" s="331">
        <f t="shared" ref="F4:F24" si="0">E4-D4</f>
        <v>5783000</v>
      </c>
      <c r="G4" s="693"/>
      <c r="H4" s="693"/>
      <c r="I4" s="693"/>
      <c r="J4" s="693"/>
      <c r="K4" s="349"/>
      <c r="L4" s="297"/>
      <c r="M4" s="297"/>
      <c r="N4" s="297"/>
    </row>
    <row r="5" spans="1:14" ht="46.5" customHeight="1" thickBot="1">
      <c r="A5" s="312" t="s">
        <v>622</v>
      </c>
      <c r="B5" s="313" t="s">
        <v>622</v>
      </c>
      <c r="C5" s="325" t="s">
        <v>622</v>
      </c>
      <c r="D5" s="337">
        <v>7200000</v>
      </c>
      <c r="E5" s="338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8">
        <f>G5*H5*I5</f>
        <v>75000000</v>
      </c>
      <c r="K5" s="350"/>
    </row>
    <row r="6" spans="1:14" ht="27">
      <c r="A6" s="320" t="s">
        <v>623</v>
      </c>
      <c r="B6" s="357" t="s">
        <v>624</v>
      </c>
      <c r="C6" s="326" t="s">
        <v>625</v>
      </c>
      <c r="D6" s="339">
        <v>0</v>
      </c>
      <c r="E6" s="340">
        <v>0</v>
      </c>
      <c r="F6" s="458">
        <f t="shared" si="0"/>
        <v>0</v>
      </c>
      <c r="G6" s="321"/>
      <c r="H6" s="321"/>
      <c r="I6" s="321"/>
      <c r="J6" s="321"/>
      <c r="K6" s="351" t="s">
        <v>626</v>
      </c>
    </row>
    <row r="7" spans="1:14" ht="24.75" customHeight="1">
      <c r="A7" s="451"/>
      <c r="B7" s="452"/>
      <c r="C7" s="453" t="s">
        <v>627</v>
      </c>
      <c r="D7" s="346">
        <v>0</v>
      </c>
      <c r="E7" s="347">
        <v>0</v>
      </c>
      <c r="F7" s="334">
        <f t="shared" si="0"/>
        <v>0</v>
      </c>
      <c r="G7" s="306"/>
      <c r="H7" s="306"/>
      <c r="I7" s="306"/>
      <c r="J7" s="306"/>
      <c r="K7" s="587" t="s">
        <v>626</v>
      </c>
    </row>
    <row r="8" spans="1:14" ht="33" customHeight="1">
      <c r="A8" s="307"/>
      <c r="B8" s="301" t="s">
        <v>628</v>
      </c>
      <c r="C8" s="327" t="s">
        <v>627</v>
      </c>
      <c r="D8" s="341">
        <v>51420000</v>
      </c>
      <c r="E8" s="342">
        <v>54505000</v>
      </c>
      <c r="F8" s="298">
        <f t="shared" si="0"/>
        <v>3085000</v>
      </c>
      <c r="G8" s="306"/>
      <c r="H8" s="306"/>
      <c r="I8" s="306"/>
      <c r="J8" s="306"/>
      <c r="K8" s="352" t="s">
        <v>736</v>
      </c>
    </row>
    <row r="9" spans="1:14" ht="33" customHeight="1">
      <c r="A9" s="307"/>
      <c r="B9" s="452"/>
      <c r="C9" s="328" t="s">
        <v>629</v>
      </c>
      <c r="D9" s="346">
        <v>0</v>
      </c>
      <c r="E9" s="347">
        <v>1000000</v>
      </c>
      <c r="F9" s="334">
        <f t="shared" si="0"/>
        <v>1000000</v>
      </c>
      <c r="G9" s="306"/>
      <c r="H9" s="306"/>
      <c r="I9" s="306"/>
      <c r="J9" s="306"/>
      <c r="K9" s="587" t="s">
        <v>737</v>
      </c>
    </row>
    <row r="10" spans="1:14" ht="40.5">
      <c r="A10" s="307"/>
      <c r="B10" s="302"/>
      <c r="C10" s="328" t="s">
        <v>630</v>
      </c>
      <c r="D10" s="341">
        <v>1200000</v>
      </c>
      <c r="E10" s="342">
        <v>1200000</v>
      </c>
      <c r="F10" s="298">
        <f t="shared" si="0"/>
        <v>0</v>
      </c>
      <c r="G10" s="306"/>
      <c r="H10" s="306"/>
      <c r="I10" s="306"/>
      <c r="J10" s="306"/>
      <c r="K10" s="352" t="s">
        <v>626</v>
      </c>
    </row>
    <row r="11" spans="1:14" ht="36" customHeight="1">
      <c r="A11" s="307"/>
      <c r="B11" s="303"/>
      <c r="C11" s="328" t="s">
        <v>631</v>
      </c>
      <c r="D11" s="341">
        <v>0</v>
      </c>
      <c r="E11" s="342">
        <v>0</v>
      </c>
      <c r="F11" s="298">
        <f t="shared" si="0"/>
        <v>0</v>
      </c>
      <c r="G11" s="306"/>
      <c r="H11" s="306"/>
      <c r="I11" s="306"/>
      <c r="J11" s="306"/>
      <c r="K11" s="352" t="s">
        <v>626</v>
      </c>
    </row>
    <row r="12" spans="1:14" ht="36" customHeight="1">
      <c r="A12" s="307"/>
      <c r="B12" s="308" t="s">
        <v>632</v>
      </c>
      <c r="C12" s="328" t="s">
        <v>633</v>
      </c>
      <c r="D12" s="341">
        <v>300000</v>
      </c>
      <c r="E12" s="342">
        <v>0</v>
      </c>
      <c r="F12" s="298">
        <f t="shared" si="0"/>
        <v>-300000</v>
      </c>
      <c r="G12" s="306"/>
      <c r="H12" s="306"/>
      <c r="I12" s="306"/>
      <c r="J12" s="306"/>
      <c r="K12" s="454" t="s">
        <v>738</v>
      </c>
    </row>
    <row r="13" spans="1:14" ht="36" customHeight="1">
      <c r="A13" s="307"/>
      <c r="B13" s="306"/>
      <c r="C13" s="328" t="s">
        <v>631</v>
      </c>
      <c r="D13" s="341">
        <v>0</v>
      </c>
      <c r="E13" s="342">
        <v>0</v>
      </c>
      <c r="F13" s="298">
        <f t="shared" si="0"/>
        <v>0</v>
      </c>
      <c r="G13" s="306"/>
      <c r="H13" s="306"/>
      <c r="I13" s="306"/>
      <c r="J13" s="306"/>
      <c r="K13" s="352" t="s">
        <v>626</v>
      </c>
    </row>
    <row r="14" spans="1:14" ht="34.5" customHeight="1">
      <c r="A14" s="307"/>
      <c r="B14" s="461" t="s">
        <v>634</v>
      </c>
      <c r="C14" s="328" t="s">
        <v>635</v>
      </c>
      <c r="D14" s="341">
        <v>240000</v>
      </c>
      <c r="E14" s="342">
        <v>1600000</v>
      </c>
      <c r="F14" s="298">
        <f t="shared" si="0"/>
        <v>1360000</v>
      </c>
      <c r="G14" s="306"/>
      <c r="H14" s="306"/>
      <c r="I14" s="306"/>
      <c r="J14" s="306"/>
      <c r="K14" s="454" t="s">
        <v>739</v>
      </c>
    </row>
    <row r="15" spans="1:14" ht="33" customHeight="1" thickBot="1">
      <c r="A15" s="309"/>
      <c r="B15" s="311"/>
      <c r="C15" s="328"/>
      <c r="D15" s="343">
        <v>0</v>
      </c>
      <c r="E15" s="344">
        <v>0</v>
      </c>
      <c r="F15" s="333">
        <f t="shared" si="0"/>
        <v>0</v>
      </c>
      <c r="G15" s="311"/>
      <c r="H15" s="311"/>
      <c r="I15" s="311"/>
      <c r="J15" s="311"/>
      <c r="K15" s="352" t="s">
        <v>626</v>
      </c>
    </row>
    <row r="16" spans="1:14" ht="36" customHeight="1">
      <c r="A16" s="373" t="s">
        <v>636</v>
      </c>
      <c r="B16" s="374" t="s">
        <v>636</v>
      </c>
      <c r="C16" s="369" t="s">
        <v>637</v>
      </c>
      <c r="D16" s="339">
        <v>1000000</v>
      </c>
      <c r="E16" s="370">
        <v>0</v>
      </c>
      <c r="F16" s="332">
        <f t="shared" si="0"/>
        <v>-1000000</v>
      </c>
      <c r="G16" s="371"/>
      <c r="H16" s="371"/>
      <c r="I16" s="371"/>
      <c r="J16" s="371"/>
      <c r="K16" s="351" t="s">
        <v>740</v>
      </c>
    </row>
    <row r="17" spans="1:11" ht="35.25" customHeight="1" thickBot="1">
      <c r="A17" s="309"/>
      <c r="B17" s="455"/>
      <c r="C17" s="329" t="s">
        <v>638</v>
      </c>
      <c r="D17" s="343">
        <v>800000</v>
      </c>
      <c r="E17" s="456">
        <v>600000</v>
      </c>
      <c r="F17" s="333">
        <f t="shared" si="0"/>
        <v>-200000</v>
      </c>
      <c r="G17" s="457"/>
      <c r="H17" s="457"/>
      <c r="I17" s="457"/>
      <c r="J17" s="457"/>
      <c r="K17" s="588" t="s">
        <v>693</v>
      </c>
    </row>
    <row r="18" spans="1:11" ht="51" customHeight="1" thickBot="1">
      <c r="A18" s="322" t="s">
        <v>639</v>
      </c>
      <c r="B18" s="313" t="s">
        <v>640</v>
      </c>
      <c r="C18" s="325" t="s">
        <v>641</v>
      </c>
      <c r="D18" s="337">
        <v>0</v>
      </c>
      <c r="E18" s="345">
        <v>0</v>
      </c>
      <c r="F18" s="317">
        <f t="shared" si="0"/>
        <v>0</v>
      </c>
      <c r="G18" s="323"/>
      <c r="H18" s="323"/>
      <c r="I18" s="323"/>
      <c r="J18" s="323"/>
      <c r="K18" s="350" t="s">
        <v>642</v>
      </c>
    </row>
    <row r="19" spans="1:11" ht="40.5" customHeight="1">
      <c r="A19" s="318" t="s">
        <v>643</v>
      </c>
      <c r="B19" s="319" t="s">
        <v>644</v>
      </c>
      <c r="C19" s="330" t="s">
        <v>645</v>
      </c>
      <c r="D19" s="346">
        <v>776000</v>
      </c>
      <c r="E19" s="347">
        <v>2500000</v>
      </c>
      <c r="F19" s="334">
        <f t="shared" si="0"/>
        <v>1724000</v>
      </c>
      <c r="G19" s="306"/>
      <c r="H19" s="306"/>
      <c r="I19" s="306"/>
      <c r="J19" s="306"/>
      <c r="K19" s="355" t="s">
        <v>741</v>
      </c>
    </row>
    <row r="20" spans="1:11" ht="40.5" customHeight="1">
      <c r="A20" s="307"/>
      <c r="B20" s="299"/>
      <c r="C20" s="328" t="s">
        <v>646</v>
      </c>
      <c r="D20" s="341">
        <v>0</v>
      </c>
      <c r="E20" s="342">
        <v>0</v>
      </c>
      <c r="F20" s="298">
        <f t="shared" si="0"/>
        <v>0</v>
      </c>
      <c r="G20" s="306"/>
      <c r="H20" s="306"/>
      <c r="I20" s="306"/>
      <c r="J20" s="306"/>
      <c r="K20" s="353" t="s">
        <v>642</v>
      </c>
    </row>
    <row r="21" spans="1:11" ht="40.5" customHeight="1">
      <c r="A21" s="307"/>
      <c r="B21" s="299"/>
      <c r="C21" s="328" t="s">
        <v>647</v>
      </c>
      <c r="D21" s="341">
        <v>0</v>
      </c>
      <c r="E21" s="342">
        <v>0</v>
      </c>
      <c r="F21" s="298">
        <f t="shared" si="0"/>
        <v>0</v>
      </c>
      <c r="G21" s="306"/>
      <c r="H21" s="306"/>
      <c r="I21" s="306"/>
      <c r="J21" s="306"/>
      <c r="K21" s="353" t="s">
        <v>642</v>
      </c>
    </row>
    <row r="22" spans="1:11" ht="40.5" customHeight="1">
      <c r="A22" s="307"/>
      <c r="B22" s="300"/>
      <c r="C22" s="328" t="s">
        <v>648</v>
      </c>
      <c r="D22" s="342">
        <v>49000</v>
      </c>
      <c r="E22" s="342">
        <v>49000</v>
      </c>
      <c r="F22" s="298">
        <f t="shared" si="0"/>
        <v>0</v>
      </c>
      <c r="G22" s="306"/>
      <c r="H22" s="306"/>
      <c r="I22" s="306"/>
      <c r="J22" s="306"/>
      <c r="K22" s="353" t="s">
        <v>642</v>
      </c>
    </row>
    <row r="23" spans="1:11" ht="44.25" customHeight="1" thickBot="1">
      <c r="A23" s="309"/>
      <c r="B23" s="310" t="s">
        <v>649</v>
      </c>
      <c r="C23" s="329" t="s">
        <v>650</v>
      </c>
      <c r="D23" s="344">
        <v>887000</v>
      </c>
      <c r="E23" s="344">
        <v>1000000</v>
      </c>
      <c r="F23" s="333">
        <f t="shared" si="0"/>
        <v>113000</v>
      </c>
      <c r="G23" s="311"/>
      <c r="H23" s="311"/>
      <c r="I23" s="311"/>
      <c r="J23" s="311"/>
      <c r="K23" s="354" t="s">
        <v>741</v>
      </c>
    </row>
    <row r="24" spans="1:11" ht="53.25" customHeight="1" thickBot="1">
      <c r="A24" s="312" t="s">
        <v>651</v>
      </c>
      <c r="B24" s="313" t="s">
        <v>651</v>
      </c>
      <c r="C24" s="325" t="s">
        <v>651</v>
      </c>
      <c r="D24" s="338">
        <v>28000</v>
      </c>
      <c r="E24" s="338">
        <v>29000</v>
      </c>
      <c r="F24" s="317">
        <f t="shared" si="0"/>
        <v>1000</v>
      </c>
      <c r="G24" s="314">
        <v>250000</v>
      </c>
      <c r="H24" s="315">
        <v>25</v>
      </c>
      <c r="I24" s="316">
        <v>12</v>
      </c>
      <c r="J24" s="348">
        <f>G24*H24*I24</f>
        <v>75000000</v>
      </c>
      <c r="K24" s="350" t="s">
        <v>742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K31" sqref="K3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63" t="s">
        <v>743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46.5" customHeight="1">
      <c r="A2" s="764" t="s">
        <v>652</v>
      </c>
      <c r="B2" s="765"/>
      <c r="C2" s="766"/>
      <c r="D2" s="767" t="s">
        <v>653</v>
      </c>
      <c r="E2" s="766"/>
      <c r="F2" s="768" t="s">
        <v>654</v>
      </c>
      <c r="G2" s="770" t="s">
        <v>655</v>
      </c>
      <c r="H2" s="771"/>
      <c r="I2" s="771"/>
      <c r="J2" s="771"/>
      <c r="K2" s="774" t="s">
        <v>656</v>
      </c>
      <c r="L2" s="297"/>
      <c r="M2" s="297"/>
      <c r="N2" s="297"/>
    </row>
    <row r="3" spans="1:14" ht="46.5" customHeight="1" thickBot="1">
      <c r="A3" s="304" t="s">
        <v>657</v>
      </c>
      <c r="B3" s="305" t="s">
        <v>658</v>
      </c>
      <c r="C3" s="324" t="s">
        <v>659</v>
      </c>
      <c r="D3" s="450" t="s">
        <v>734</v>
      </c>
      <c r="E3" s="450" t="s">
        <v>735</v>
      </c>
      <c r="F3" s="769"/>
      <c r="G3" s="772"/>
      <c r="H3" s="773"/>
      <c r="I3" s="773"/>
      <c r="J3" s="773"/>
      <c r="K3" s="775"/>
      <c r="L3" s="297"/>
      <c r="M3" s="297"/>
      <c r="N3" s="297"/>
    </row>
    <row r="4" spans="1:14" ht="46.5" customHeight="1" thickBot="1">
      <c r="A4" s="760" t="s">
        <v>660</v>
      </c>
      <c r="B4" s="761"/>
      <c r="C4" s="762"/>
      <c r="D4" s="336">
        <f>SUM(D5:D30)</f>
        <v>63900000</v>
      </c>
      <c r="E4" s="336">
        <f>SUM(E5:E30)</f>
        <v>69683000</v>
      </c>
      <c r="F4" s="331">
        <f t="shared" ref="F4:F30" si="0">E4-D4</f>
        <v>5783000</v>
      </c>
      <c r="G4" s="693"/>
      <c r="H4" s="693"/>
      <c r="I4" s="693"/>
      <c r="J4" s="693"/>
      <c r="K4" s="349"/>
      <c r="L4" s="297"/>
      <c r="M4" s="297"/>
      <c r="N4" s="297"/>
    </row>
    <row r="5" spans="1:14" ht="50.1" customHeight="1">
      <c r="A5" s="356" t="s">
        <v>661</v>
      </c>
      <c r="B5" s="357" t="s">
        <v>662</v>
      </c>
      <c r="C5" s="326" t="s">
        <v>663</v>
      </c>
      <c r="D5" s="340">
        <v>23067000</v>
      </c>
      <c r="E5" s="340">
        <v>23256000</v>
      </c>
      <c r="F5" s="332">
        <f t="shared" si="0"/>
        <v>189000</v>
      </c>
      <c r="G5" s="321"/>
      <c r="H5" s="321"/>
      <c r="I5" s="321"/>
      <c r="J5" s="321"/>
      <c r="K5" s="351" t="s">
        <v>744</v>
      </c>
    </row>
    <row r="6" spans="1:14" ht="34.5" customHeight="1">
      <c r="A6" s="459"/>
      <c r="B6" s="319"/>
      <c r="C6" s="453" t="s">
        <v>664</v>
      </c>
      <c r="D6" s="347">
        <v>240000</v>
      </c>
      <c r="E6" s="347">
        <v>1600000</v>
      </c>
      <c r="F6" s="298">
        <f t="shared" si="0"/>
        <v>1360000</v>
      </c>
      <c r="G6" s="306"/>
      <c r="H6" s="306"/>
      <c r="I6" s="306"/>
      <c r="J6" s="306"/>
      <c r="K6" s="352" t="s">
        <v>745</v>
      </c>
    </row>
    <row r="7" spans="1:14" ht="50.1" customHeight="1">
      <c r="A7" s="307"/>
      <c r="B7" s="319"/>
      <c r="C7" s="327" t="s">
        <v>665</v>
      </c>
      <c r="D7" s="342">
        <v>8081000</v>
      </c>
      <c r="E7" s="342">
        <v>7964000</v>
      </c>
      <c r="F7" s="298">
        <f t="shared" si="0"/>
        <v>-117000</v>
      </c>
      <c r="G7" s="306"/>
      <c r="H7" s="306"/>
      <c r="I7" s="306"/>
      <c r="J7" s="306"/>
      <c r="K7" s="352" t="s">
        <v>746</v>
      </c>
    </row>
    <row r="8" spans="1:14" ht="50.1" customHeight="1">
      <c r="A8" s="307"/>
      <c r="B8" s="299"/>
      <c r="C8" s="328" t="s">
        <v>666</v>
      </c>
      <c r="D8" s="342">
        <v>2589000</v>
      </c>
      <c r="E8" s="342">
        <v>2607000</v>
      </c>
      <c r="F8" s="298">
        <f t="shared" si="0"/>
        <v>18000</v>
      </c>
      <c r="G8" s="306"/>
      <c r="H8" s="306"/>
      <c r="I8" s="306"/>
      <c r="J8" s="306"/>
      <c r="K8" s="352" t="s">
        <v>747</v>
      </c>
    </row>
    <row r="9" spans="1:14" ht="50.1" customHeight="1">
      <c r="A9" s="307"/>
      <c r="B9" s="299"/>
      <c r="C9" s="328" t="s">
        <v>667</v>
      </c>
      <c r="D9" s="342">
        <v>2789000</v>
      </c>
      <c r="E9" s="342">
        <v>3209000</v>
      </c>
      <c r="F9" s="298">
        <f t="shared" si="0"/>
        <v>420000</v>
      </c>
      <c r="G9" s="306"/>
      <c r="H9" s="306"/>
      <c r="I9" s="306"/>
      <c r="J9" s="306"/>
      <c r="K9" s="352" t="s">
        <v>748</v>
      </c>
    </row>
    <row r="10" spans="1:14" ht="49.5" customHeight="1">
      <c r="A10" s="307"/>
      <c r="B10" s="308"/>
      <c r="C10" s="328" t="s">
        <v>668</v>
      </c>
      <c r="D10" s="342">
        <v>358000</v>
      </c>
      <c r="E10" s="342">
        <v>70000</v>
      </c>
      <c r="F10" s="298">
        <f t="shared" si="0"/>
        <v>-288000</v>
      </c>
      <c r="G10" s="306"/>
      <c r="H10" s="306"/>
      <c r="I10" s="306"/>
      <c r="J10" s="306"/>
      <c r="K10" s="352" t="s">
        <v>749</v>
      </c>
    </row>
    <row r="11" spans="1:14" ht="38.25" customHeight="1">
      <c r="A11" s="307"/>
      <c r="B11" s="461" t="s">
        <v>669</v>
      </c>
      <c r="C11" s="328" t="s">
        <v>670</v>
      </c>
      <c r="D11" s="342">
        <v>0</v>
      </c>
      <c r="E11" s="342">
        <v>50000</v>
      </c>
      <c r="F11" s="298">
        <f t="shared" si="0"/>
        <v>50000</v>
      </c>
      <c r="G11" s="306"/>
      <c r="H11" s="306"/>
      <c r="I11" s="306"/>
      <c r="J11" s="306"/>
      <c r="K11" s="352" t="s">
        <v>750</v>
      </c>
    </row>
    <row r="12" spans="1:14" ht="38.25" customHeight="1">
      <c r="A12" s="307"/>
      <c r="B12" s="319"/>
      <c r="C12" s="358" t="s">
        <v>671</v>
      </c>
      <c r="D12" s="342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352" t="s">
        <v>642</v>
      </c>
    </row>
    <row r="13" spans="1:14" ht="34.5" customHeight="1">
      <c r="A13" s="307"/>
      <c r="B13" s="460"/>
      <c r="C13" s="358" t="s">
        <v>672</v>
      </c>
      <c r="D13" s="359">
        <v>50000</v>
      </c>
      <c r="E13" s="359">
        <v>100000</v>
      </c>
      <c r="F13" s="360">
        <f t="shared" si="0"/>
        <v>50000</v>
      </c>
      <c r="G13" s="306"/>
      <c r="H13" s="306"/>
      <c r="I13" s="306"/>
      <c r="J13" s="306"/>
      <c r="K13" s="361" t="s">
        <v>751</v>
      </c>
    </row>
    <row r="14" spans="1:14" ht="38.25" customHeight="1">
      <c r="A14" s="307"/>
      <c r="B14" s="461" t="s">
        <v>673</v>
      </c>
      <c r="C14" s="358" t="s">
        <v>674</v>
      </c>
      <c r="D14" s="359">
        <v>10000</v>
      </c>
      <c r="E14" s="359">
        <v>100000</v>
      </c>
      <c r="F14" s="360">
        <f t="shared" si="0"/>
        <v>90000</v>
      </c>
      <c r="G14" s="306"/>
      <c r="H14" s="306"/>
      <c r="I14" s="306"/>
      <c r="J14" s="306"/>
      <c r="K14" s="361" t="s">
        <v>752</v>
      </c>
    </row>
    <row r="15" spans="1:14" ht="36" customHeight="1">
      <c r="A15" s="307"/>
      <c r="B15" s="308"/>
      <c r="C15" s="358" t="s">
        <v>675</v>
      </c>
      <c r="D15" s="359">
        <v>2661000</v>
      </c>
      <c r="E15" s="359">
        <v>2300000</v>
      </c>
      <c r="F15" s="360">
        <f t="shared" si="0"/>
        <v>-361000</v>
      </c>
      <c r="G15" s="306"/>
      <c r="H15" s="306"/>
      <c r="I15" s="306"/>
      <c r="J15" s="306"/>
      <c r="K15" s="361" t="s">
        <v>755</v>
      </c>
    </row>
    <row r="16" spans="1:14" ht="37.5" customHeight="1">
      <c r="A16" s="307"/>
      <c r="B16" s="308"/>
      <c r="C16" s="358" t="s">
        <v>676</v>
      </c>
      <c r="D16" s="359">
        <v>4539000</v>
      </c>
      <c r="E16" s="359">
        <v>5170000</v>
      </c>
      <c r="F16" s="360">
        <f t="shared" si="0"/>
        <v>631000</v>
      </c>
      <c r="G16" s="306"/>
      <c r="H16" s="306"/>
      <c r="I16" s="306"/>
      <c r="J16" s="306"/>
      <c r="K16" s="361" t="s">
        <v>753</v>
      </c>
    </row>
    <row r="17" spans="1:11" ht="36.75" customHeight="1">
      <c r="A17" s="307"/>
      <c r="B17" s="308"/>
      <c r="C17" s="358" t="s">
        <v>677</v>
      </c>
      <c r="D17" s="359">
        <v>800000</v>
      </c>
      <c r="E17" s="359">
        <v>697000</v>
      </c>
      <c r="F17" s="360">
        <f t="shared" si="0"/>
        <v>-103000</v>
      </c>
      <c r="G17" s="306"/>
      <c r="H17" s="306"/>
      <c r="I17" s="306"/>
      <c r="J17" s="306"/>
      <c r="K17" s="361" t="s">
        <v>754</v>
      </c>
    </row>
    <row r="18" spans="1:11" ht="36.75" customHeight="1">
      <c r="A18" s="307"/>
      <c r="B18" s="308"/>
      <c r="C18" s="358" t="s">
        <v>678</v>
      </c>
      <c r="D18" s="359">
        <v>300000</v>
      </c>
      <c r="E18" s="359">
        <v>600000</v>
      </c>
      <c r="F18" s="360">
        <f t="shared" si="0"/>
        <v>300000</v>
      </c>
      <c r="G18" s="306"/>
      <c r="H18" s="306"/>
      <c r="I18" s="306"/>
      <c r="J18" s="306"/>
      <c r="K18" s="361" t="s">
        <v>694</v>
      </c>
    </row>
    <row r="19" spans="1:11" ht="38.25" customHeight="1" thickBot="1">
      <c r="A19" s="309"/>
      <c r="B19" s="311"/>
      <c r="C19" s="329" t="s">
        <v>679</v>
      </c>
      <c r="D19" s="344">
        <v>50000</v>
      </c>
      <c r="E19" s="344">
        <v>150000</v>
      </c>
      <c r="F19" s="333">
        <f t="shared" si="0"/>
        <v>100000</v>
      </c>
      <c r="G19" s="311"/>
      <c r="H19" s="311"/>
      <c r="I19" s="311"/>
      <c r="J19" s="311"/>
      <c r="K19" s="362" t="s">
        <v>756</v>
      </c>
    </row>
    <row r="20" spans="1:11" ht="48" customHeight="1">
      <c r="A20" s="356" t="s">
        <v>680</v>
      </c>
      <c r="B20" s="357" t="s">
        <v>681</v>
      </c>
      <c r="C20" s="694" t="s">
        <v>681</v>
      </c>
      <c r="D20" s="695">
        <v>0</v>
      </c>
      <c r="E20" s="695">
        <v>0</v>
      </c>
      <c r="F20" s="696">
        <f t="shared" si="0"/>
        <v>0</v>
      </c>
      <c r="G20" s="321"/>
      <c r="H20" s="321"/>
      <c r="I20" s="321"/>
      <c r="J20" s="321"/>
      <c r="K20" s="697" t="s">
        <v>642</v>
      </c>
    </row>
    <row r="21" spans="1:11" ht="48" customHeight="1">
      <c r="A21" s="459"/>
      <c r="B21" s="319"/>
      <c r="C21" s="328" t="s">
        <v>682</v>
      </c>
      <c r="D21" s="698">
        <v>1600000</v>
      </c>
      <c r="E21" s="698">
        <v>0</v>
      </c>
      <c r="F21" s="298">
        <f t="shared" si="0"/>
        <v>-1600000</v>
      </c>
      <c r="G21" s="699"/>
      <c r="H21" s="699"/>
      <c r="I21" s="699"/>
      <c r="J21" s="699"/>
      <c r="K21" s="352" t="s">
        <v>757</v>
      </c>
    </row>
    <row r="22" spans="1:11" ht="45" customHeight="1" thickBot="1">
      <c r="A22" s="363"/>
      <c r="B22" s="364"/>
      <c r="C22" s="365" t="s">
        <v>683</v>
      </c>
      <c r="D22" s="366">
        <v>0</v>
      </c>
      <c r="E22" s="366">
        <v>1500000</v>
      </c>
      <c r="F22" s="367">
        <f t="shared" si="0"/>
        <v>1500000</v>
      </c>
      <c r="G22" s="311"/>
      <c r="H22" s="311"/>
      <c r="I22" s="311"/>
      <c r="J22" s="311"/>
      <c r="K22" s="368" t="s">
        <v>758</v>
      </c>
    </row>
    <row r="23" spans="1:11" ht="46.5" customHeight="1">
      <c r="A23" s="373" t="s">
        <v>684</v>
      </c>
      <c r="B23" s="374" t="s">
        <v>673</v>
      </c>
      <c r="C23" s="369" t="s">
        <v>685</v>
      </c>
      <c r="D23" s="340">
        <v>10688000</v>
      </c>
      <c r="E23" s="340">
        <v>12018000</v>
      </c>
      <c r="F23" s="332">
        <f t="shared" si="0"/>
        <v>1330000</v>
      </c>
      <c r="G23" s="321"/>
      <c r="H23" s="321"/>
      <c r="I23" s="321"/>
      <c r="J23" s="321"/>
      <c r="K23" s="351" t="s">
        <v>759</v>
      </c>
    </row>
    <row r="24" spans="1:11" ht="31.5" customHeight="1">
      <c r="A24" s="307"/>
      <c r="B24" s="299"/>
      <c r="C24" s="328" t="s">
        <v>686</v>
      </c>
      <c r="D24" s="342">
        <v>970000</v>
      </c>
      <c r="E24" s="342">
        <v>1382000</v>
      </c>
      <c r="F24" s="298">
        <f t="shared" si="0"/>
        <v>412000</v>
      </c>
      <c r="G24" s="306"/>
      <c r="H24" s="306"/>
      <c r="I24" s="306"/>
      <c r="J24" s="306"/>
      <c r="K24" s="352" t="s">
        <v>760</v>
      </c>
    </row>
    <row r="25" spans="1:11" ht="35.25" customHeight="1">
      <c r="A25" s="307"/>
      <c r="B25" s="299"/>
      <c r="C25" s="328" t="s">
        <v>687</v>
      </c>
      <c r="D25" s="342">
        <v>1200000</v>
      </c>
      <c r="E25" s="342">
        <v>1200000</v>
      </c>
      <c r="F25" s="298">
        <f t="shared" si="0"/>
        <v>0</v>
      </c>
      <c r="G25" s="306"/>
      <c r="H25" s="306"/>
      <c r="I25" s="306"/>
      <c r="J25" s="306"/>
      <c r="K25" s="353" t="s">
        <v>626</v>
      </c>
    </row>
    <row r="26" spans="1:11" ht="38.25" customHeight="1">
      <c r="A26" s="307"/>
      <c r="B26" s="299"/>
      <c r="C26" s="328" t="s">
        <v>688</v>
      </c>
      <c r="D26" s="342">
        <v>360000</v>
      </c>
      <c r="E26" s="342">
        <v>360000</v>
      </c>
      <c r="F26" s="298">
        <f t="shared" si="0"/>
        <v>0</v>
      </c>
      <c r="G26" s="306"/>
      <c r="H26" s="306"/>
      <c r="I26" s="306"/>
      <c r="J26" s="306"/>
      <c r="K26" s="352" t="s">
        <v>642</v>
      </c>
    </row>
    <row r="27" spans="1:11" ht="32.25" customHeight="1">
      <c r="A27" s="307"/>
      <c r="B27" s="299"/>
      <c r="C27" s="328" t="s">
        <v>689</v>
      </c>
      <c r="D27" s="342">
        <v>99000</v>
      </c>
      <c r="E27" s="342">
        <v>120000</v>
      </c>
      <c r="F27" s="298">
        <f t="shared" si="0"/>
        <v>21000</v>
      </c>
      <c r="G27" s="306"/>
      <c r="H27" s="306"/>
      <c r="I27" s="306"/>
      <c r="J27" s="306"/>
      <c r="K27" s="353" t="s">
        <v>761</v>
      </c>
    </row>
    <row r="28" spans="1:11" ht="39.75" customHeight="1" thickBot="1">
      <c r="A28" s="309"/>
      <c r="B28" s="310" t="s">
        <v>690</v>
      </c>
      <c r="C28" s="376" t="s">
        <v>690</v>
      </c>
      <c r="D28" s="344">
        <v>3421000</v>
      </c>
      <c r="E28" s="344">
        <v>5201000</v>
      </c>
      <c r="F28" s="333">
        <f t="shared" si="0"/>
        <v>1780000</v>
      </c>
      <c r="G28" s="311"/>
      <c r="H28" s="311"/>
      <c r="I28" s="311"/>
      <c r="J28" s="311"/>
      <c r="K28" s="362" t="s">
        <v>762</v>
      </c>
    </row>
    <row r="29" spans="1:11" ht="39" customHeight="1" thickBot="1">
      <c r="A29" s="312" t="s">
        <v>691</v>
      </c>
      <c r="B29" s="313" t="s">
        <v>691</v>
      </c>
      <c r="C29" s="325" t="s">
        <v>691</v>
      </c>
      <c r="D29" s="338">
        <v>11000</v>
      </c>
      <c r="E29" s="338">
        <v>11000</v>
      </c>
      <c r="F29" s="317">
        <f t="shared" si="0"/>
        <v>0</v>
      </c>
      <c r="G29" s="323"/>
      <c r="H29" s="323"/>
      <c r="I29" s="323"/>
      <c r="J29" s="323"/>
      <c r="K29" s="375" t="s">
        <v>626</v>
      </c>
    </row>
    <row r="30" spans="1:11" ht="34.5" customHeight="1" thickBot="1">
      <c r="A30" s="312" t="s">
        <v>692</v>
      </c>
      <c r="B30" s="313" t="s">
        <v>692</v>
      </c>
      <c r="C30" s="325" t="s">
        <v>692</v>
      </c>
      <c r="D30" s="338">
        <v>17000</v>
      </c>
      <c r="E30" s="338">
        <v>18000</v>
      </c>
      <c r="F30" s="317">
        <f t="shared" si="0"/>
        <v>1000</v>
      </c>
      <c r="G30" s="323"/>
      <c r="H30" s="323"/>
      <c r="I30" s="323"/>
      <c r="J30" s="323"/>
      <c r="K30" s="375" t="s">
        <v>626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U60"/>
  <sheetViews>
    <sheetView zoomScale="80" zoomScaleNormal="80" workbookViewId="0">
      <selection activeCell="A12" sqref="A12:XFD12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78" t="s">
        <v>458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</row>
    <row r="2" spans="2:21" s="463" customFormat="1" ht="33.75" customHeight="1">
      <c r="B2" s="779" t="s">
        <v>344</v>
      </c>
      <c r="C2" s="779"/>
      <c r="D2" s="779" t="s">
        <v>336</v>
      </c>
      <c r="E2" s="779"/>
      <c r="F2" s="779"/>
      <c r="G2" s="779"/>
      <c r="H2" s="779" t="s">
        <v>337</v>
      </c>
      <c r="I2" s="779"/>
      <c r="J2" s="779"/>
      <c r="K2" s="779" t="s">
        <v>338</v>
      </c>
      <c r="L2" s="780" t="s">
        <v>334</v>
      </c>
      <c r="M2" s="781"/>
      <c r="N2" s="781"/>
      <c r="O2" s="781"/>
      <c r="P2" s="781"/>
      <c r="Q2" s="781"/>
      <c r="R2" s="781"/>
      <c r="S2" s="781"/>
      <c r="T2" s="782"/>
      <c r="U2" s="779" t="s">
        <v>339</v>
      </c>
    </row>
    <row r="3" spans="2:21" s="463" customFormat="1" ht="34.5" customHeight="1">
      <c r="B3" s="779"/>
      <c r="C3" s="779"/>
      <c r="D3" s="508" t="s">
        <v>340</v>
      </c>
      <c r="E3" s="508" t="s">
        <v>341</v>
      </c>
      <c r="F3" s="508" t="s">
        <v>342</v>
      </c>
      <c r="G3" s="508" t="s">
        <v>343</v>
      </c>
      <c r="H3" s="509" t="s">
        <v>348</v>
      </c>
      <c r="I3" s="508" t="s">
        <v>342</v>
      </c>
      <c r="J3" s="508" t="s">
        <v>343</v>
      </c>
      <c r="K3" s="779"/>
      <c r="L3" s="780"/>
      <c r="M3" s="781"/>
      <c r="N3" s="781"/>
      <c r="O3" s="781"/>
      <c r="P3" s="781"/>
      <c r="Q3" s="781"/>
      <c r="R3" s="781"/>
      <c r="S3" s="781"/>
      <c r="T3" s="782"/>
      <c r="U3" s="779"/>
    </row>
    <row r="4" spans="2:21" s="463" customFormat="1" ht="34.5" customHeight="1">
      <c r="B4" s="776" t="s">
        <v>345</v>
      </c>
      <c r="C4" s="777"/>
      <c r="D4" s="510">
        <f>SUM(D5:D45)</f>
        <v>1791498000</v>
      </c>
      <c r="E4" s="510">
        <f>SUM(E5:E45)</f>
        <v>1094650000</v>
      </c>
      <c r="F4" s="510">
        <f t="shared" ref="F4:G4" si="0">SUM(F5:F45)</f>
        <v>106887000</v>
      </c>
      <c r="G4" s="510">
        <f t="shared" si="0"/>
        <v>589961000</v>
      </c>
      <c r="H4" s="511"/>
      <c r="I4" s="512"/>
      <c r="J4" s="512"/>
      <c r="K4" s="510">
        <f t="shared" ref="K4" si="1">SUM(K5:K45)</f>
        <v>1791498000</v>
      </c>
      <c r="L4" s="513"/>
      <c r="M4" s="514"/>
      <c r="N4" s="514"/>
      <c r="O4" s="514"/>
      <c r="P4" s="514"/>
      <c r="Q4" s="514"/>
      <c r="R4" s="514"/>
      <c r="S4" s="514"/>
      <c r="T4" s="515"/>
      <c r="U4" s="512">
        <f>IF(D4=K4,,"×")</f>
        <v>0</v>
      </c>
    </row>
    <row r="5" spans="2:21" s="463" customFormat="1" ht="24" customHeight="1">
      <c r="B5" s="464" t="s">
        <v>59</v>
      </c>
      <c r="C5" s="464" t="s">
        <v>59</v>
      </c>
      <c r="D5" s="465">
        <f>SUM(E5:G5)</f>
        <v>68550000</v>
      </c>
      <c r="E5" s="466">
        <f>ROUND(K5*H5,-3)</f>
        <v>61695000</v>
      </c>
      <c r="F5" s="466">
        <f>ROUNDDOWN(K5*I5,-3)</f>
        <v>4798000</v>
      </c>
      <c r="G5" s="466">
        <f>ROUND(K5*J5,-3)</f>
        <v>2057000</v>
      </c>
      <c r="H5" s="467">
        <v>0.9</v>
      </c>
      <c r="I5" s="467">
        <v>7.0000000000000007E-2</v>
      </c>
      <c r="J5" s="467">
        <v>0.03</v>
      </c>
      <c r="K5" s="468">
        <f>ROUND(M5*P5*S5,-3)</f>
        <v>68550000</v>
      </c>
      <c r="L5" s="470" t="s">
        <v>53</v>
      </c>
      <c r="M5" s="471">
        <v>248371</v>
      </c>
      <c r="N5" s="471" t="s">
        <v>57</v>
      </c>
      <c r="O5" s="472" t="s">
        <v>58</v>
      </c>
      <c r="P5" s="471">
        <v>12</v>
      </c>
      <c r="Q5" s="471" t="s">
        <v>0</v>
      </c>
      <c r="R5" s="472" t="s">
        <v>58</v>
      </c>
      <c r="S5" s="473">
        <v>23</v>
      </c>
      <c r="T5" s="474" t="s">
        <v>56</v>
      </c>
      <c r="U5" s="507">
        <f>IF(D5=K5,,"×")</f>
        <v>0</v>
      </c>
    </row>
    <row r="6" spans="2:21" s="463" customFormat="1" ht="24" customHeight="1">
      <c r="B6" s="464"/>
      <c r="C6" s="464" t="s">
        <v>304</v>
      </c>
      <c r="D6" s="465">
        <f t="shared" ref="D6:D45" si="2">SUM(E6:G6)</f>
        <v>800000</v>
      </c>
      <c r="E6" s="466">
        <f>ROUNDDOWN(K6*H6,-3)</f>
        <v>720000</v>
      </c>
      <c r="F6" s="466">
        <f t="shared" ref="F6:F45" si="3">ROUND(K6*I6,-3)</f>
        <v>56000</v>
      </c>
      <c r="G6" s="466">
        <f t="shared" ref="G6:G45" si="4">ROUND(K6*J6,-3)</f>
        <v>24000</v>
      </c>
      <c r="H6" s="467">
        <v>0.9</v>
      </c>
      <c r="I6" s="467">
        <v>7.0000000000000007E-2</v>
      </c>
      <c r="J6" s="467">
        <v>0.03</v>
      </c>
      <c r="K6" s="468">
        <f>ROUND(M6*P6*S6,-3)</f>
        <v>800000</v>
      </c>
      <c r="L6" s="475" t="s">
        <v>53</v>
      </c>
      <c r="M6" s="476">
        <v>34772</v>
      </c>
      <c r="N6" s="476" t="s">
        <v>57</v>
      </c>
      <c r="O6" s="477" t="s">
        <v>58</v>
      </c>
      <c r="P6" s="476">
        <v>1</v>
      </c>
      <c r="Q6" s="476" t="s">
        <v>72</v>
      </c>
      <c r="R6" s="477" t="s">
        <v>58</v>
      </c>
      <c r="S6" s="476">
        <v>23</v>
      </c>
      <c r="T6" s="478" t="s">
        <v>56</v>
      </c>
      <c r="U6" s="507">
        <f t="shared" ref="U6:U45" si="5">IF(D6=K6,,"×")</f>
        <v>0</v>
      </c>
    </row>
    <row r="7" spans="2:21" s="463" customFormat="1" ht="24" customHeight="1">
      <c r="B7" s="464"/>
      <c r="C7" s="464" t="s">
        <v>305</v>
      </c>
      <c r="D7" s="465">
        <f t="shared" si="2"/>
        <v>1610000</v>
      </c>
      <c r="E7" s="466">
        <f>ROUND(K7*H7,-3)</f>
        <v>1449000</v>
      </c>
      <c r="F7" s="466">
        <f t="shared" si="3"/>
        <v>113000</v>
      </c>
      <c r="G7" s="466">
        <f t="shared" si="4"/>
        <v>48000</v>
      </c>
      <c r="H7" s="467">
        <v>0.9</v>
      </c>
      <c r="I7" s="467">
        <v>7.0000000000000007E-2</v>
      </c>
      <c r="J7" s="467">
        <v>0.03</v>
      </c>
      <c r="K7" s="468">
        <f>ROUND(M7*P7*S7,-3)</f>
        <v>1610000</v>
      </c>
      <c r="L7" s="470" t="s">
        <v>53</v>
      </c>
      <c r="M7" s="471">
        <v>35000</v>
      </c>
      <c r="N7" s="471" t="s">
        <v>57</v>
      </c>
      <c r="O7" s="472" t="s">
        <v>58</v>
      </c>
      <c r="P7" s="471">
        <v>2</v>
      </c>
      <c r="Q7" s="471" t="s">
        <v>72</v>
      </c>
      <c r="R7" s="472" t="s">
        <v>58</v>
      </c>
      <c r="S7" s="473">
        <v>23</v>
      </c>
      <c r="T7" s="474" t="s">
        <v>56</v>
      </c>
      <c r="U7" s="507">
        <f t="shared" si="5"/>
        <v>0</v>
      </c>
    </row>
    <row r="8" spans="2:21" s="463" customFormat="1" ht="24" customHeight="1">
      <c r="B8" s="464" t="s">
        <v>319</v>
      </c>
      <c r="C8" s="464" t="s">
        <v>306</v>
      </c>
      <c r="D8" s="465">
        <f t="shared" si="2"/>
        <v>0</v>
      </c>
      <c r="E8" s="466">
        <f t="shared" ref="E8:E45" si="6">ROUND(K8*H8,-3)</f>
        <v>0</v>
      </c>
      <c r="F8" s="466">
        <f t="shared" si="3"/>
        <v>0</v>
      </c>
      <c r="G8" s="466">
        <f t="shared" si="4"/>
        <v>0</v>
      </c>
      <c r="H8" s="467">
        <v>0.5</v>
      </c>
      <c r="I8" s="467">
        <v>0.5</v>
      </c>
      <c r="J8" s="467">
        <v>0</v>
      </c>
      <c r="K8" s="468">
        <v>0</v>
      </c>
      <c r="L8" s="479"/>
      <c r="M8" s="473" t="s">
        <v>376</v>
      </c>
      <c r="N8" s="473"/>
      <c r="O8" s="480"/>
      <c r="P8" s="481"/>
      <c r="Q8" s="482"/>
      <c r="R8" s="483"/>
      <c r="S8" s="484"/>
      <c r="T8" s="485"/>
      <c r="U8" s="507">
        <f t="shared" si="5"/>
        <v>0</v>
      </c>
    </row>
    <row r="9" spans="2:21" s="463" customFormat="1" ht="24" customHeight="1">
      <c r="B9" s="464" t="s">
        <v>147</v>
      </c>
      <c r="C9" s="464" t="s">
        <v>307</v>
      </c>
      <c r="D9" s="465">
        <f t="shared" si="2"/>
        <v>893027000</v>
      </c>
      <c r="E9" s="466">
        <f t="shared" si="6"/>
        <v>625119000</v>
      </c>
      <c r="F9" s="466">
        <f t="shared" si="3"/>
        <v>40186000</v>
      </c>
      <c r="G9" s="466">
        <f t="shared" si="4"/>
        <v>227722000</v>
      </c>
      <c r="H9" s="467">
        <v>0.7</v>
      </c>
      <c r="I9" s="469">
        <v>4.4999999999999998E-2</v>
      </c>
      <c r="J9" s="469">
        <v>0.255</v>
      </c>
      <c r="K9" s="468">
        <v>893027000</v>
      </c>
      <c r="L9" s="486"/>
      <c r="M9" s="487" t="s">
        <v>335</v>
      </c>
      <c r="N9" s="487"/>
      <c r="O9" s="487"/>
      <c r="P9" s="487"/>
      <c r="Q9" s="487"/>
      <c r="R9" s="487"/>
      <c r="S9" s="487"/>
      <c r="T9" s="488"/>
      <c r="U9" s="507">
        <f t="shared" si="5"/>
        <v>0</v>
      </c>
    </row>
    <row r="10" spans="2:21" s="463" customFormat="1" ht="24" customHeight="1">
      <c r="B10" s="464"/>
      <c r="C10" s="464" t="s">
        <v>308</v>
      </c>
      <c r="D10" s="465">
        <f t="shared" si="2"/>
        <v>88651000</v>
      </c>
      <c r="E10" s="466">
        <f>ROUNDUP(K10*H10,-3)</f>
        <v>62056000</v>
      </c>
      <c r="F10" s="466">
        <f t="shared" si="3"/>
        <v>3989000</v>
      </c>
      <c r="G10" s="466">
        <f t="shared" si="4"/>
        <v>22606000</v>
      </c>
      <c r="H10" s="467">
        <v>0.7</v>
      </c>
      <c r="I10" s="469">
        <v>4.4999999999999998E-2</v>
      </c>
      <c r="J10" s="469">
        <v>0.255</v>
      </c>
      <c r="K10" s="468">
        <v>88651000</v>
      </c>
      <c r="L10" s="486"/>
      <c r="M10" s="487" t="s">
        <v>335</v>
      </c>
      <c r="N10" s="487"/>
      <c r="O10" s="487"/>
      <c r="P10" s="487"/>
      <c r="Q10" s="487"/>
      <c r="R10" s="487"/>
      <c r="S10" s="487"/>
      <c r="T10" s="488"/>
      <c r="U10" s="507">
        <f t="shared" si="5"/>
        <v>0</v>
      </c>
    </row>
    <row r="11" spans="2:21" s="463" customFormat="1" ht="24" customHeight="1">
      <c r="B11" s="464"/>
      <c r="C11" s="464" t="s">
        <v>309</v>
      </c>
      <c r="D11" s="465">
        <f t="shared" si="2"/>
        <v>6240000</v>
      </c>
      <c r="E11" s="466">
        <f t="shared" si="6"/>
        <v>4368000</v>
      </c>
      <c r="F11" s="466">
        <f t="shared" si="3"/>
        <v>281000</v>
      </c>
      <c r="G11" s="466">
        <f t="shared" si="4"/>
        <v>1591000</v>
      </c>
      <c r="H11" s="467">
        <v>0.7</v>
      </c>
      <c r="I11" s="469">
        <v>4.4999999999999998E-2</v>
      </c>
      <c r="J11" s="469">
        <v>0.255</v>
      </c>
      <c r="K11" s="468">
        <v>6240000</v>
      </c>
      <c r="L11" s="486"/>
      <c r="M11" s="487" t="s">
        <v>335</v>
      </c>
      <c r="N11" s="487"/>
      <c r="O11" s="487"/>
      <c r="P11" s="487"/>
      <c r="Q11" s="487"/>
      <c r="R11" s="487"/>
      <c r="S11" s="487"/>
      <c r="T11" s="488"/>
      <c r="U11" s="507">
        <f t="shared" si="5"/>
        <v>0</v>
      </c>
    </row>
    <row r="12" spans="2:21" s="463" customFormat="1" ht="24" customHeight="1">
      <c r="B12" s="464"/>
      <c r="C12" s="464" t="s">
        <v>310</v>
      </c>
      <c r="D12" s="465">
        <f t="shared" si="2"/>
        <v>198089000</v>
      </c>
      <c r="E12" s="466">
        <f t="shared" si="6"/>
        <v>138662000</v>
      </c>
      <c r="F12" s="466">
        <f t="shared" si="3"/>
        <v>8914000</v>
      </c>
      <c r="G12" s="466">
        <f t="shared" si="4"/>
        <v>50513000</v>
      </c>
      <c r="H12" s="467">
        <v>0.7</v>
      </c>
      <c r="I12" s="469">
        <v>4.4999999999999998E-2</v>
      </c>
      <c r="J12" s="469">
        <v>0.255</v>
      </c>
      <c r="K12" s="468">
        <v>198089000</v>
      </c>
      <c r="L12" s="486"/>
      <c r="M12" s="487" t="s">
        <v>335</v>
      </c>
      <c r="N12" s="487"/>
      <c r="O12" s="487"/>
      <c r="P12" s="487"/>
      <c r="Q12" s="487"/>
      <c r="R12" s="487"/>
      <c r="S12" s="487"/>
      <c r="T12" s="488"/>
      <c r="U12" s="507">
        <f t="shared" si="5"/>
        <v>0</v>
      </c>
    </row>
    <row r="13" spans="2:21" s="463" customFormat="1" ht="24" customHeight="1">
      <c r="B13" s="464"/>
      <c r="C13" s="464" t="s">
        <v>311</v>
      </c>
      <c r="D13" s="465">
        <f t="shared" si="2"/>
        <v>98834000</v>
      </c>
      <c r="E13" s="466">
        <f>ROUNDDOWN(K13*H13,-3)</f>
        <v>69183000</v>
      </c>
      <c r="F13" s="466">
        <f t="shared" si="3"/>
        <v>4448000</v>
      </c>
      <c r="G13" s="466">
        <f t="shared" si="4"/>
        <v>25203000</v>
      </c>
      <c r="H13" s="467">
        <v>0.7</v>
      </c>
      <c r="I13" s="469">
        <v>4.4999999999999998E-2</v>
      </c>
      <c r="J13" s="469">
        <v>0.255</v>
      </c>
      <c r="K13" s="468">
        <f>ROUND(M13/P13,-3)</f>
        <v>98834000</v>
      </c>
      <c r="L13" s="470" t="s">
        <v>53</v>
      </c>
      <c r="M13" s="471">
        <f>SUM(K9:K12)</f>
        <v>1186007000</v>
      </c>
      <c r="N13" s="489" t="s">
        <v>57</v>
      </c>
      <c r="O13" s="490" t="s">
        <v>71</v>
      </c>
      <c r="P13" s="491">
        <v>12</v>
      </c>
      <c r="Q13" s="492" t="s">
        <v>0</v>
      </c>
      <c r="R13" s="493"/>
      <c r="S13" s="494"/>
      <c r="T13" s="474"/>
      <c r="U13" s="507">
        <f t="shared" si="5"/>
        <v>0</v>
      </c>
    </row>
    <row r="14" spans="2:21" s="463" customFormat="1" ht="24" customHeight="1">
      <c r="B14" s="464"/>
      <c r="C14" s="464" t="s">
        <v>312</v>
      </c>
      <c r="D14" s="465">
        <f t="shared" si="2"/>
        <v>53370000</v>
      </c>
      <c r="E14" s="466">
        <f>ROUNDUP(K14*H14,-3)</f>
        <v>37359000</v>
      </c>
      <c r="F14" s="466">
        <f t="shared" si="3"/>
        <v>2402000</v>
      </c>
      <c r="G14" s="466">
        <f t="shared" si="4"/>
        <v>13609000</v>
      </c>
      <c r="H14" s="467">
        <v>0.7</v>
      </c>
      <c r="I14" s="469">
        <v>4.4999999999999998E-2</v>
      </c>
      <c r="J14" s="469">
        <v>0.255</v>
      </c>
      <c r="K14" s="468">
        <f>ROUND(M14*P14/Q14,-3)</f>
        <v>53370000</v>
      </c>
      <c r="L14" s="470" t="s">
        <v>53</v>
      </c>
      <c r="M14" s="471">
        <f>M13</f>
        <v>1186007000</v>
      </c>
      <c r="N14" s="489" t="s">
        <v>57</v>
      </c>
      <c r="O14" s="493" t="s">
        <v>58</v>
      </c>
      <c r="P14" s="495">
        <v>0.09</v>
      </c>
      <c r="Q14" s="490">
        <v>2</v>
      </c>
      <c r="R14" s="493"/>
      <c r="S14" s="494"/>
      <c r="T14" s="496"/>
      <c r="U14" s="507">
        <f t="shared" si="5"/>
        <v>0</v>
      </c>
    </row>
    <row r="15" spans="2:21" s="463" customFormat="1" ht="24" customHeight="1">
      <c r="B15" s="464"/>
      <c r="C15" s="464" t="s">
        <v>313</v>
      </c>
      <c r="D15" s="465">
        <f t="shared" si="2"/>
        <v>36292000</v>
      </c>
      <c r="E15" s="466">
        <f>ROUNDUP(K15*H15,-3)</f>
        <v>25405000</v>
      </c>
      <c r="F15" s="466">
        <f t="shared" si="3"/>
        <v>1633000</v>
      </c>
      <c r="G15" s="466">
        <f t="shared" si="4"/>
        <v>9254000</v>
      </c>
      <c r="H15" s="467">
        <v>0.7</v>
      </c>
      <c r="I15" s="469">
        <v>4.4999999999999998E-2</v>
      </c>
      <c r="J15" s="469">
        <v>0.255</v>
      </c>
      <c r="K15" s="468">
        <f>ROUND(M15*P15/Q15,-3)</f>
        <v>36292000</v>
      </c>
      <c r="L15" s="470" t="s">
        <v>53</v>
      </c>
      <c r="M15" s="471">
        <f>M13</f>
        <v>1186007000</v>
      </c>
      <c r="N15" s="489" t="s">
        <v>57</v>
      </c>
      <c r="O15" s="493" t="s">
        <v>58</v>
      </c>
      <c r="P15" s="497">
        <v>6.1199999999999997E-2</v>
      </c>
      <c r="Q15" s="490">
        <v>2</v>
      </c>
      <c r="R15" s="493"/>
      <c r="S15" s="494"/>
      <c r="T15" s="496"/>
      <c r="U15" s="507">
        <f t="shared" si="5"/>
        <v>0</v>
      </c>
    </row>
    <row r="16" spans="2:21" s="463" customFormat="1" ht="24" customHeight="1">
      <c r="B16" s="464"/>
      <c r="C16" s="464" t="s">
        <v>314</v>
      </c>
      <c r="D16" s="465">
        <f t="shared" si="2"/>
        <v>2377000</v>
      </c>
      <c r="E16" s="466">
        <f t="shared" si="6"/>
        <v>1664000</v>
      </c>
      <c r="F16" s="466">
        <f t="shared" si="3"/>
        <v>107000</v>
      </c>
      <c r="G16" s="466">
        <f t="shared" si="4"/>
        <v>606000</v>
      </c>
      <c r="H16" s="467">
        <v>0.7</v>
      </c>
      <c r="I16" s="469">
        <v>4.4999999999999998E-2</v>
      </c>
      <c r="J16" s="469">
        <v>0.255</v>
      </c>
      <c r="K16" s="468">
        <f>ROUND(M16*P16,-3)</f>
        <v>2377000</v>
      </c>
      <c r="L16" s="470" t="s">
        <v>53</v>
      </c>
      <c r="M16" s="471">
        <f>K15</f>
        <v>36292000</v>
      </c>
      <c r="N16" s="489" t="s">
        <v>57</v>
      </c>
      <c r="O16" s="493" t="s">
        <v>58</v>
      </c>
      <c r="P16" s="498">
        <v>6.5500000000000003E-2</v>
      </c>
      <c r="Q16" s="499"/>
      <c r="R16" s="493"/>
      <c r="S16" s="494"/>
      <c r="T16" s="500"/>
      <c r="U16" s="507">
        <f t="shared" si="5"/>
        <v>0</v>
      </c>
    </row>
    <row r="17" spans="2:21" s="463" customFormat="1" ht="24" customHeight="1">
      <c r="B17" s="464"/>
      <c r="C17" s="464" t="s">
        <v>315</v>
      </c>
      <c r="D17" s="465">
        <f t="shared" si="2"/>
        <v>10674000</v>
      </c>
      <c r="E17" s="466">
        <f t="shared" si="6"/>
        <v>7472000</v>
      </c>
      <c r="F17" s="466">
        <f>ROUND(K17*I17,-3)</f>
        <v>480000</v>
      </c>
      <c r="G17" s="466">
        <f t="shared" si="4"/>
        <v>2722000</v>
      </c>
      <c r="H17" s="467">
        <v>0.7</v>
      </c>
      <c r="I17" s="469">
        <v>4.4999999999999998E-2</v>
      </c>
      <c r="J17" s="469">
        <v>0.255</v>
      </c>
      <c r="K17" s="468">
        <f>ROUND(M17*P17,-3)</f>
        <v>10674000</v>
      </c>
      <c r="L17" s="470" t="s">
        <v>53</v>
      </c>
      <c r="M17" s="471">
        <f>M13</f>
        <v>1186007000</v>
      </c>
      <c r="N17" s="489" t="s">
        <v>57</v>
      </c>
      <c r="O17" s="493" t="s">
        <v>58</v>
      </c>
      <c r="P17" s="498">
        <v>8.9999999999999993E-3</v>
      </c>
      <c r="Q17" s="493"/>
      <c r="R17" s="493"/>
      <c r="S17" s="494"/>
      <c r="T17" s="496"/>
      <c r="U17" s="507">
        <f t="shared" si="5"/>
        <v>0</v>
      </c>
    </row>
    <row r="18" spans="2:21" s="463" customFormat="1" ht="24" customHeight="1">
      <c r="B18" s="464"/>
      <c r="C18" s="464" t="s">
        <v>316</v>
      </c>
      <c r="D18" s="465">
        <f t="shared" si="2"/>
        <v>6570000</v>
      </c>
      <c r="E18" s="466">
        <f t="shared" si="6"/>
        <v>4599000</v>
      </c>
      <c r="F18" s="466">
        <f t="shared" si="3"/>
        <v>296000</v>
      </c>
      <c r="G18" s="466">
        <f t="shared" si="4"/>
        <v>1675000</v>
      </c>
      <c r="H18" s="467">
        <v>0.7</v>
      </c>
      <c r="I18" s="469">
        <v>4.4999999999999998E-2</v>
      </c>
      <c r="J18" s="469">
        <v>0.255</v>
      </c>
      <c r="K18" s="468">
        <f>ROUND(M18*P18,-3)</f>
        <v>6570000</v>
      </c>
      <c r="L18" s="470" t="s">
        <v>53</v>
      </c>
      <c r="M18" s="471">
        <f>M13</f>
        <v>1186007000</v>
      </c>
      <c r="N18" s="489" t="s">
        <v>57</v>
      </c>
      <c r="O18" s="493" t="s">
        <v>58</v>
      </c>
      <c r="P18" s="501">
        <v>5.5399999999999998E-3</v>
      </c>
      <c r="Q18" s="493"/>
      <c r="R18" s="493"/>
      <c r="S18" s="494"/>
      <c r="T18" s="496"/>
      <c r="U18" s="507">
        <f t="shared" si="5"/>
        <v>0</v>
      </c>
    </row>
    <row r="19" spans="2:21" s="463" customFormat="1" ht="24" customHeight="1">
      <c r="B19" s="464" t="s">
        <v>93</v>
      </c>
      <c r="C19" s="464" t="s">
        <v>317</v>
      </c>
      <c r="D19" s="465">
        <f t="shared" si="2"/>
        <v>64590000</v>
      </c>
      <c r="E19" s="466">
        <f>ROUND(K19*H19,-3)</f>
        <v>45213000</v>
      </c>
      <c r="F19" s="466">
        <f>ROUND(K19*I19,-3)</f>
        <v>2907000</v>
      </c>
      <c r="G19" s="466">
        <f t="shared" si="4"/>
        <v>16470000</v>
      </c>
      <c r="H19" s="467">
        <v>0.7</v>
      </c>
      <c r="I19" s="469">
        <v>4.4999999999999998E-2</v>
      </c>
      <c r="J19" s="469">
        <v>0.255</v>
      </c>
      <c r="K19" s="468">
        <f>M19*P19</f>
        <v>64590000</v>
      </c>
      <c r="L19" s="470" t="s">
        <v>53</v>
      </c>
      <c r="M19" s="471">
        <v>2153000</v>
      </c>
      <c r="N19" s="471" t="s">
        <v>57</v>
      </c>
      <c r="O19" s="472" t="s">
        <v>58</v>
      </c>
      <c r="P19" s="490">
        <v>30</v>
      </c>
      <c r="Q19" s="471" t="s">
        <v>56</v>
      </c>
      <c r="R19" s="493"/>
      <c r="S19" s="502"/>
      <c r="T19" s="474"/>
      <c r="U19" s="507">
        <f t="shared" ref="U19" si="7">IF(D19=K19,,"×")</f>
        <v>0</v>
      </c>
    </row>
    <row r="20" spans="2:21" s="463" customFormat="1" ht="24" customHeight="1">
      <c r="B20" s="464"/>
      <c r="C20" s="464" t="s">
        <v>318</v>
      </c>
      <c r="D20" s="465">
        <f t="shared" si="2"/>
        <v>13838000</v>
      </c>
      <c r="E20" s="466">
        <f>ROUNDDOWN(K20*H20,-3)</f>
        <v>9686000</v>
      </c>
      <c r="F20" s="466">
        <f t="shared" si="3"/>
        <v>623000</v>
      </c>
      <c r="G20" s="466">
        <f t="shared" si="4"/>
        <v>3529000</v>
      </c>
      <c r="H20" s="467">
        <v>0.7</v>
      </c>
      <c r="I20" s="469">
        <v>4.4999999999999998E-2</v>
      </c>
      <c r="J20" s="469">
        <v>0.255</v>
      </c>
      <c r="K20" s="468">
        <f>M20*P20</f>
        <v>13838000</v>
      </c>
      <c r="L20" s="470" t="s">
        <v>53</v>
      </c>
      <c r="M20" s="471">
        <v>629000</v>
      </c>
      <c r="N20" s="471" t="s">
        <v>57</v>
      </c>
      <c r="O20" s="472" t="s">
        <v>58</v>
      </c>
      <c r="P20" s="490">
        <v>22</v>
      </c>
      <c r="Q20" s="471" t="s">
        <v>56</v>
      </c>
      <c r="R20" s="493"/>
      <c r="S20" s="502"/>
      <c r="T20" s="474"/>
      <c r="U20" s="507">
        <f t="shared" si="5"/>
        <v>0</v>
      </c>
    </row>
    <row r="21" spans="2:21" s="463" customFormat="1" ht="24" customHeight="1">
      <c r="B21" s="464" t="s">
        <v>288</v>
      </c>
      <c r="C21" s="464" t="s">
        <v>320</v>
      </c>
      <c r="D21" s="465">
        <f t="shared" si="2"/>
        <v>9490000</v>
      </c>
      <c r="E21" s="466">
        <f t="shared" si="6"/>
        <v>0</v>
      </c>
      <c r="F21" s="466">
        <f t="shared" si="3"/>
        <v>2847000</v>
      </c>
      <c r="G21" s="466">
        <f>ROUNDDOWN(K21*J21,-3)</f>
        <v>6643000</v>
      </c>
      <c r="H21" s="467">
        <v>0</v>
      </c>
      <c r="I21" s="469">
        <v>0.3</v>
      </c>
      <c r="J21" s="469">
        <v>0.7</v>
      </c>
      <c r="K21" s="468">
        <f>ROUND(M21*P21*S21,-3)</f>
        <v>9490000</v>
      </c>
      <c r="L21" s="470" t="s">
        <v>53</v>
      </c>
      <c r="M21" s="471">
        <v>500</v>
      </c>
      <c r="N21" s="471" t="s">
        <v>57</v>
      </c>
      <c r="O21" s="472" t="s">
        <v>58</v>
      </c>
      <c r="P21" s="471">
        <v>365</v>
      </c>
      <c r="Q21" s="471" t="s">
        <v>81</v>
      </c>
      <c r="R21" s="472" t="s">
        <v>58</v>
      </c>
      <c r="S21" s="471">
        <v>52</v>
      </c>
      <c r="T21" s="474" t="s">
        <v>56</v>
      </c>
      <c r="U21" s="507">
        <f t="shared" si="5"/>
        <v>0</v>
      </c>
    </row>
    <row r="22" spans="2:21" s="463" customFormat="1" ht="24" customHeight="1">
      <c r="B22" s="464"/>
      <c r="C22" s="464" t="s">
        <v>321</v>
      </c>
      <c r="D22" s="465">
        <f t="shared" si="2"/>
        <v>3120000</v>
      </c>
      <c r="E22" s="466">
        <f t="shared" si="6"/>
        <v>0</v>
      </c>
      <c r="F22" s="466">
        <f t="shared" si="3"/>
        <v>936000</v>
      </c>
      <c r="G22" s="466">
        <f t="shared" si="4"/>
        <v>2184000</v>
      </c>
      <c r="H22" s="467">
        <v>0</v>
      </c>
      <c r="I22" s="469">
        <v>0.3</v>
      </c>
      <c r="J22" s="469">
        <v>0.7</v>
      </c>
      <c r="K22" s="468">
        <f>M22*P22*S22</f>
        <v>3120000</v>
      </c>
      <c r="L22" s="470" t="s">
        <v>53</v>
      </c>
      <c r="M22" s="471">
        <v>5000</v>
      </c>
      <c r="N22" s="471" t="s">
        <v>57</v>
      </c>
      <c r="O22" s="472" t="s">
        <v>58</v>
      </c>
      <c r="P22" s="471">
        <v>12</v>
      </c>
      <c r="Q22" s="471" t="s">
        <v>29</v>
      </c>
      <c r="R22" s="472" t="s">
        <v>58</v>
      </c>
      <c r="S22" s="471">
        <v>52</v>
      </c>
      <c r="T22" s="474" t="s">
        <v>56</v>
      </c>
      <c r="U22" s="507">
        <f t="shared" si="5"/>
        <v>0</v>
      </c>
    </row>
    <row r="23" spans="2:21" s="463" customFormat="1" ht="37.5" customHeight="1">
      <c r="B23" s="464"/>
      <c r="C23" s="516" t="s">
        <v>346</v>
      </c>
      <c r="D23" s="465">
        <f t="shared" si="2"/>
        <v>4160000</v>
      </c>
      <c r="E23" s="466">
        <f t="shared" si="6"/>
        <v>0</v>
      </c>
      <c r="F23" s="466">
        <f t="shared" si="3"/>
        <v>1248000</v>
      </c>
      <c r="G23" s="466">
        <f t="shared" si="4"/>
        <v>2912000</v>
      </c>
      <c r="H23" s="467">
        <v>0</v>
      </c>
      <c r="I23" s="469">
        <v>0.3</v>
      </c>
      <c r="J23" s="469">
        <v>0.7</v>
      </c>
      <c r="K23" s="468">
        <f t="shared" ref="K23:K25" si="8">M23*P23*S23</f>
        <v>4160000</v>
      </c>
      <c r="L23" s="475" t="s">
        <v>53</v>
      </c>
      <c r="M23" s="476">
        <v>20000</v>
      </c>
      <c r="N23" s="476" t="s">
        <v>57</v>
      </c>
      <c r="O23" s="503" t="s">
        <v>58</v>
      </c>
      <c r="P23" s="476">
        <v>4</v>
      </c>
      <c r="Q23" s="476" t="s">
        <v>72</v>
      </c>
      <c r="R23" s="503" t="s">
        <v>58</v>
      </c>
      <c r="S23" s="476">
        <v>52</v>
      </c>
      <c r="T23" s="478" t="s">
        <v>56</v>
      </c>
      <c r="U23" s="507">
        <f t="shared" si="5"/>
        <v>0</v>
      </c>
    </row>
    <row r="24" spans="2:21" s="463" customFormat="1" ht="35.25" customHeight="1">
      <c r="B24" s="464"/>
      <c r="C24" s="516" t="s">
        <v>347</v>
      </c>
      <c r="D24" s="465">
        <f t="shared" si="2"/>
        <v>2496000</v>
      </c>
      <c r="E24" s="466">
        <f t="shared" si="6"/>
        <v>0</v>
      </c>
      <c r="F24" s="466">
        <f t="shared" si="3"/>
        <v>749000</v>
      </c>
      <c r="G24" s="466">
        <f t="shared" si="4"/>
        <v>1747000</v>
      </c>
      <c r="H24" s="467">
        <v>0</v>
      </c>
      <c r="I24" s="469">
        <v>0.3</v>
      </c>
      <c r="J24" s="469">
        <v>0.7</v>
      </c>
      <c r="K24" s="468">
        <f t="shared" si="8"/>
        <v>2496000</v>
      </c>
      <c r="L24" s="470" t="s">
        <v>53</v>
      </c>
      <c r="M24" s="471">
        <v>12000</v>
      </c>
      <c r="N24" s="471" t="s">
        <v>57</v>
      </c>
      <c r="O24" s="472" t="s">
        <v>58</v>
      </c>
      <c r="P24" s="471">
        <v>4</v>
      </c>
      <c r="Q24" s="471" t="s">
        <v>72</v>
      </c>
      <c r="R24" s="472" t="s">
        <v>58</v>
      </c>
      <c r="S24" s="471">
        <v>52</v>
      </c>
      <c r="T24" s="474" t="s">
        <v>56</v>
      </c>
      <c r="U24" s="507">
        <f t="shared" si="5"/>
        <v>0</v>
      </c>
    </row>
    <row r="25" spans="2:21" s="463" customFormat="1" ht="31.5" customHeight="1">
      <c r="B25" s="464"/>
      <c r="C25" s="464" t="s">
        <v>322</v>
      </c>
      <c r="D25" s="465">
        <f t="shared" si="2"/>
        <v>2080000</v>
      </c>
      <c r="E25" s="466">
        <f t="shared" si="6"/>
        <v>0</v>
      </c>
      <c r="F25" s="466">
        <f t="shared" si="3"/>
        <v>624000</v>
      </c>
      <c r="G25" s="466">
        <f t="shared" si="4"/>
        <v>1456000</v>
      </c>
      <c r="H25" s="467">
        <v>0</v>
      </c>
      <c r="I25" s="469">
        <v>0.3</v>
      </c>
      <c r="J25" s="469">
        <v>0.7</v>
      </c>
      <c r="K25" s="468">
        <f t="shared" si="8"/>
        <v>2080000</v>
      </c>
      <c r="L25" s="470" t="s">
        <v>53</v>
      </c>
      <c r="M25" s="471">
        <v>40000</v>
      </c>
      <c r="N25" s="471" t="s">
        <v>57</v>
      </c>
      <c r="O25" s="504" t="s">
        <v>58</v>
      </c>
      <c r="P25" s="471">
        <v>1</v>
      </c>
      <c r="Q25" s="471" t="s">
        <v>72</v>
      </c>
      <c r="R25" s="504" t="s">
        <v>58</v>
      </c>
      <c r="S25" s="471">
        <v>52</v>
      </c>
      <c r="T25" s="474" t="s">
        <v>56</v>
      </c>
      <c r="U25" s="507">
        <f t="shared" si="5"/>
        <v>0</v>
      </c>
    </row>
    <row r="26" spans="2:21" s="463" customFormat="1" ht="24" customHeight="1">
      <c r="B26" s="464" t="s">
        <v>289</v>
      </c>
      <c r="C26" s="464" t="s">
        <v>307</v>
      </c>
      <c r="D26" s="465">
        <f t="shared" si="2"/>
        <v>51090000</v>
      </c>
      <c r="E26" s="466">
        <f t="shared" si="6"/>
        <v>0</v>
      </c>
      <c r="F26" s="466">
        <f t="shared" si="3"/>
        <v>5109000</v>
      </c>
      <c r="G26" s="466">
        <f t="shared" si="4"/>
        <v>45981000</v>
      </c>
      <c r="H26" s="467">
        <v>0</v>
      </c>
      <c r="I26" s="469">
        <v>0.1</v>
      </c>
      <c r="J26" s="469">
        <v>0.9</v>
      </c>
      <c r="K26" s="468">
        <v>51090000</v>
      </c>
      <c r="L26" s="486"/>
      <c r="M26" s="487" t="s">
        <v>335</v>
      </c>
      <c r="N26" s="487"/>
      <c r="O26" s="487"/>
      <c r="P26" s="487"/>
      <c r="Q26" s="487"/>
      <c r="R26" s="487"/>
      <c r="S26" s="487"/>
      <c r="T26" s="488"/>
      <c r="U26" s="507">
        <f t="shared" si="5"/>
        <v>0</v>
      </c>
    </row>
    <row r="27" spans="2:21" s="463" customFormat="1" ht="24" customHeight="1">
      <c r="B27" s="464"/>
      <c r="C27" s="464" t="s">
        <v>308</v>
      </c>
      <c r="D27" s="465">
        <f t="shared" si="2"/>
        <v>4637000</v>
      </c>
      <c r="E27" s="466">
        <f t="shared" si="6"/>
        <v>0</v>
      </c>
      <c r="F27" s="466">
        <f t="shared" si="3"/>
        <v>464000</v>
      </c>
      <c r="G27" s="466">
        <f t="shared" si="4"/>
        <v>4173000</v>
      </c>
      <c r="H27" s="467">
        <v>0</v>
      </c>
      <c r="I27" s="469">
        <v>0.1</v>
      </c>
      <c r="J27" s="469">
        <v>0.9</v>
      </c>
      <c r="K27" s="468">
        <v>4637000</v>
      </c>
      <c r="L27" s="486"/>
      <c r="M27" s="487" t="s">
        <v>335</v>
      </c>
      <c r="N27" s="487"/>
      <c r="O27" s="487"/>
      <c r="P27" s="487"/>
      <c r="Q27" s="487"/>
      <c r="R27" s="487"/>
      <c r="S27" s="487"/>
      <c r="T27" s="488"/>
      <c r="U27" s="507">
        <f t="shared" si="5"/>
        <v>0</v>
      </c>
    </row>
    <row r="28" spans="2:21" s="463" customFormat="1" ht="24" customHeight="1">
      <c r="B28" s="464"/>
      <c r="C28" s="464" t="s">
        <v>309</v>
      </c>
      <c r="D28" s="465">
        <f t="shared" si="2"/>
        <v>1280000</v>
      </c>
      <c r="E28" s="466">
        <f t="shared" si="6"/>
        <v>0</v>
      </c>
      <c r="F28" s="466">
        <f t="shared" si="3"/>
        <v>128000</v>
      </c>
      <c r="G28" s="466">
        <f t="shared" si="4"/>
        <v>1152000</v>
      </c>
      <c r="H28" s="467">
        <v>0</v>
      </c>
      <c r="I28" s="469">
        <v>0.1</v>
      </c>
      <c r="J28" s="469">
        <v>0.9</v>
      </c>
      <c r="K28" s="468">
        <v>1280000</v>
      </c>
      <c r="L28" s="486"/>
      <c r="M28" s="487" t="s">
        <v>335</v>
      </c>
      <c r="N28" s="487"/>
      <c r="O28" s="487"/>
      <c r="P28" s="487"/>
      <c r="Q28" s="487"/>
      <c r="R28" s="487"/>
      <c r="S28" s="487"/>
      <c r="T28" s="488"/>
      <c r="U28" s="507">
        <f t="shared" si="5"/>
        <v>0</v>
      </c>
    </row>
    <row r="29" spans="2:21" s="463" customFormat="1" ht="24" customHeight="1">
      <c r="B29" s="464"/>
      <c r="C29" s="464" t="s">
        <v>310</v>
      </c>
      <c r="D29" s="465">
        <f t="shared" si="2"/>
        <v>12715000</v>
      </c>
      <c r="E29" s="466">
        <f t="shared" si="6"/>
        <v>0</v>
      </c>
      <c r="F29" s="466">
        <f t="shared" si="3"/>
        <v>1272000</v>
      </c>
      <c r="G29" s="466">
        <f>ROUNDDOWN(K29*J29,-3)</f>
        <v>11443000</v>
      </c>
      <c r="H29" s="467">
        <v>0</v>
      </c>
      <c r="I29" s="469">
        <v>0.1</v>
      </c>
      <c r="J29" s="469">
        <v>0.9</v>
      </c>
      <c r="K29" s="468">
        <v>12715000</v>
      </c>
      <c r="L29" s="486"/>
      <c r="M29" s="487" t="s">
        <v>335</v>
      </c>
      <c r="N29" s="487"/>
      <c r="O29" s="487"/>
      <c r="P29" s="487"/>
      <c r="Q29" s="487"/>
      <c r="R29" s="487"/>
      <c r="S29" s="487"/>
      <c r="T29" s="488"/>
      <c r="U29" s="507">
        <f t="shared" si="5"/>
        <v>0</v>
      </c>
    </row>
    <row r="30" spans="2:21" s="463" customFormat="1" ht="24" customHeight="1">
      <c r="B30" s="464"/>
      <c r="C30" s="464" t="s">
        <v>323</v>
      </c>
      <c r="D30" s="465">
        <f t="shared" si="2"/>
        <v>100650000</v>
      </c>
      <c r="E30" s="466">
        <f t="shared" si="6"/>
        <v>0</v>
      </c>
      <c r="F30" s="466">
        <f t="shared" si="3"/>
        <v>10065000</v>
      </c>
      <c r="G30" s="466">
        <f t="shared" si="4"/>
        <v>90585000</v>
      </c>
      <c r="H30" s="467">
        <v>0</v>
      </c>
      <c r="I30" s="469">
        <v>0.1</v>
      </c>
      <c r="J30" s="469">
        <v>0.9</v>
      </c>
      <c r="K30" s="468">
        <v>100650000</v>
      </c>
      <c r="L30" s="486"/>
      <c r="M30" s="487" t="s">
        <v>335</v>
      </c>
      <c r="N30" s="487"/>
      <c r="O30" s="487"/>
      <c r="P30" s="487"/>
      <c r="Q30" s="487"/>
      <c r="R30" s="487"/>
      <c r="S30" s="487"/>
      <c r="T30" s="488"/>
      <c r="U30" s="507">
        <f t="shared" si="5"/>
        <v>0</v>
      </c>
    </row>
    <row r="31" spans="2:21" s="463" customFormat="1" ht="24" customHeight="1">
      <c r="B31" s="464"/>
      <c r="C31" s="464" t="s">
        <v>311</v>
      </c>
      <c r="D31" s="465">
        <f t="shared" si="2"/>
        <v>5810000</v>
      </c>
      <c r="E31" s="466">
        <f t="shared" si="6"/>
        <v>0</v>
      </c>
      <c r="F31" s="466">
        <f t="shared" si="3"/>
        <v>581000</v>
      </c>
      <c r="G31" s="466">
        <f t="shared" si="4"/>
        <v>5229000</v>
      </c>
      <c r="H31" s="467">
        <v>0</v>
      </c>
      <c r="I31" s="469">
        <v>0.1</v>
      </c>
      <c r="J31" s="469">
        <v>0.9</v>
      </c>
      <c r="K31" s="468">
        <f>ROUND(M31/P31,-3)</f>
        <v>5810000</v>
      </c>
      <c r="L31" s="470" t="s">
        <v>53</v>
      </c>
      <c r="M31" s="471">
        <f>SUM(K26:K29)</f>
        <v>69722000</v>
      </c>
      <c r="N31" s="489" t="s">
        <v>57</v>
      </c>
      <c r="O31" s="490" t="s">
        <v>71</v>
      </c>
      <c r="P31" s="491">
        <v>12</v>
      </c>
      <c r="Q31" s="492" t="s">
        <v>0</v>
      </c>
      <c r="R31" s="493"/>
      <c r="S31" s="494"/>
      <c r="T31" s="474"/>
      <c r="U31" s="507">
        <f t="shared" si="5"/>
        <v>0</v>
      </c>
    </row>
    <row r="32" spans="2:21" s="463" customFormat="1" ht="24" customHeight="1">
      <c r="B32" s="464"/>
      <c r="C32" s="464" t="s">
        <v>312</v>
      </c>
      <c r="D32" s="465">
        <f t="shared" si="2"/>
        <v>3137000</v>
      </c>
      <c r="E32" s="466">
        <f t="shared" si="6"/>
        <v>0</v>
      </c>
      <c r="F32" s="466">
        <f t="shared" si="3"/>
        <v>314000</v>
      </c>
      <c r="G32" s="466">
        <f t="shared" si="4"/>
        <v>2823000</v>
      </c>
      <c r="H32" s="467">
        <v>0</v>
      </c>
      <c r="I32" s="469">
        <v>0.1</v>
      </c>
      <c r="J32" s="469">
        <v>0.9</v>
      </c>
      <c r="K32" s="468">
        <f>ROUND(M32*P32/Q32,-3)</f>
        <v>3137000</v>
      </c>
      <c r="L32" s="470" t="s">
        <v>53</v>
      </c>
      <c r="M32" s="471">
        <f>M31</f>
        <v>69722000</v>
      </c>
      <c r="N32" s="489" t="s">
        <v>57</v>
      </c>
      <c r="O32" s="493" t="s">
        <v>58</v>
      </c>
      <c r="P32" s="495">
        <v>0.09</v>
      </c>
      <c r="Q32" s="490">
        <v>2</v>
      </c>
      <c r="R32" s="493"/>
      <c r="S32" s="494"/>
      <c r="T32" s="496"/>
      <c r="U32" s="507">
        <f t="shared" si="5"/>
        <v>0</v>
      </c>
    </row>
    <row r="33" spans="2:21" s="463" customFormat="1" ht="24" customHeight="1">
      <c r="B33" s="464"/>
      <c r="C33" s="464" t="s">
        <v>313</v>
      </c>
      <c r="D33" s="465">
        <f t="shared" si="2"/>
        <v>2133000</v>
      </c>
      <c r="E33" s="466">
        <f t="shared" si="6"/>
        <v>0</v>
      </c>
      <c r="F33" s="466">
        <f t="shared" si="3"/>
        <v>213000</v>
      </c>
      <c r="G33" s="466">
        <f t="shared" si="4"/>
        <v>1920000</v>
      </c>
      <c r="H33" s="467">
        <v>0</v>
      </c>
      <c r="I33" s="469">
        <v>0.1</v>
      </c>
      <c r="J33" s="469">
        <v>0.9</v>
      </c>
      <c r="K33" s="468">
        <f>ROUND(M33*P33/Q33,-3)</f>
        <v>2133000</v>
      </c>
      <c r="L33" s="470" t="s">
        <v>53</v>
      </c>
      <c r="M33" s="471">
        <f>M31</f>
        <v>69722000</v>
      </c>
      <c r="N33" s="489" t="s">
        <v>57</v>
      </c>
      <c r="O33" s="493" t="s">
        <v>58</v>
      </c>
      <c r="P33" s="497">
        <v>6.1199999999999997E-2</v>
      </c>
      <c r="Q33" s="490">
        <v>2</v>
      </c>
      <c r="R33" s="493"/>
      <c r="S33" s="494"/>
      <c r="T33" s="496"/>
      <c r="U33" s="507">
        <f t="shared" si="5"/>
        <v>0</v>
      </c>
    </row>
    <row r="34" spans="2:21" s="463" customFormat="1" ht="24" customHeight="1">
      <c r="B34" s="464"/>
      <c r="C34" s="464" t="s">
        <v>314</v>
      </c>
      <c r="D34" s="465">
        <f t="shared" si="2"/>
        <v>140000</v>
      </c>
      <c r="E34" s="466">
        <f t="shared" si="6"/>
        <v>0</v>
      </c>
      <c r="F34" s="466">
        <f t="shared" si="3"/>
        <v>14000</v>
      </c>
      <c r="G34" s="466">
        <f t="shared" si="4"/>
        <v>126000</v>
      </c>
      <c r="H34" s="467">
        <v>0</v>
      </c>
      <c r="I34" s="469">
        <v>0.1</v>
      </c>
      <c r="J34" s="469">
        <v>0.9</v>
      </c>
      <c r="K34" s="468">
        <f>ROUND(M34*P34,-3)</f>
        <v>140000</v>
      </c>
      <c r="L34" s="470" t="s">
        <v>53</v>
      </c>
      <c r="M34" s="471">
        <f>K33</f>
        <v>2133000</v>
      </c>
      <c r="N34" s="489" t="s">
        <v>57</v>
      </c>
      <c r="O34" s="493" t="s">
        <v>58</v>
      </c>
      <c r="P34" s="498">
        <v>6.5500000000000003E-2</v>
      </c>
      <c r="Q34" s="499"/>
      <c r="R34" s="493"/>
      <c r="S34" s="494"/>
      <c r="T34" s="500"/>
      <c r="U34" s="507">
        <f t="shared" si="5"/>
        <v>0</v>
      </c>
    </row>
    <row r="35" spans="2:21" s="463" customFormat="1" ht="24" customHeight="1">
      <c r="B35" s="464"/>
      <c r="C35" s="464" t="s">
        <v>315</v>
      </c>
      <c r="D35" s="465">
        <f t="shared" si="2"/>
        <v>627000</v>
      </c>
      <c r="E35" s="466">
        <f t="shared" si="6"/>
        <v>0</v>
      </c>
      <c r="F35" s="466">
        <f t="shared" si="3"/>
        <v>63000</v>
      </c>
      <c r="G35" s="466">
        <f t="shared" si="4"/>
        <v>564000</v>
      </c>
      <c r="H35" s="467">
        <v>0</v>
      </c>
      <c r="I35" s="469">
        <v>0.1</v>
      </c>
      <c r="J35" s="469">
        <v>0.9</v>
      </c>
      <c r="K35" s="468">
        <f>ROUND(M35*P35,-3)</f>
        <v>627000</v>
      </c>
      <c r="L35" s="470" t="s">
        <v>53</v>
      </c>
      <c r="M35" s="471">
        <f>M31</f>
        <v>69722000</v>
      </c>
      <c r="N35" s="489" t="s">
        <v>57</v>
      </c>
      <c r="O35" s="493" t="s">
        <v>58</v>
      </c>
      <c r="P35" s="498">
        <v>8.9999999999999993E-3</v>
      </c>
      <c r="Q35" s="493"/>
      <c r="R35" s="493"/>
      <c r="S35" s="494"/>
      <c r="T35" s="496"/>
      <c r="U35" s="507">
        <f t="shared" si="5"/>
        <v>0</v>
      </c>
    </row>
    <row r="36" spans="2:21" s="463" customFormat="1" ht="24" customHeight="1">
      <c r="B36" s="464"/>
      <c r="C36" s="464" t="s">
        <v>316</v>
      </c>
      <c r="D36" s="465">
        <f t="shared" si="2"/>
        <v>386000</v>
      </c>
      <c r="E36" s="466">
        <f t="shared" si="6"/>
        <v>0</v>
      </c>
      <c r="F36" s="466">
        <f t="shared" si="3"/>
        <v>39000</v>
      </c>
      <c r="G36" s="466">
        <f t="shared" si="4"/>
        <v>347000</v>
      </c>
      <c r="H36" s="467">
        <v>0</v>
      </c>
      <c r="I36" s="469">
        <v>0.1</v>
      </c>
      <c r="J36" s="469">
        <v>0.9</v>
      </c>
      <c r="K36" s="468">
        <f>ROUND(M36*P36,-3)</f>
        <v>386000</v>
      </c>
      <c r="L36" s="470" t="s">
        <v>53</v>
      </c>
      <c r="M36" s="471">
        <f>M31</f>
        <v>69722000</v>
      </c>
      <c r="N36" s="489" t="s">
        <v>57</v>
      </c>
      <c r="O36" s="493" t="s">
        <v>58</v>
      </c>
      <c r="P36" s="501">
        <v>5.5399999999999998E-3</v>
      </c>
      <c r="Q36" s="493"/>
      <c r="R36" s="493"/>
      <c r="S36" s="494"/>
      <c r="T36" s="496"/>
      <c r="U36" s="507">
        <f t="shared" si="5"/>
        <v>0</v>
      </c>
    </row>
    <row r="37" spans="2:21" s="463" customFormat="1" ht="24" customHeight="1">
      <c r="B37" s="464"/>
      <c r="C37" s="464" t="s">
        <v>324</v>
      </c>
      <c r="D37" s="465">
        <f t="shared" si="2"/>
        <v>3600000</v>
      </c>
      <c r="E37" s="466">
        <f t="shared" si="6"/>
        <v>0</v>
      </c>
      <c r="F37" s="466">
        <f t="shared" si="3"/>
        <v>360000</v>
      </c>
      <c r="G37" s="466">
        <f t="shared" si="4"/>
        <v>3240000</v>
      </c>
      <c r="H37" s="467">
        <v>0</v>
      </c>
      <c r="I37" s="469">
        <v>0.1</v>
      </c>
      <c r="J37" s="469">
        <v>0.9</v>
      </c>
      <c r="K37" s="468">
        <f>M37*P37</f>
        <v>3600000</v>
      </c>
      <c r="L37" s="470" t="s">
        <v>349</v>
      </c>
      <c r="M37" s="476">
        <v>300000</v>
      </c>
      <c r="N37" s="477" t="s">
        <v>350</v>
      </c>
      <c r="O37" s="477" t="s">
        <v>26</v>
      </c>
      <c r="P37" s="476">
        <v>12</v>
      </c>
      <c r="Q37" s="503" t="s">
        <v>351</v>
      </c>
      <c r="R37" s="476"/>
      <c r="S37" s="476"/>
      <c r="T37" s="478"/>
      <c r="U37" s="507">
        <f t="shared" si="5"/>
        <v>0</v>
      </c>
    </row>
    <row r="38" spans="2:21" s="463" customFormat="1" ht="24" customHeight="1">
      <c r="B38" s="464"/>
      <c r="C38" s="464" t="s">
        <v>325</v>
      </c>
      <c r="D38" s="465">
        <f t="shared" si="2"/>
        <v>5000000</v>
      </c>
      <c r="E38" s="466">
        <f t="shared" si="6"/>
        <v>0</v>
      </c>
      <c r="F38" s="466">
        <f t="shared" si="3"/>
        <v>500000</v>
      </c>
      <c r="G38" s="466">
        <f t="shared" si="4"/>
        <v>4500000</v>
      </c>
      <c r="H38" s="467">
        <v>0</v>
      </c>
      <c r="I38" s="469">
        <v>0.1</v>
      </c>
      <c r="J38" s="469">
        <v>0.9</v>
      </c>
      <c r="K38" s="468">
        <v>5000000</v>
      </c>
      <c r="L38" s="486"/>
      <c r="M38" s="487"/>
      <c r="N38" s="487"/>
      <c r="O38" s="487"/>
      <c r="P38" s="487"/>
      <c r="Q38" s="487"/>
      <c r="R38" s="487"/>
      <c r="S38" s="487"/>
      <c r="T38" s="488"/>
      <c r="U38" s="507">
        <f t="shared" si="5"/>
        <v>0</v>
      </c>
    </row>
    <row r="39" spans="2:21" s="463" customFormat="1" ht="24" customHeight="1">
      <c r="B39" s="464"/>
      <c r="C39" s="464" t="s">
        <v>326</v>
      </c>
      <c r="D39" s="465">
        <f t="shared" si="2"/>
        <v>12600000</v>
      </c>
      <c r="E39" s="466">
        <f t="shared" si="6"/>
        <v>0</v>
      </c>
      <c r="F39" s="466">
        <f t="shared" si="3"/>
        <v>1260000</v>
      </c>
      <c r="G39" s="466">
        <f t="shared" si="4"/>
        <v>11340000</v>
      </c>
      <c r="H39" s="467">
        <v>0</v>
      </c>
      <c r="I39" s="469">
        <v>0.1</v>
      </c>
      <c r="J39" s="469">
        <v>0.9</v>
      </c>
      <c r="K39" s="468">
        <f>M39*P39*S39</f>
        <v>12600000</v>
      </c>
      <c r="L39" s="479" t="s">
        <v>349</v>
      </c>
      <c r="M39" s="473">
        <v>70000</v>
      </c>
      <c r="N39" s="473" t="s">
        <v>350</v>
      </c>
      <c r="O39" s="517" t="s">
        <v>352</v>
      </c>
      <c r="P39" s="473">
        <v>1</v>
      </c>
      <c r="Q39" s="473" t="s">
        <v>353</v>
      </c>
      <c r="R39" s="517" t="s">
        <v>352</v>
      </c>
      <c r="S39" s="484">
        <v>180</v>
      </c>
      <c r="T39" s="485" t="s">
        <v>354</v>
      </c>
      <c r="U39" s="507">
        <f t="shared" si="5"/>
        <v>0</v>
      </c>
    </row>
    <row r="40" spans="2:21" s="463" customFormat="1" ht="24" customHeight="1">
      <c r="B40" s="464" t="s">
        <v>327</v>
      </c>
      <c r="C40" s="464" t="s">
        <v>328</v>
      </c>
      <c r="D40" s="465">
        <f t="shared" si="2"/>
        <v>0</v>
      </c>
      <c r="E40" s="466">
        <f t="shared" si="6"/>
        <v>0</v>
      </c>
      <c r="F40" s="466">
        <f t="shared" si="3"/>
        <v>0</v>
      </c>
      <c r="G40" s="466">
        <f t="shared" si="4"/>
        <v>0</v>
      </c>
      <c r="H40" s="467">
        <v>0</v>
      </c>
      <c r="I40" s="469">
        <v>0.3</v>
      </c>
      <c r="J40" s="469">
        <v>0.7</v>
      </c>
      <c r="K40" s="468">
        <v>0</v>
      </c>
      <c r="L40" s="486"/>
      <c r="M40" s="487"/>
      <c r="N40" s="487"/>
      <c r="O40" s="487"/>
      <c r="P40" s="487"/>
      <c r="Q40" s="487"/>
      <c r="R40" s="487"/>
      <c r="S40" s="487"/>
      <c r="T40" s="488"/>
      <c r="U40" s="507">
        <f t="shared" si="5"/>
        <v>0</v>
      </c>
    </row>
    <row r="41" spans="2:21" s="463" customFormat="1" ht="24" customHeight="1">
      <c r="B41" s="464"/>
      <c r="C41" s="464" t="s">
        <v>451</v>
      </c>
      <c r="D41" s="465">
        <f t="shared" si="2"/>
        <v>17735000</v>
      </c>
      <c r="E41" s="466">
        <f t="shared" ref="E41:E42" si="9">ROUND(K41*H41,-3)</f>
        <v>0</v>
      </c>
      <c r="F41" s="466">
        <f t="shared" ref="F41:F42" si="10">ROUND(K41*I41,-3)</f>
        <v>8868000</v>
      </c>
      <c r="G41" s="466">
        <f>ROUNDDOWN(K41*J41,-3)</f>
        <v>8867000</v>
      </c>
      <c r="H41" s="467">
        <v>0</v>
      </c>
      <c r="I41" s="469">
        <v>0.5</v>
      </c>
      <c r="J41" s="469">
        <v>0.5</v>
      </c>
      <c r="K41" s="468">
        <v>17735000</v>
      </c>
      <c r="L41" s="486"/>
      <c r="M41" s="487" t="s">
        <v>452</v>
      </c>
      <c r="N41" s="487"/>
      <c r="O41" s="487"/>
      <c r="P41" s="487"/>
      <c r="Q41" s="487"/>
      <c r="R41" s="487"/>
      <c r="S41" s="487"/>
      <c r="T41" s="488"/>
      <c r="U41" s="507">
        <f t="shared" si="5"/>
        <v>0</v>
      </c>
    </row>
    <row r="42" spans="2:21" s="463" customFormat="1" ht="24" customHeight="1">
      <c r="B42" s="464" t="s">
        <v>333</v>
      </c>
      <c r="C42" s="464" t="s">
        <v>332</v>
      </c>
      <c r="D42" s="465">
        <f t="shared" si="2"/>
        <v>5100000</v>
      </c>
      <c r="E42" s="466">
        <f t="shared" si="9"/>
        <v>0</v>
      </c>
      <c r="F42" s="466">
        <f t="shared" si="10"/>
        <v>0</v>
      </c>
      <c r="G42" s="466">
        <f t="shared" ref="G42" si="11">ROUND(K42*J42,-3)</f>
        <v>5100000</v>
      </c>
      <c r="H42" s="467">
        <v>0</v>
      </c>
      <c r="I42" s="469">
        <v>0</v>
      </c>
      <c r="J42" s="469">
        <v>1</v>
      </c>
      <c r="K42" s="468">
        <f>M42*P42</f>
        <v>5100000</v>
      </c>
      <c r="L42" s="475" t="s">
        <v>53</v>
      </c>
      <c r="M42" s="476">
        <v>300000</v>
      </c>
      <c r="N42" s="518" t="s">
        <v>57</v>
      </c>
      <c r="O42" s="519" t="s">
        <v>58</v>
      </c>
      <c r="P42" s="520">
        <v>17</v>
      </c>
      <c r="Q42" s="519" t="s">
        <v>56</v>
      </c>
      <c r="R42" s="521"/>
      <c r="S42" s="505"/>
      <c r="T42" s="506"/>
      <c r="U42" s="507">
        <f t="shared" ref="U42" si="12">IF(D42=K42,,"×")</f>
        <v>0</v>
      </c>
    </row>
    <row r="43" spans="2:21" s="463" customFormat="1" ht="24" customHeight="1">
      <c r="B43" s="464"/>
      <c r="C43" s="464" t="s">
        <v>329</v>
      </c>
      <c r="D43" s="465">
        <f t="shared" si="2"/>
        <v>0</v>
      </c>
      <c r="E43" s="466">
        <f t="shared" si="6"/>
        <v>0</v>
      </c>
      <c r="F43" s="466">
        <f t="shared" si="3"/>
        <v>0</v>
      </c>
      <c r="G43" s="466">
        <f t="shared" si="4"/>
        <v>0</v>
      </c>
      <c r="H43" s="467">
        <v>0</v>
      </c>
      <c r="I43" s="469">
        <v>0</v>
      </c>
      <c r="J43" s="469">
        <v>1</v>
      </c>
      <c r="K43" s="468">
        <v>0</v>
      </c>
      <c r="L43" s="486"/>
      <c r="M43" s="487"/>
      <c r="N43" s="487"/>
      <c r="O43" s="487"/>
      <c r="P43" s="487"/>
      <c r="Q43" s="487"/>
      <c r="R43" s="487"/>
      <c r="S43" s="487"/>
      <c r="T43" s="488"/>
      <c r="U43" s="507">
        <f t="shared" si="5"/>
        <v>0</v>
      </c>
    </row>
    <row r="44" spans="2:21" s="463" customFormat="1" ht="24" customHeight="1">
      <c r="B44" s="464"/>
      <c r="C44" s="464" t="s">
        <v>330</v>
      </c>
      <c r="D44" s="465">
        <f t="shared" si="2"/>
        <v>0</v>
      </c>
      <c r="E44" s="466">
        <f t="shared" si="6"/>
        <v>0</v>
      </c>
      <c r="F44" s="466">
        <f t="shared" si="3"/>
        <v>0</v>
      </c>
      <c r="G44" s="466">
        <f t="shared" si="4"/>
        <v>0</v>
      </c>
      <c r="H44" s="467">
        <v>0</v>
      </c>
      <c r="I44" s="469">
        <v>0</v>
      </c>
      <c r="J44" s="469">
        <v>1</v>
      </c>
      <c r="K44" s="468">
        <v>0</v>
      </c>
      <c r="L44" s="486"/>
      <c r="M44" s="487"/>
      <c r="N44" s="487"/>
      <c r="O44" s="487"/>
      <c r="P44" s="487"/>
      <c r="Q44" s="487"/>
      <c r="R44" s="487"/>
      <c r="S44" s="487"/>
      <c r="T44" s="488"/>
      <c r="U44" s="507">
        <f t="shared" si="5"/>
        <v>0</v>
      </c>
    </row>
    <row r="45" spans="2:21" s="463" customFormat="1" ht="24" customHeight="1">
      <c r="B45" s="464"/>
      <c r="C45" s="464" t="s">
        <v>331</v>
      </c>
      <c r="D45" s="465">
        <f t="shared" si="2"/>
        <v>0</v>
      </c>
      <c r="E45" s="466">
        <f t="shared" si="6"/>
        <v>0</v>
      </c>
      <c r="F45" s="466">
        <f t="shared" si="3"/>
        <v>0</v>
      </c>
      <c r="G45" s="466">
        <f t="shared" si="4"/>
        <v>0</v>
      </c>
      <c r="H45" s="467">
        <v>0</v>
      </c>
      <c r="I45" s="469">
        <v>0</v>
      </c>
      <c r="J45" s="469">
        <v>1</v>
      </c>
      <c r="K45" s="468">
        <f>M45*P45</f>
        <v>0</v>
      </c>
      <c r="L45" s="475" t="s">
        <v>349</v>
      </c>
      <c r="M45" s="476">
        <v>0</v>
      </c>
      <c r="N45" s="518" t="s">
        <v>350</v>
      </c>
      <c r="O45" s="519" t="s">
        <v>352</v>
      </c>
      <c r="P45" s="520">
        <v>0</v>
      </c>
      <c r="Q45" s="519" t="s">
        <v>353</v>
      </c>
      <c r="R45" s="521"/>
      <c r="S45" s="505"/>
      <c r="T45" s="506"/>
      <c r="U45" s="507">
        <f t="shared" si="5"/>
        <v>0</v>
      </c>
    </row>
    <row r="46" spans="2:21">
      <c r="K46" s="296"/>
      <c r="L46" s="462"/>
    </row>
    <row r="47" spans="2:21">
      <c r="K47" s="296"/>
      <c r="L47" s="462"/>
    </row>
    <row r="48" spans="2:21">
      <c r="K48" s="296"/>
      <c r="L48" s="462"/>
    </row>
    <row r="49" spans="11:12">
      <c r="K49" s="296"/>
      <c r="L49" s="462"/>
    </row>
    <row r="50" spans="11:12">
      <c r="K50" s="296"/>
      <c r="L50" s="462"/>
    </row>
    <row r="51" spans="11:12">
      <c r="K51" s="296"/>
      <c r="L51" s="462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8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786" t="s">
        <v>93</v>
      </c>
      <c r="B2" s="464" t="s">
        <v>317</v>
      </c>
      <c r="C2" s="465">
        <f>보조금!D19</f>
        <v>64590000</v>
      </c>
    </row>
    <row r="3" spans="1:15" ht="30" customHeight="1">
      <c r="A3" s="786"/>
      <c r="B3" s="464" t="s">
        <v>318</v>
      </c>
      <c r="C3" s="465">
        <f>보조금!D20</f>
        <v>13838000</v>
      </c>
    </row>
    <row r="4" spans="1:15" ht="30" customHeight="1">
      <c r="A4" s="786"/>
      <c r="B4" s="592" t="s">
        <v>340</v>
      </c>
      <c r="C4" s="591">
        <f>SUM(C2:C3)</f>
        <v>78428000</v>
      </c>
      <c r="D4" s="593">
        <f>C4/12</f>
        <v>6535666.666666667</v>
      </c>
      <c r="E4" t="s">
        <v>447</v>
      </c>
    </row>
    <row r="6" spans="1:15" ht="24.95" customHeight="1" thickBot="1">
      <c r="A6" t="s">
        <v>402</v>
      </c>
    </row>
    <row r="7" spans="1:15" ht="24.95" customHeight="1" thickBot="1">
      <c r="A7" s="322" t="s">
        <v>180</v>
      </c>
      <c r="B7" s="597" t="s">
        <v>405</v>
      </c>
      <c r="C7" s="601" t="s">
        <v>392</v>
      </c>
      <c r="D7" s="596" t="s">
        <v>393</v>
      </c>
      <c r="E7" s="596" t="s">
        <v>394</v>
      </c>
      <c r="F7" s="596" t="s">
        <v>395</v>
      </c>
      <c r="G7" s="596" t="s">
        <v>396</v>
      </c>
      <c r="H7" s="596" t="s">
        <v>397</v>
      </c>
      <c r="I7" s="596" t="s">
        <v>398</v>
      </c>
      <c r="J7" s="596" t="s">
        <v>399</v>
      </c>
      <c r="K7" s="596" t="s">
        <v>400</v>
      </c>
      <c r="L7" s="596" t="s">
        <v>401</v>
      </c>
      <c r="M7" s="596" t="s">
        <v>403</v>
      </c>
      <c r="N7" s="611" t="s">
        <v>404</v>
      </c>
      <c r="O7" s="616" t="s">
        <v>340</v>
      </c>
    </row>
    <row r="8" spans="1:15" ht="24.95" customHeight="1">
      <c r="A8" s="598" t="s">
        <v>300</v>
      </c>
      <c r="B8" s="605" t="s">
        <v>439</v>
      </c>
      <c r="C8" s="602">
        <v>0</v>
      </c>
      <c r="D8" s="595">
        <v>150000</v>
      </c>
      <c r="E8" s="595">
        <v>0</v>
      </c>
      <c r="F8" s="595">
        <v>50000</v>
      </c>
      <c r="G8" s="595">
        <v>0</v>
      </c>
      <c r="H8" s="595">
        <v>0</v>
      </c>
      <c r="I8" s="595">
        <v>0</v>
      </c>
      <c r="J8" s="595">
        <v>0</v>
      </c>
      <c r="K8" s="595">
        <v>0</v>
      </c>
      <c r="L8" s="595">
        <v>0</v>
      </c>
      <c r="M8" s="595">
        <v>0</v>
      </c>
      <c r="N8" s="612">
        <v>0</v>
      </c>
      <c r="O8" s="617">
        <f>SUM(C8:N8)</f>
        <v>200000</v>
      </c>
    </row>
    <row r="9" spans="1:15" ht="24.95" customHeight="1">
      <c r="A9" s="599" t="s">
        <v>301</v>
      </c>
      <c r="B9" s="606" t="s">
        <v>301</v>
      </c>
      <c r="C9" s="603">
        <v>100000</v>
      </c>
      <c r="D9" s="594">
        <v>0</v>
      </c>
      <c r="E9" s="594">
        <v>0</v>
      </c>
      <c r="F9" s="594">
        <v>0</v>
      </c>
      <c r="G9" s="594">
        <v>0</v>
      </c>
      <c r="H9" s="594">
        <v>0</v>
      </c>
      <c r="I9" s="594">
        <v>0</v>
      </c>
      <c r="J9" s="594">
        <v>0</v>
      </c>
      <c r="K9" s="594">
        <v>0</v>
      </c>
      <c r="L9" s="594">
        <v>0</v>
      </c>
      <c r="M9" s="594">
        <v>0</v>
      </c>
      <c r="N9" s="613">
        <v>0</v>
      </c>
      <c r="O9" s="618">
        <f t="shared" ref="O9:O46" si="0">SUM(C9:N9)</f>
        <v>100000</v>
      </c>
    </row>
    <row r="10" spans="1:15" ht="24.95" customHeight="1">
      <c r="A10" s="783" t="s">
        <v>406</v>
      </c>
      <c r="B10" s="606" t="s">
        <v>407</v>
      </c>
      <c r="C10" s="603">
        <v>0</v>
      </c>
      <c r="D10" s="594">
        <v>100000</v>
      </c>
      <c r="E10" s="594">
        <v>300000</v>
      </c>
      <c r="F10" s="594"/>
      <c r="G10" s="594">
        <v>100000</v>
      </c>
      <c r="H10" s="594"/>
      <c r="I10" s="594">
        <v>100000</v>
      </c>
      <c r="J10" s="594">
        <v>0</v>
      </c>
      <c r="K10" s="594">
        <v>100000</v>
      </c>
      <c r="L10" s="594">
        <v>100000</v>
      </c>
      <c r="M10" s="594">
        <v>100000</v>
      </c>
      <c r="N10" s="613">
        <v>100000</v>
      </c>
      <c r="O10" s="618">
        <f t="shared" si="0"/>
        <v>1000000</v>
      </c>
    </row>
    <row r="11" spans="1:15" ht="24.95" customHeight="1">
      <c r="A11" s="784"/>
      <c r="B11" s="606" t="s">
        <v>408</v>
      </c>
      <c r="C11" s="603">
        <v>0</v>
      </c>
      <c r="D11" s="594">
        <v>100000</v>
      </c>
      <c r="E11" s="594">
        <v>200000</v>
      </c>
      <c r="F11" s="594"/>
      <c r="G11" s="594">
        <v>100000</v>
      </c>
      <c r="H11" s="594"/>
      <c r="I11" s="594">
        <v>100000</v>
      </c>
      <c r="J11" s="594">
        <v>0</v>
      </c>
      <c r="K11" s="594">
        <v>0</v>
      </c>
      <c r="L11" s="594">
        <v>100000</v>
      </c>
      <c r="M11" s="594">
        <v>100000</v>
      </c>
      <c r="N11" s="613">
        <v>150000</v>
      </c>
      <c r="O11" s="618">
        <f t="shared" si="0"/>
        <v>850000</v>
      </c>
    </row>
    <row r="12" spans="1:15" ht="24.95" customHeight="1">
      <c r="A12" s="784"/>
      <c r="B12" s="606" t="s">
        <v>460</v>
      </c>
      <c r="C12" s="603">
        <v>0</v>
      </c>
      <c r="D12" s="594">
        <v>52660</v>
      </c>
      <c r="E12" s="594">
        <v>200000</v>
      </c>
      <c r="F12" s="594">
        <v>121000</v>
      </c>
      <c r="G12" s="594">
        <v>121000</v>
      </c>
      <c r="H12" s="594">
        <v>121000</v>
      </c>
      <c r="I12" s="594">
        <v>121000</v>
      </c>
      <c r="J12" s="594">
        <v>121000</v>
      </c>
      <c r="K12" s="594">
        <v>121000</v>
      </c>
      <c r="L12" s="594">
        <v>121000</v>
      </c>
      <c r="M12" s="594">
        <v>121000</v>
      </c>
      <c r="N12" s="594">
        <v>121000</v>
      </c>
      <c r="O12" s="618">
        <f t="shared" si="0"/>
        <v>1341660</v>
      </c>
    </row>
    <row r="13" spans="1:15" ht="24.95" customHeight="1">
      <c r="A13" s="784"/>
      <c r="B13" s="606" t="s">
        <v>409</v>
      </c>
      <c r="C13" s="603">
        <v>300000</v>
      </c>
      <c r="D13" s="594"/>
      <c r="E13" s="594">
        <v>100000</v>
      </c>
      <c r="F13" s="594">
        <v>0</v>
      </c>
      <c r="G13" s="594"/>
      <c r="H13" s="594"/>
      <c r="I13" s="594">
        <v>150000</v>
      </c>
      <c r="J13" s="594"/>
      <c r="K13" s="594"/>
      <c r="L13" s="594">
        <v>150000</v>
      </c>
      <c r="M13" s="594"/>
      <c r="N13" s="613"/>
      <c r="O13" s="618">
        <f t="shared" si="0"/>
        <v>700000</v>
      </c>
    </row>
    <row r="14" spans="1:15" ht="24.95" customHeight="1">
      <c r="A14" s="784"/>
      <c r="B14" s="606" t="s">
        <v>410</v>
      </c>
      <c r="C14" s="603">
        <v>200660</v>
      </c>
      <c r="D14" s="594">
        <v>200000</v>
      </c>
      <c r="E14" s="594">
        <v>300000</v>
      </c>
      <c r="F14" s="594">
        <v>0</v>
      </c>
      <c r="G14" s="594">
        <v>200000</v>
      </c>
      <c r="H14" s="594">
        <v>200000</v>
      </c>
      <c r="I14" s="594">
        <v>200000</v>
      </c>
      <c r="J14" s="594">
        <v>200000</v>
      </c>
      <c r="K14" s="594">
        <v>200000</v>
      </c>
      <c r="L14" s="594">
        <v>300000</v>
      </c>
      <c r="M14" s="594">
        <v>200000</v>
      </c>
      <c r="N14" s="613">
        <v>200000</v>
      </c>
      <c r="O14" s="618">
        <f t="shared" si="0"/>
        <v>2400660</v>
      </c>
    </row>
    <row r="15" spans="1:15" ht="24.95" customHeight="1">
      <c r="A15" s="784"/>
      <c r="B15" s="606" t="s">
        <v>443</v>
      </c>
      <c r="C15" s="603">
        <v>0</v>
      </c>
      <c r="D15" s="594">
        <v>0</v>
      </c>
      <c r="E15" s="594">
        <v>152660</v>
      </c>
      <c r="F15" s="594">
        <v>0</v>
      </c>
      <c r="G15" s="594">
        <v>0</v>
      </c>
      <c r="H15" s="594">
        <v>0</v>
      </c>
      <c r="I15" s="594">
        <v>0</v>
      </c>
      <c r="J15" s="594">
        <v>0</v>
      </c>
      <c r="K15" s="594">
        <v>0</v>
      </c>
      <c r="L15" s="594">
        <v>0</v>
      </c>
      <c r="M15" s="594">
        <v>0</v>
      </c>
      <c r="N15" s="613">
        <v>0</v>
      </c>
      <c r="O15" s="618">
        <f t="shared" si="0"/>
        <v>152660</v>
      </c>
    </row>
    <row r="16" spans="1:15" ht="24.95" customHeight="1">
      <c r="A16" s="784"/>
      <c r="B16" s="606" t="s">
        <v>442</v>
      </c>
      <c r="C16" s="603">
        <v>100000</v>
      </c>
      <c r="D16" s="594"/>
      <c r="E16" s="594">
        <v>100000</v>
      </c>
      <c r="F16" s="594"/>
      <c r="G16" s="594">
        <v>135000</v>
      </c>
      <c r="H16" s="594">
        <v>100000</v>
      </c>
      <c r="I16" s="594">
        <v>35000</v>
      </c>
      <c r="J16" s="594">
        <v>85000</v>
      </c>
      <c r="K16" s="594">
        <v>100000</v>
      </c>
      <c r="L16" s="594">
        <v>300000</v>
      </c>
      <c r="M16" s="594"/>
      <c r="N16" s="613">
        <v>137660</v>
      </c>
      <c r="O16" s="618">
        <f t="shared" si="0"/>
        <v>1092660</v>
      </c>
    </row>
    <row r="17" spans="1:15" ht="24.95" customHeight="1">
      <c r="A17" s="784"/>
      <c r="B17" s="608" t="s">
        <v>411</v>
      </c>
      <c r="C17" s="609">
        <v>132000</v>
      </c>
      <c r="D17" s="610">
        <v>132000</v>
      </c>
      <c r="E17" s="610">
        <v>132000</v>
      </c>
      <c r="F17" s="610">
        <v>132000</v>
      </c>
      <c r="G17" s="610">
        <v>132000</v>
      </c>
      <c r="H17" s="610">
        <v>132000</v>
      </c>
      <c r="I17" s="610">
        <v>132000</v>
      </c>
      <c r="J17" s="610">
        <v>132000</v>
      </c>
      <c r="K17" s="610">
        <v>132000</v>
      </c>
      <c r="L17" s="610">
        <v>132000</v>
      </c>
      <c r="M17" s="610">
        <v>132000</v>
      </c>
      <c r="N17" s="614">
        <v>132000</v>
      </c>
      <c r="O17" s="619">
        <f t="shared" si="0"/>
        <v>1584000</v>
      </c>
    </row>
    <row r="18" spans="1:15" ht="24.95" customHeight="1">
      <c r="A18" s="784"/>
      <c r="B18" s="608" t="s">
        <v>412</v>
      </c>
      <c r="C18" s="609">
        <v>300000</v>
      </c>
      <c r="D18" s="610">
        <v>300000</v>
      </c>
      <c r="E18" s="610">
        <v>200000</v>
      </c>
      <c r="F18" s="610">
        <v>300000</v>
      </c>
      <c r="G18" s="610">
        <v>200000</v>
      </c>
      <c r="H18" s="610">
        <v>200000</v>
      </c>
      <c r="I18" s="610">
        <v>200000</v>
      </c>
      <c r="J18" s="610">
        <v>200000</v>
      </c>
      <c r="K18" s="610">
        <v>150000</v>
      </c>
      <c r="L18" s="610">
        <v>150000</v>
      </c>
      <c r="M18" s="610">
        <v>250000</v>
      </c>
      <c r="N18" s="614">
        <v>350000</v>
      </c>
      <c r="O18" s="619">
        <f t="shared" si="0"/>
        <v>2800000</v>
      </c>
    </row>
    <row r="19" spans="1:15" ht="24.95" customHeight="1">
      <c r="A19" s="787"/>
      <c r="B19" s="606" t="s">
        <v>413</v>
      </c>
      <c r="C19" s="603">
        <v>0</v>
      </c>
      <c r="D19" s="594">
        <v>0</v>
      </c>
      <c r="E19" s="594">
        <v>0</v>
      </c>
      <c r="F19" s="594">
        <v>0</v>
      </c>
      <c r="G19" s="594">
        <v>0</v>
      </c>
      <c r="H19" s="594">
        <v>1000000</v>
      </c>
      <c r="I19" s="594">
        <v>1000000</v>
      </c>
      <c r="J19" s="594">
        <v>500000</v>
      </c>
      <c r="K19" s="594">
        <v>0</v>
      </c>
      <c r="L19" s="594">
        <v>0</v>
      </c>
      <c r="M19" s="594">
        <v>0</v>
      </c>
      <c r="N19" s="613">
        <v>0</v>
      </c>
      <c r="O19" s="618">
        <f t="shared" si="0"/>
        <v>2500000</v>
      </c>
    </row>
    <row r="20" spans="1:15" ht="24.95" customHeight="1">
      <c r="A20" s="783" t="s">
        <v>302</v>
      </c>
      <c r="B20" s="608" t="s">
        <v>440</v>
      </c>
      <c r="C20" s="609">
        <v>100000</v>
      </c>
      <c r="D20" s="610">
        <v>100000</v>
      </c>
      <c r="E20" s="610">
        <v>100000</v>
      </c>
      <c r="F20" s="610">
        <v>100000</v>
      </c>
      <c r="G20" s="610">
        <v>100000</v>
      </c>
      <c r="H20" s="610">
        <v>100000</v>
      </c>
      <c r="I20" s="610">
        <v>100000</v>
      </c>
      <c r="J20" s="610">
        <v>100000</v>
      </c>
      <c r="K20" s="610">
        <v>100000</v>
      </c>
      <c r="L20" s="610">
        <v>100000</v>
      </c>
      <c r="M20" s="610">
        <v>100000</v>
      </c>
      <c r="N20" s="614">
        <v>100000</v>
      </c>
      <c r="O20" s="619">
        <f t="shared" si="0"/>
        <v>1200000</v>
      </c>
    </row>
    <row r="21" spans="1:15" ht="24.95" customHeight="1">
      <c r="A21" s="784"/>
      <c r="B21" s="608" t="s">
        <v>441</v>
      </c>
      <c r="C21" s="609">
        <v>1152000</v>
      </c>
      <c r="D21" s="610">
        <v>1400000</v>
      </c>
      <c r="E21" s="610">
        <v>600000</v>
      </c>
      <c r="F21" s="610">
        <v>1200000</v>
      </c>
      <c r="G21" s="610">
        <v>1200000</v>
      </c>
      <c r="H21" s="610">
        <v>1400000</v>
      </c>
      <c r="I21" s="610">
        <v>1600000</v>
      </c>
      <c r="J21" s="610">
        <v>1800000</v>
      </c>
      <c r="K21" s="610">
        <v>1500000</v>
      </c>
      <c r="L21" s="610">
        <v>1200000</v>
      </c>
      <c r="M21" s="610">
        <v>1300000</v>
      </c>
      <c r="N21" s="614">
        <v>1300000</v>
      </c>
      <c r="O21" s="619">
        <f t="shared" si="0"/>
        <v>15652000</v>
      </c>
    </row>
    <row r="22" spans="1:15" ht="24.95" customHeight="1">
      <c r="A22" s="784"/>
      <c r="B22" s="608" t="s">
        <v>414</v>
      </c>
      <c r="C22" s="609">
        <v>800000</v>
      </c>
      <c r="D22" s="610">
        <v>500000</v>
      </c>
      <c r="E22" s="610">
        <v>500000</v>
      </c>
      <c r="F22" s="610">
        <v>500000</v>
      </c>
      <c r="G22" s="610">
        <v>500000</v>
      </c>
      <c r="H22" s="610">
        <v>800000</v>
      </c>
      <c r="I22" s="610">
        <v>800000</v>
      </c>
      <c r="J22" s="610">
        <v>700000</v>
      </c>
      <c r="K22" s="610">
        <v>750000</v>
      </c>
      <c r="L22" s="610">
        <v>700000</v>
      </c>
      <c r="M22" s="610">
        <v>702660</v>
      </c>
      <c r="N22" s="614">
        <v>800000</v>
      </c>
      <c r="O22" s="619">
        <f t="shared" si="0"/>
        <v>8052660</v>
      </c>
    </row>
    <row r="23" spans="1:15" ht="24.95" customHeight="1">
      <c r="A23" s="787"/>
      <c r="B23" s="606" t="s">
        <v>415</v>
      </c>
      <c r="C23" s="603">
        <v>0</v>
      </c>
      <c r="D23" s="594">
        <v>50000</v>
      </c>
      <c r="E23" s="594">
        <v>0</v>
      </c>
      <c r="F23" s="594">
        <v>50660</v>
      </c>
      <c r="G23" s="594">
        <v>0</v>
      </c>
      <c r="H23" s="594">
        <v>2660</v>
      </c>
      <c r="I23" s="594">
        <v>52660</v>
      </c>
      <c r="J23" s="594">
        <v>52660</v>
      </c>
      <c r="K23" s="594">
        <v>52660</v>
      </c>
      <c r="L23" s="594">
        <v>37660</v>
      </c>
      <c r="M23" s="594">
        <v>50000</v>
      </c>
      <c r="N23" s="613">
        <v>0</v>
      </c>
      <c r="O23" s="618">
        <f t="shared" si="0"/>
        <v>348960</v>
      </c>
    </row>
    <row r="24" spans="1:15" ht="24.95" customHeight="1">
      <c r="A24" s="783" t="s">
        <v>416</v>
      </c>
      <c r="B24" s="608" t="s">
        <v>417</v>
      </c>
      <c r="C24" s="609">
        <v>120000</v>
      </c>
      <c r="D24" s="610">
        <v>120000</v>
      </c>
      <c r="E24" s="610">
        <v>120000</v>
      </c>
      <c r="F24" s="610">
        <v>120000</v>
      </c>
      <c r="G24" s="610">
        <v>120000</v>
      </c>
      <c r="H24" s="610">
        <v>120000</v>
      </c>
      <c r="I24" s="610">
        <v>120000</v>
      </c>
      <c r="J24" s="610">
        <v>120000</v>
      </c>
      <c r="K24" s="610">
        <v>120000</v>
      </c>
      <c r="L24" s="610">
        <v>120000</v>
      </c>
      <c r="M24" s="610">
        <v>120000</v>
      </c>
      <c r="N24" s="614">
        <v>120000</v>
      </c>
      <c r="O24" s="619">
        <f t="shared" si="0"/>
        <v>1440000</v>
      </c>
    </row>
    <row r="25" spans="1:15" ht="24.95" customHeight="1">
      <c r="A25" s="784"/>
      <c r="B25" s="608" t="s">
        <v>418</v>
      </c>
      <c r="C25" s="609">
        <v>120000</v>
      </c>
      <c r="D25" s="610">
        <v>120000</v>
      </c>
      <c r="E25" s="610">
        <v>120000</v>
      </c>
      <c r="F25" s="610">
        <v>120000</v>
      </c>
      <c r="G25" s="610">
        <v>120000</v>
      </c>
      <c r="H25" s="610">
        <v>120000</v>
      </c>
      <c r="I25" s="610">
        <v>120000</v>
      </c>
      <c r="J25" s="610">
        <v>120000</v>
      </c>
      <c r="K25" s="610">
        <v>120000</v>
      </c>
      <c r="L25" s="610">
        <v>120000</v>
      </c>
      <c r="M25" s="610">
        <v>120000</v>
      </c>
      <c r="N25" s="614">
        <v>120000</v>
      </c>
      <c r="O25" s="619">
        <f t="shared" si="0"/>
        <v>1440000</v>
      </c>
    </row>
    <row r="26" spans="1:15" ht="24.95" customHeight="1">
      <c r="A26" s="784"/>
      <c r="B26" s="606" t="s">
        <v>419</v>
      </c>
      <c r="C26" s="603"/>
      <c r="D26" s="594"/>
      <c r="E26" s="594">
        <v>450000</v>
      </c>
      <c r="F26" s="594"/>
      <c r="G26" s="594">
        <v>400000</v>
      </c>
      <c r="H26" s="594"/>
      <c r="I26" s="594">
        <v>300000</v>
      </c>
      <c r="J26" s="594"/>
      <c r="K26" s="594"/>
      <c r="L26" s="594">
        <v>600000</v>
      </c>
      <c r="M26" s="594">
        <v>700000</v>
      </c>
      <c r="N26" s="613"/>
      <c r="O26" s="618">
        <f t="shared" si="0"/>
        <v>2450000</v>
      </c>
    </row>
    <row r="27" spans="1:15" ht="24.95" customHeight="1">
      <c r="A27" s="784"/>
      <c r="B27" s="606" t="s">
        <v>420</v>
      </c>
      <c r="C27" s="603"/>
      <c r="D27" s="594"/>
      <c r="E27" s="594">
        <v>200000</v>
      </c>
      <c r="F27" s="594"/>
      <c r="G27" s="594"/>
      <c r="H27" s="594"/>
      <c r="I27" s="594"/>
      <c r="J27" s="594"/>
      <c r="K27" s="594"/>
      <c r="L27" s="594"/>
      <c r="M27" s="594"/>
      <c r="N27" s="613"/>
      <c r="O27" s="618">
        <f t="shared" si="0"/>
        <v>200000</v>
      </c>
    </row>
    <row r="28" spans="1:15" ht="24.95" customHeight="1">
      <c r="A28" s="784"/>
      <c r="B28" s="606" t="s">
        <v>421</v>
      </c>
      <c r="C28" s="603"/>
      <c r="D28" s="594"/>
      <c r="E28" s="594">
        <v>550000</v>
      </c>
      <c r="F28" s="594"/>
      <c r="G28" s="594"/>
      <c r="H28" s="594"/>
      <c r="I28" s="594"/>
      <c r="J28" s="594"/>
      <c r="K28" s="594"/>
      <c r="L28" s="594"/>
      <c r="M28" s="594"/>
      <c r="N28" s="613"/>
      <c r="O28" s="618">
        <f t="shared" si="0"/>
        <v>550000</v>
      </c>
    </row>
    <row r="29" spans="1:15" ht="24.95" customHeight="1">
      <c r="A29" s="784"/>
      <c r="B29" s="606" t="s">
        <v>422</v>
      </c>
      <c r="C29" s="603"/>
      <c r="D29" s="594"/>
      <c r="E29" s="594"/>
      <c r="F29" s="594"/>
      <c r="G29" s="594"/>
      <c r="H29" s="594">
        <v>350000</v>
      </c>
      <c r="I29" s="594"/>
      <c r="J29" s="594"/>
      <c r="K29" s="594"/>
      <c r="L29" s="594"/>
      <c r="M29" s="594"/>
      <c r="N29" s="613"/>
      <c r="O29" s="618">
        <f t="shared" si="0"/>
        <v>350000</v>
      </c>
    </row>
    <row r="30" spans="1:15" ht="24.95" customHeight="1">
      <c r="A30" s="784"/>
      <c r="B30" s="606" t="s">
        <v>423</v>
      </c>
      <c r="C30" s="603"/>
      <c r="D30" s="594"/>
      <c r="E30" s="594">
        <v>460000</v>
      </c>
      <c r="F30" s="594"/>
      <c r="G30" s="594"/>
      <c r="H30" s="594"/>
      <c r="I30" s="594"/>
      <c r="J30" s="594"/>
      <c r="K30" s="594">
        <v>400000</v>
      </c>
      <c r="L30" s="594"/>
      <c r="M30" s="594"/>
      <c r="N30" s="613"/>
      <c r="O30" s="618">
        <f t="shared" si="0"/>
        <v>860000</v>
      </c>
    </row>
    <row r="31" spans="1:15" ht="24.95" customHeight="1">
      <c r="A31" s="787"/>
      <c r="B31" s="606" t="s">
        <v>424</v>
      </c>
      <c r="C31" s="603"/>
      <c r="D31" s="594"/>
      <c r="E31" s="594"/>
      <c r="F31" s="594"/>
      <c r="G31" s="594"/>
      <c r="H31" s="594"/>
      <c r="I31" s="594">
        <v>0</v>
      </c>
      <c r="J31" s="594">
        <v>100000</v>
      </c>
      <c r="K31" s="594">
        <v>0</v>
      </c>
      <c r="L31" s="594">
        <v>200000</v>
      </c>
      <c r="M31" s="594">
        <v>0</v>
      </c>
      <c r="N31" s="613">
        <v>0</v>
      </c>
      <c r="O31" s="618">
        <f t="shared" si="0"/>
        <v>300000</v>
      </c>
    </row>
    <row r="32" spans="1:15" ht="24.95" customHeight="1">
      <c r="A32" s="599" t="s">
        <v>303</v>
      </c>
      <c r="B32" s="606" t="s">
        <v>425</v>
      </c>
      <c r="C32" s="603">
        <v>0</v>
      </c>
      <c r="D32" s="594">
        <v>200000</v>
      </c>
      <c r="E32" s="594">
        <v>0</v>
      </c>
      <c r="F32" s="594">
        <v>200000</v>
      </c>
      <c r="G32" s="594">
        <v>100000</v>
      </c>
      <c r="H32" s="594">
        <v>100000</v>
      </c>
      <c r="I32" s="594">
        <v>200000</v>
      </c>
      <c r="J32" s="594">
        <v>100000</v>
      </c>
      <c r="K32" s="594">
        <v>200000</v>
      </c>
      <c r="L32" s="594">
        <v>0</v>
      </c>
      <c r="M32" s="594">
        <v>200000</v>
      </c>
      <c r="N32" s="613">
        <v>100000</v>
      </c>
      <c r="O32" s="618">
        <f t="shared" si="0"/>
        <v>1400000</v>
      </c>
    </row>
    <row r="33" spans="1:15" ht="24.95" customHeight="1">
      <c r="A33" s="599" t="s">
        <v>88</v>
      </c>
      <c r="B33" s="606" t="s">
        <v>453</v>
      </c>
      <c r="C33" s="603">
        <v>0</v>
      </c>
      <c r="D33" s="594">
        <v>100000</v>
      </c>
      <c r="E33" s="594">
        <v>75000</v>
      </c>
      <c r="F33" s="594">
        <v>85000</v>
      </c>
      <c r="G33" s="594">
        <v>100000</v>
      </c>
      <c r="H33" s="594">
        <v>100000</v>
      </c>
      <c r="I33" s="594">
        <v>0</v>
      </c>
      <c r="J33" s="594">
        <v>0</v>
      </c>
      <c r="K33" s="594">
        <v>100000</v>
      </c>
      <c r="L33" s="594">
        <v>0</v>
      </c>
      <c r="M33" s="594">
        <v>0</v>
      </c>
      <c r="N33" s="613">
        <v>0</v>
      </c>
      <c r="O33" s="618">
        <f t="shared" si="0"/>
        <v>560000</v>
      </c>
    </row>
    <row r="34" spans="1:15" ht="24.95" customHeight="1">
      <c r="A34" s="783" t="s">
        <v>426</v>
      </c>
      <c r="B34" s="608" t="s">
        <v>427</v>
      </c>
      <c r="C34" s="609">
        <v>176000</v>
      </c>
      <c r="D34" s="610">
        <v>176000</v>
      </c>
      <c r="E34" s="610">
        <v>176000</v>
      </c>
      <c r="F34" s="610">
        <v>176000</v>
      </c>
      <c r="G34" s="610">
        <v>176000</v>
      </c>
      <c r="H34" s="610">
        <v>176000</v>
      </c>
      <c r="I34" s="610">
        <v>176000</v>
      </c>
      <c r="J34" s="610">
        <v>176000</v>
      </c>
      <c r="K34" s="610">
        <v>176000</v>
      </c>
      <c r="L34" s="610">
        <v>176000</v>
      </c>
      <c r="M34" s="610">
        <v>176000</v>
      </c>
      <c r="N34" s="614">
        <v>176000</v>
      </c>
      <c r="O34" s="619">
        <f t="shared" si="0"/>
        <v>2112000</v>
      </c>
    </row>
    <row r="35" spans="1:15" ht="24.95" customHeight="1">
      <c r="A35" s="787"/>
      <c r="B35" s="608" t="s">
        <v>428</v>
      </c>
      <c r="C35" s="609">
        <v>0</v>
      </c>
      <c r="D35" s="610">
        <v>100000</v>
      </c>
      <c r="E35" s="610">
        <v>100000</v>
      </c>
      <c r="F35" s="610">
        <v>100000</v>
      </c>
      <c r="G35" s="610">
        <v>100000</v>
      </c>
      <c r="H35" s="610">
        <v>100000</v>
      </c>
      <c r="I35" s="610">
        <v>100000</v>
      </c>
      <c r="J35" s="610">
        <v>100000</v>
      </c>
      <c r="K35" s="610">
        <v>100000</v>
      </c>
      <c r="L35" s="610">
        <v>100000</v>
      </c>
      <c r="M35" s="610">
        <v>100000</v>
      </c>
      <c r="N35" s="614">
        <v>100000</v>
      </c>
      <c r="O35" s="619">
        <f t="shared" si="0"/>
        <v>1100000</v>
      </c>
    </row>
    <row r="36" spans="1:15" ht="24.95" customHeight="1">
      <c r="A36" s="783" t="s">
        <v>429</v>
      </c>
      <c r="B36" s="606" t="s">
        <v>430</v>
      </c>
      <c r="C36" s="603">
        <v>300000</v>
      </c>
      <c r="D36" s="594">
        <v>300000</v>
      </c>
      <c r="E36" s="594">
        <v>1300000</v>
      </c>
      <c r="F36" s="594">
        <v>300000</v>
      </c>
      <c r="G36" s="594">
        <v>0</v>
      </c>
      <c r="H36" s="594">
        <v>300000</v>
      </c>
      <c r="I36" s="594">
        <v>300000</v>
      </c>
      <c r="J36" s="594">
        <v>300000</v>
      </c>
      <c r="K36" s="594">
        <v>300000</v>
      </c>
      <c r="L36" s="594">
        <v>450000</v>
      </c>
      <c r="M36" s="594">
        <v>400000</v>
      </c>
      <c r="N36" s="613">
        <v>300000</v>
      </c>
      <c r="O36" s="618">
        <f t="shared" si="0"/>
        <v>4550000</v>
      </c>
    </row>
    <row r="37" spans="1:15" ht="24.95" customHeight="1">
      <c r="A37" s="784"/>
      <c r="B37" s="606" t="s">
        <v>431</v>
      </c>
      <c r="C37" s="603">
        <v>0</v>
      </c>
      <c r="D37" s="594">
        <v>100000</v>
      </c>
      <c r="E37" s="594"/>
      <c r="F37" s="594">
        <v>0</v>
      </c>
      <c r="G37" s="594"/>
      <c r="H37" s="594">
        <v>0</v>
      </c>
      <c r="I37" s="594"/>
      <c r="J37" s="594">
        <v>0</v>
      </c>
      <c r="K37" s="594">
        <v>0</v>
      </c>
      <c r="L37" s="594">
        <v>0</v>
      </c>
      <c r="M37" s="594"/>
      <c r="N37" s="613"/>
      <c r="O37" s="618">
        <f t="shared" si="0"/>
        <v>100000</v>
      </c>
    </row>
    <row r="38" spans="1:15" ht="24.95" customHeight="1">
      <c r="A38" s="784"/>
      <c r="B38" s="606" t="s">
        <v>432</v>
      </c>
      <c r="C38" s="603">
        <v>100000</v>
      </c>
      <c r="D38" s="594">
        <v>100000</v>
      </c>
      <c r="E38" s="594">
        <v>100000</v>
      </c>
      <c r="F38" s="594">
        <v>100000</v>
      </c>
      <c r="G38" s="594">
        <v>100000</v>
      </c>
      <c r="H38" s="594">
        <v>100000</v>
      </c>
      <c r="I38" s="594">
        <v>100000</v>
      </c>
      <c r="J38" s="594">
        <v>100000</v>
      </c>
      <c r="K38" s="594">
        <v>100000</v>
      </c>
      <c r="L38" s="594">
        <v>100000</v>
      </c>
      <c r="M38" s="594">
        <v>100000</v>
      </c>
      <c r="N38" s="613">
        <v>100000</v>
      </c>
      <c r="O38" s="618">
        <f t="shared" si="0"/>
        <v>1200000</v>
      </c>
    </row>
    <row r="39" spans="1:15" ht="24.95" customHeight="1">
      <c r="A39" s="784"/>
      <c r="B39" s="606" t="s">
        <v>433</v>
      </c>
      <c r="C39" s="603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613"/>
      <c r="O39" s="618">
        <f t="shared" si="0"/>
        <v>0</v>
      </c>
    </row>
    <row r="40" spans="1:15" ht="24.95" customHeight="1">
      <c r="A40" s="787"/>
      <c r="B40" s="606" t="s">
        <v>434</v>
      </c>
      <c r="C40" s="603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613"/>
      <c r="O40" s="618">
        <f t="shared" si="0"/>
        <v>0</v>
      </c>
    </row>
    <row r="41" spans="1:15" ht="24.95" customHeight="1">
      <c r="A41" s="599" t="s">
        <v>435</v>
      </c>
      <c r="B41" s="606" t="s">
        <v>436</v>
      </c>
      <c r="C41" s="603">
        <v>300000</v>
      </c>
      <c r="D41" s="594">
        <v>0</v>
      </c>
      <c r="E41" s="594">
        <v>0</v>
      </c>
      <c r="F41" s="594">
        <v>0</v>
      </c>
      <c r="G41" s="594">
        <v>0</v>
      </c>
      <c r="H41" s="594">
        <v>185000</v>
      </c>
      <c r="I41" s="594">
        <v>100000</v>
      </c>
      <c r="J41" s="594">
        <v>0</v>
      </c>
      <c r="K41" s="594">
        <v>100000</v>
      </c>
      <c r="L41" s="594">
        <v>0</v>
      </c>
      <c r="M41" s="594">
        <v>100000</v>
      </c>
      <c r="N41" s="613">
        <v>100000</v>
      </c>
      <c r="O41" s="618">
        <f t="shared" si="0"/>
        <v>885000</v>
      </c>
    </row>
    <row r="42" spans="1:15" ht="24.95" customHeight="1">
      <c r="A42" s="783" t="s">
        <v>444</v>
      </c>
      <c r="B42" s="608" t="s">
        <v>445</v>
      </c>
      <c r="C42" s="609">
        <v>2235000</v>
      </c>
      <c r="D42" s="610">
        <v>1800000</v>
      </c>
      <c r="E42" s="610">
        <v>0</v>
      </c>
      <c r="F42" s="610">
        <v>1400000</v>
      </c>
      <c r="G42" s="610">
        <v>900000</v>
      </c>
      <c r="H42" s="610">
        <v>600000</v>
      </c>
      <c r="I42" s="610">
        <v>400000</v>
      </c>
      <c r="J42" s="610">
        <v>400000</v>
      </c>
      <c r="K42" s="610">
        <v>800000</v>
      </c>
      <c r="L42" s="610">
        <v>0</v>
      </c>
      <c r="M42" s="610">
        <v>1235000</v>
      </c>
      <c r="N42" s="614">
        <v>1700000</v>
      </c>
      <c r="O42" s="619">
        <f t="shared" si="0"/>
        <v>11470000</v>
      </c>
    </row>
    <row r="43" spans="1:15" ht="24.95" customHeight="1">
      <c r="A43" s="787"/>
      <c r="B43" s="608" t="s">
        <v>446</v>
      </c>
      <c r="C43" s="609">
        <v>0</v>
      </c>
      <c r="D43" s="610">
        <v>335000</v>
      </c>
      <c r="E43" s="610">
        <v>0</v>
      </c>
      <c r="F43" s="610">
        <v>350000</v>
      </c>
      <c r="G43" s="610">
        <v>300000</v>
      </c>
      <c r="H43" s="610">
        <v>550000</v>
      </c>
      <c r="I43" s="610">
        <v>0</v>
      </c>
      <c r="J43" s="610">
        <v>250000</v>
      </c>
      <c r="K43" s="610">
        <v>235000</v>
      </c>
      <c r="L43" s="610">
        <v>550000</v>
      </c>
      <c r="M43" s="610">
        <v>50000</v>
      </c>
      <c r="N43" s="614">
        <v>50000</v>
      </c>
      <c r="O43" s="619">
        <f t="shared" si="0"/>
        <v>2670000</v>
      </c>
    </row>
    <row r="44" spans="1:15" ht="24.95" customHeight="1">
      <c r="A44" s="783" t="s">
        <v>437</v>
      </c>
      <c r="B44" s="606" t="s">
        <v>461</v>
      </c>
      <c r="C44" s="603"/>
      <c r="D44" s="594"/>
      <c r="E44" s="594"/>
      <c r="F44" s="594">
        <v>1000000</v>
      </c>
      <c r="G44" s="594">
        <v>1000000</v>
      </c>
      <c r="H44" s="594"/>
      <c r="I44" s="594"/>
      <c r="J44" s="594"/>
      <c r="K44" s="594">
        <v>0</v>
      </c>
      <c r="L44" s="594"/>
      <c r="M44" s="594"/>
      <c r="N44" s="613"/>
      <c r="O44" s="618">
        <f t="shared" si="0"/>
        <v>2000000</v>
      </c>
    </row>
    <row r="45" spans="1:15" ht="24.95" customHeight="1">
      <c r="A45" s="784"/>
      <c r="B45" s="606" t="s">
        <v>448</v>
      </c>
      <c r="C45" s="603">
        <v>0</v>
      </c>
      <c r="D45" s="594">
        <v>0</v>
      </c>
      <c r="E45" s="594">
        <v>0</v>
      </c>
      <c r="F45" s="594">
        <v>0</v>
      </c>
      <c r="G45" s="594">
        <v>0</v>
      </c>
      <c r="H45" s="594">
        <v>0</v>
      </c>
      <c r="I45" s="594">
        <v>0</v>
      </c>
      <c r="J45" s="594">
        <v>0</v>
      </c>
      <c r="K45" s="594">
        <v>0</v>
      </c>
      <c r="L45" s="594">
        <v>400000</v>
      </c>
      <c r="M45" s="594">
        <v>0</v>
      </c>
      <c r="N45" s="613">
        <v>0</v>
      </c>
      <c r="O45" s="618">
        <f t="shared" si="0"/>
        <v>400000</v>
      </c>
    </row>
    <row r="46" spans="1:15" ht="24.95" customHeight="1" thickBot="1">
      <c r="A46" s="785"/>
      <c r="B46" s="607" t="s">
        <v>438</v>
      </c>
      <c r="C46" s="604">
        <v>0</v>
      </c>
      <c r="D46" s="600">
        <v>0</v>
      </c>
      <c r="E46" s="600"/>
      <c r="F46" s="600">
        <v>100000</v>
      </c>
      <c r="G46" s="600">
        <v>100000</v>
      </c>
      <c r="H46" s="600">
        <v>300000</v>
      </c>
      <c r="I46" s="600">
        <v>100000</v>
      </c>
      <c r="J46" s="600">
        <v>100000</v>
      </c>
      <c r="K46" s="600">
        <v>300000</v>
      </c>
      <c r="L46" s="600">
        <v>100000</v>
      </c>
      <c r="M46" s="600">
        <v>100000</v>
      </c>
      <c r="N46" s="615">
        <v>300000</v>
      </c>
      <c r="O46" s="620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90">
        <f>SUM(C48:N48)</f>
        <v>78427920</v>
      </c>
    </row>
    <row r="49" spans="3:14" ht="24.95" customHeight="1">
      <c r="C49" s="590">
        <f>C48-C47</f>
        <v>0</v>
      </c>
      <c r="D49" s="590">
        <f t="shared" ref="D49:N49" si="4">D48-D47</f>
        <v>0</v>
      </c>
      <c r="E49" s="590">
        <f t="shared" si="4"/>
        <v>0</v>
      </c>
      <c r="F49" s="590">
        <f t="shared" si="4"/>
        <v>31000</v>
      </c>
      <c r="G49" s="590">
        <f t="shared" si="4"/>
        <v>231660</v>
      </c>
      <c r="H49" s="590">
        <f t="shared" si="4"/>
        <v>-621000</v>
      </c>
      <c r="I49" s="590">
        <f t="shared" si="4"/>
        <v>-71000</v>
      </c>
      <c r="J49" s="590">
        <f t="shared" si="4"/>
        <v>779000</v>
      </c>
      <c r="K49" s="590">
        <f t="shared" si="4"/>
        <v>279000</v>
      </c>
      <c r="L49" s="590">
        <f>L48-L47</f>
        <v>229000</v>
      </c>
      <c r="M49" s="590">
        <f t="shared" si="4"/>
        <v>79000</v>
      </c>
      <c r="N49" s="590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32" sqref="B32"/>
    </sheetView>
  </sheetViews>
  <sheetFormatPr defaultRowHeight="16.5"/>
  <cols>
    <col min="1" max="1" width="13.44140625" style="679" bestFit="1" customWidth="1"/>
    <col min="2" max="6" width="12.6640625" style="679" bestFit="1" customWidth="1"/>
    <col min="7" max="7" width="10.5546875" style="679" bestFit="1" customWidth="1"/>
    <col min="8" max="16384" width="8.88671875" style="679"/>
  </cols>
  <sheetData>
    <row r="1" spans="1:7" ht="20.100000000000001" customHeight="1">
      <c r="A1" s="788" t="s">
        <v>613</v>
      </c>
      <c r="B1" s="788"/>
      <c r="C1" s="788"/>
      <c r="D1" s="788"/>
      <c r="E1" s="788"/>
      <c r="F1" s="788"/>
    </row>
    <row r="2" spans="1:7" ht="20.100000000000001" customHeight="1">
      <c r="A2" s="681" t="s">
        <v>612</v>
      </c>
      <c r="B2" s="681" t="s">
        <v>611</v>
      </c>
      <c r="C2" s="681" t="s">
        <v>610</v>
      </c>
      <c r="D2" s="681" t="s">
        <v>609</v>
      </c>
      <c r="E2" s="681" t="s">
        <v>608</v>
      </c>
      <c r="F2" s="681" t="s">
        <v>607</v>
      </c>
    </row>
    <row r="3" spans="1:7" ht="20.100000000000001" customHeight="1">
      <c r="A3" s="683" t="s">
        <v>606</v>
      </c>
      <c r="B3" s="682">
        <v>5829000</v>
      </c>
      <c r="C3" s="682">
        <v>5943000</v>
      </c>
      <c r="D3" s="682">
        <v>5517000</v>
      </c>
      <c r="E3" s="682">
        <v>5778000</v>
      </c>
      <c r="F3" s="682">
        <f t="shared" ref="F3:F13" si="0">SUM(B3:E3)</f>
        <v>23067000</v>
      </c>
    </row>
    <row r="4" spans="1:7" ht="20.100000000000001" customHeight="1">
      <c r="A4" s="683" t="s">
        <v>605</v>
      </c>
      <c r="B4" s="682">
        <v>0</v>
      </c>
      <c r="C4" s="682">
        <v>360000</v>
      </c>
      <c r="D4" s="682">
        <v>60000</v>
      </c>
      <c r="E4" s="682">
        <v>60000</v>
      </c>
      <c r="F4" s="682">
        <f t="shared" si="0"/>
        <v>480000</v>
      </c>
    </row>
    <row r="5" spans="1:7" ht="20.100000000000001" customHeight="1">
      <c r="A5" s="683" t="s">
        <v>604</v>
      </c>
      <c r="B5" s="682">
        <v>1165800</v>
      </c>
      <c r="C5" s="682">
        <v>11400</v>
      </c>
      <c r="D5" s="682">
        <v>1155600</v>
      </c>
      <c r="E5" s="682">
        <v>0</v>
      </c>
      <c r="F5" s="682">
        <f t="shared" si="0"/>
        <v>2332800</v>
      </c>
    </row>
    <row r="6" spans="1:7" ht="20.100000000000001" customHeight="1">
      <c r="A6" s="683" t="s">
        <v>603</v>
      </c>
      <c r="B6" s="682">
        <v>697000</v>
      </c>
      <c r="C6" s="682">
        <v>1057810</v>
      </c>
      <c r="D6" s="682">
        <v>885310</v>
      </c>
      <c r="E6" s="682">
        <v>1368740</v>
      </c>
      <c r="F6" s="682">
        <f t="shared" si="0"/>
        <v>4008860</v>
      </c>
    </row>
    <row r="7" spans="1:7" ht="20.100000000000001" customHeight="1">
      <c r="A7" s="683" t="s">
        <v>602</v>
      </c>
      <c r="B7" s="682">
        <v>665980</v>
      </c>
      <c r="C7" s="682">
        <v>639320</v>
      </c>
      <c r="D7" s="682">
        <v>659820</v>
      </c>
      <c r="E7" s="682">
        <v>625550</v>
      </c>
      <c r="F7" s="682">
        <f t="shared" si="0"/>
        <v>2590670</v>
      </c>
    </row>
    <row r="8" spans="1:7" ht="20.100000000000001" customHeight="1">
      <c r="A8" s="683" t="s">
        <v>601</v>
      </c>
      <c r="B8" s="682">
        <v>294690</v>
      </c>
      <c r="C8" s="682">
        <v>294690</v>
      </c>
      <c r="D8" s="682">
        <v>297000</v>
      </c>
      <c r="E8" s="682">
        <v>297770</v>
      </c>
      <c r="F8" s="682">
        <f t="shared" si="0"/>
        <v>1184150</v>
      </c>
    </row>
    <row r="9" spans="1:7" ht="20.100000000000001" customHeight="1">
      <c r="A9" s="683" t="s">
        <v>600</v>
      </c>
      <c r="B9" s="682">
        <v>216630</v>
      </c>
      <c r="C9" s="682">
        <v>369570</v>
      </c>
      <c r="D9" s="682">
        <v>365160</v>
      </c>
      <c r="E9" s="682">
        <v>110150</v>
      </c>
      <c r="F9" s="682">
        <f t="shared" si="0"/>
        <v>1061510</v>
      </c>
    </row>
    <row r="10" spans="1:7" ht="20.100000000000001" customHeight="1">
      <c r="A10" s="683" t="s">
        <v>599</v>
      </c>
      <c r="B10" s="682">
        <v>60270</v>
      </c>
      <c r="C10" s="682">
        <v>60270</v>
      </c>
      <c r="D10" s="682">
        <v>59400</v>
      </c>
      <c r="E10" s="682">
        <v>92660</v>
      </c>
      <c r="F10" s="682">
        <f t="shared" si="0"/>
        <v>272600</v>
      </c>
    </row>
    <row r="11" spans="1:7" ht="20.100000000000001" customHeight="1">
      <c r="A11" s="683" t="s">
        <v>598</v>
      </c>
      <c r="B11" s="682">
        <v>52260</v>
      </c>
      <c r="C11" s="682">
        <v>52710</v>
      </c>
      <c r="D11" s="682">
        <v>50160</v>
      </c>
      <c r="E11" s="682">
        <v>78440</v>
      </c>
      <c r="F11" s="682">
        <f t="shared" si="0"/>
        <v>233570</v>
      </c>
    </row>
    <row r="12" spans="1:7" ht="20.100000000000001" customHeight="1">
      <c r="A12" s="683" t="s">
        <v>597</v>
      </c>
      <c r="B12" s="682">
        <v>300000</v>
      </c>
      <c r="C12" s="682">
        <v>300000</v>
      </c>
      <c r="D12" s="682">
        <v>300000</v>
      </c>
      <c r="E12" s="682">
        <v>300000</v>
      </c>
      <c r="F12" s="682">
        <f t="shared" si="0"/>
        <v>1200000</v>
      </c>
    </row>
    <row r="13" spans="1:7" ht="20.100000000000001" customHeight="1">
      <c r="A13" s="683" t="s">
        <v>596</v>
      </c>
      <c r="B13" s="682">
        <v>300000</v>
      </c>
      <c r="C13" s="682">
        <v>0</v>
      </c>
      <c r="D13" s="682">
        <v>0</v>
      </c>
      <c r="E13" s="682">
        <v>0</v>
      </c>
      <c r="F13" s="682">
        <f t="shared" si="0"/>
        <v>300000</v>
      </c>
    </row>
    <row r="14" spans="1:7" ht="17.25" thickBot="1">
      <c r="A14" s="683"/>
      <c r="B14" s="682"/>
      <c r="C14" s="682"/>
      <c r="D14" s="682"/>
      <c r="E14" s="682"/>
      <c r="F14" s="682"/>
    </row>
    <row r="15" spans="1:7" ht="20.100000000000001" customHeight="1" thickBot="1">
      <c r="A15" s="681" t="s">
        <v>585</v>
      </c>
      <c r="B15" s="680">
        <f>SUM(B3:B14)</f>
        <v>9581630</v>
      </c>
      <c r="C15" s="680">
        <f>SUM(C3:C14)</f>
        <v>9088770</v>
      </c>
      <c r="D15" s="680">
        <f>SUM(D3:D14)</f>
        <v>9349450</v>
      </c>
      <c r="E15" s="680">
        <f>SUM(E3:E14)</f>
        <v>8711310</v>
      </c>
      <c r="F15" s="684">
        <f>SUM(B15:E15)</f>
        <v>36731160</v>
      </c>
      <c r="G15" s="685">
        <f>SUM(F3:F13)</f>
        <v>36731160</v>
      </c>
    </row>
    <row r="16" spans="1:7">
      <c r="A16" s="683"/>
      <c r="B16" s="682"/>
      <c r="C16" s="682"/>
      <c r="D16" s="682"/>
      <c r="E16" s="682"/>
      <c r="F16" s="682"/>
    </row>
    <row r="17" spans="1:7" ht="20.100000000000001" customHeight="1">
      <c r="A17" s="683" t="s">
        <v>595</v>
      </c>
      <c r="B17" s="682">
        <v>110700</v>
      </c>
      <c r="C17" s="682">
        <v>110700</v>
      </c>
      <c r="D17" s="682">
        <v>110700</v>
      </c>
      <c r="E17" s="682">
        <v>110700</v>
      </c>
      <c r="F17" s="682">
        <f t="shared" ref="F17:F28" si="1">SUM(B17:E17)</f>
        <v>442800</v>
      </c>
    </row>
    <row r="18" spans="1:7" ht="20.100000000000001" customHeight="1">
      <c r="A18" s="683" t="s">
        <v>594</v>
      </c>
      <c r="B18" s="682">
        <v>510000</v>
      </c>
      <c r="C18" s="682">
        <v>510000</v>
      </c>
      <c r="D18" s="682">
        <v>510000</v>
      </c>
      <c r="E18" s="682">
        <v>664710</v>
      </c>
      <c r="F18" s="682">
        <f t="shared" si="1"/>
        <v>2194710</v>
      </c>
    </row>
    <row r="19" spans="1:7" ht="20.100000000000001" customHeight="1">
      <c r="A19" s="683" t="s">
        <v>593</v>
      </c>
      <c r="B19" s="682">
        <v>1050000</v>
      </c>
      <c r="C19" s="682">
        <v>650000</v>
      </c>
      <c r="D19" s="682">
        <v>500000</v>
      </c>
      <c r="E19" s="682">
        <v>650000</v>
      </c>
      <c r="F19" s="682">
        <f t="shared" si="1"/>
        <v>2850000</v>
      </c>
    </row>
    <row r="20" spans="1:7" ht="20.100000000000001" customHeight="1">
      <c r="A20" s="683" t="s">
        <v>592</v>
      </c>
      <c r="B20" s="682">
        <v>123000</v>
      </c>
      <c r="C20" s="682">
        <v>123000</v>
      </c>
      <c r="D20" s="682">
        <v>123000</v>
      </c>
      <c r="E20" s="682">
        <v>120000</v>
      </c>
      <c r="F20" s="682">
        <f t="shared" si="1"/>
        <v>489000</v>
      </c>
    </row>
    <row r="21" spans="1:7" ht="20.100000000000001" customHeight="1">
      <c r="A21" s="683" t="s">
        <v>591</v>
      </c>
      <c r="B21" s="682">
        <v>2400000</v>
      </c>
      <c r="C21" s="682">
        <v>2400000</v>
      </c>
      <c r="D21" s="682">
        <v>1300000</v>
      </c>
      <c r="E21" s="682">
        <v>1173440</v>
      </c>
      <c r="F21" s="682">
        <f t="shared" si="1"/>
        <v>7273440</v>
      </c>
    </row>
    <row r="22" spans="1:7" ht="20.100000000000001" customHeight="1">
      <c r="A22" s="683" t="s">
        <v>590</v>
      </c>
      <c r="B22" s="682">
        <v>0</v>
      </c>
      <c r="C22" s="682">
        <v>0</v>
      </c>
      <c r="D22" s="682">
        <v>750000</v>
      </c>
      <c r="E22" s="682">
        <v>0</v>
      </c>
      <c r="F22" s="682">
        <f t="shared" si="1"/>
        <v>750000</v>
      </c>
    </row>
    <row r="23" spans="1:7" ht="20.100000000000001" customHeight="1">
      <c r="A23" s="683" t="s">
        <v>589</v>
      </c>
      <c r="B23" s="682">
        <v>300000</v>
      </c>
      <c r="C23" s="682">
        <v>270000</v>
      </c>
      <c r="D23" s="682">
        <v>270000</v>
      </c>
      <c r="E23" s="682">
        <v>180000</v>
      </c>
      <c r="F23" s="682">
        <f t="shared" si="1"/>
        <v>1020000</v>
      </c>
    </row>
    <row r="24" spans="1:7" ht="20.100000000000001" customHeight="1">
      <c r="A24" s="683" t="s">
        <v>588</v>
      </c>
      <c r="B24" s="682">
        <v>250000</v>
      </c>
      <c r="C24" s="682">
        <v>0</v>
      </c>
      <c r="D24" s="682">
        <v>350000</v>
      </c>
      <c r="E24" s="682">
        <v>400000</v>
      </c>
      <c r="F24" s="682">
        <f t="shared" si="1"/>
        <v>1000000</v>
      </c>
    </row>
    <row r="25" spans="1:7" ht="20.100000000000001" customHeight="1">
      <c r="A25" s="683" t="s">
        <v>587</v>
      </c>
      <c r="B25" s="682">
        <v>160000</v>
      </c>
      <c r="C25" s="682">
        <v>0</v>
      </c>
      <c r="D25" s="682">
        <v>0</v>
      </c>
      <c r="E25" s="682">
        <v>0</v>
      </c>
      <c r="F25" s="682">
        <f t="shared" si="1"/>
        <v>160000</v>
      </c>
    </row>
    <row r="26" spans="1:7" ht="20.100000000000001" customHeight="1">
      <c r="A26" s="683" t="s">
        <v>586</v>
      </c>
      <c r="B26" s="682">
        <v>0</v>
      </c>
      <c r="C26" s="682">
        <v>0</v>
      </c>
      <c r="D26" s="682">
        <v>0</v>
      </c>
      <c r="E26" s="682">
        <v>8890</v>
      </c>
      <c r="F26" s="682">
        <f t="shared" si="1"/>
        <v>8890</v>
      </c>
    </row>
    <row r="27" spans="1:7" ht="17.25" thickBot="1">
      <c r="A27" s="683"/>
      <c r="B27" s="682"/>
      <c r="C27" s="682"/>
      <c r="D27" s="682"/>
      <c r="E27" s="682"/>
      <c r="F27" s="682">
        <f t="shared" si="1"/>
        <v>0</v>
      </c>
    </row>
    <row r="28" spans="1:7" ht="20.100000000000001" customHeight="1" thickBot="1">
      <c r="A28" s="681" t="s">
        <v>585</v>
      </c>
      <c r="B28" s="680">
        <f>SUM(B17:B27)</f>
        <v>4903700</v>
      </c>
      <c r="C28" s="680">
        <f>SUM(C17:C27)</f>
        <v>4063700</v>
      </c>
      <c r="D28" s="680">
        <f>SUM(D17:D27)</f>
        <v>3913700</v>
      </c>
      <c r="E28" s="680">
        <f>SUM(E17:E27)</f>
        <v>3307740</v>
      </c>
      <c r="F28" s="684">
        <f t="shared" si="1"/>
        <v>16188840</v>
      </c>
      <c r="G28" s="685">
        <f>SUM(F17:F26)</f>
        <v>16188840</v>
      </c>
    </row>
    <row r="29" spans="1:7">
      <c r="A29" s="683"/>
      <c r="B29" s="682"/>
      <c r="C29" s="682"/>
      <c r="D29" s="682"/>
      <c r="E29" s="682"/>
      <c r="F29" s="682"/>
    </row>
    <row r="30" spans="1:7" ht="20.100000000000001" customHeight="1">
      <c r="A30" s="681" t="s">
        <v>584</v>
      </c>
      <c r="B30" s="680">
        <f>B15+B28</f>
        <v>14485330</v>
      </c>
      <c r="C30" s="680">
        <f>C15+C28</f>
        <v>13152470</v>
      </c>
      <c r="D30" s="680">
        <f>D15+D28</f>
        <v>13263150</v>
      </c>
      <c r="E30" s="680">
        <f>E15+E28</f>
        <v>12019050</v>
      </c>
      <c r="F30" s="680">
        <f>F15+F28</f>
        <v>52920000</v>
      </c>
    </row>
  </sheetData>
  <mergeCells count="1">
    <mergeCell ref="A1:F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2016-12-18T10:57:22Z</cp:lastPrinted>
  <dcterms:created xsi:type="dcterms:W3CDTF">2003-12-18T04:11:57Z</dcterms:created>
  <dcterms:modified xsi:type="dcterms:W3CDTF">2016-12-22T08:02:54Z</dcterms:modified>
</cp:coreProperties>
</file>