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620" activeTab="4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배정표1" sheetId="32" r:id="rId6"/>
    <sheet name="보조금배정표2" sheetId="33" r:id="rId7"/>
  </sheets>
  <externalReferences>
    <externalReference r:id="rId8"/>
    <externalReference r:id="rId9"/>
    <externalReference r:id="rId10"/>
  </externalReferences>
  <definedNames>
    <definedName name="_xlnm.Print_Area" localSheetId="1">세입!$A$1:$X$93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5">[1]세입!#REF!</definedName>
    <definedName name="가계보조수당" localSheetId="6">[1]세입!#REF!</definedName>
    <definedName name="가계보조수당" localSheetId="1">세입!#REF!</definedName>
    <definedName name="가계보조수당" localSheetId="0">[2]세입!#REF!</definedName>
    <definedName name="가계보조수당" localSheetId="3">[3]세입!#REF!</definedName>
    <definedName name="가계보조수당" localSheetId="4">[3]세입!#REF!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5">[1]세입!#REF!</definedName>
    <definedName name="급식비1" localSheetId="6">[1]세입!#REF!</definedName>
    <definedName name="급식비1" localSheetId="0">[2]세입!#REF!</definedName>
    <definedName name="급식비1" localSheetId="3">[3]세입!#REF!</definedName>
    <definedName name="급식비1" localSheetId="4">[3]세입!#REF!</definedName>
    <definedName name="급식비1">세입!#REF!</definedName>
    <definedName name="급여총액" localSheetId="5">[1]세입!#REF!</definedName>
    <definedName name="급여총액" localSheetId="6">[1]세입!#REF!</definedName>
    <definedName name="급여총액" localSheetId="1">세입!#REF!</definedName>
    <definedName name="급여총액" localSheetId="0">[2]세입!#REF!</definedName>
    <definedName name="급여총액" localSheetId="3">[3]세입!#REF!</definedName>
    <definedName name="급여총액" localSheetId="4">[3]세입!#REF!</definedName>
    <definedName name="급여총액">세입!#REF!</definedName>
    <definedName name="기말수당" localSheetId="1">세입!#REF!</definedName>
    <definedName name="기본급" localSheetId="5">[1]세입!#REF!</definedName>
    <definedName name="기본급" localSheetId="6">[1]세입!#REF!</definedName>
    <definedName name="기본급" localSheetId="1">세입!#REF!</definedName>
    <definedName name="기본급" localSheetId="0">[2]세입!#REF!</definedName>
    <definedName name="기본급" localSheetId="2">세출!$AD$10</definedName>
    <definedName name="기본급" localSheetId="3">[3]세입!#REF!</definedName>
    <definedName name="기본급" localSheetId="4">[3]세입!#REF!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5">[1]세입!#REF!</definedName>
    <definedName name="사회보험" localSheetId="6">[1]세입!#REF!</definedName>
    <definedName name="사회보험" localSheetId="0">[2]세입!#REF!</definedName>
    <definedName name="사회보험" localSheetId="3">[3]세입!#REF!</definedName>
    <definedName name="사회보험" localSheetId="4">[3]세입!#REF!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5">[1]세입!#REF!</definedName>
    <definedName name="상여금" localSheetId="6">[1]세입!#REF!</definedName>
    <definedName name="상여금" localSheetId="1">세입!#REF!</definedName>
    <definedName name="상여금" localSheetId="0">[2]세입!#REF!</definedName>
    <definedName name="상여금" localSheetId="3">[3]세입!#REF!</definedName>
    <definedName name="상여금" localSheetId="4">[3]세입!#REF!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5">[1]세입!#REF!</definedName>
    <definedName name="수정제수당총액" localSheetId="6">[1]세입!#REF!</definedName>
    <definedName name="수정제수당총액" localSheetId="0">[2]세입!#REF!</definedName>
    <definedName name="수정제수당총액" localSheetId="3">[3]세입!#REF!</definedName>
    <definedName name="수정제수당총액" localSheetId="4">[3]세입!#REF!</definedName>
    <definedName name="수정제수당총액">세입!#REF!</definedName>
    <definedName name="연장근로수당" localSheetId="2">세출!$AD$24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5">[1]세입!#REF!</definedName>
    <definedName name="제수당" localSheetId="6">[1]세입!#REF!</definedName>
    <definedName name="제수당" localSheetId="1">세입!#REF!</definedName>
    <definedName name="제수당" localSheetId="0">[2]세입!#REF!</definedName>
    <definedName name="제수당" localSheetId="3">[3]세입!#REF!</definedName>
    <definedName name="제수당" localSheetId="4">[3]세입!#REF!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6">[2]세입!#REF!</definedName>
    <definedName name="증감사유1" localSheetId="4">[2]세입!#REF!</definedName>
    <definedName name="증감사유1">[2]세입!#REF!</definedName>
    <definedName name="직원급식비" localSheetId="5">[1]세입!#REF!</definedName>
    <definedName name="직원급식비" localSheetId="6">[1]세입!#REF!</definedName>
    <definedName name="직원급식비" localSheetId="0">[2]세입!#REF!</definedName>
    <definedName name="직원급식비" localSheetId="3">[3]세입!#REF!</definedName>
    <definedName name="직원급식비" localSheetId="4">[3]세입!#REF!</definedName>
    <definedName name="직원급식비">세입!#REF!</definedName>
    <definedName name="직책보조비" localSheetId="1">세입!#REF!</definedName>
    <definedName name="퇴직금" localSheetId="5">[1]세입!#REF!</definedName>
    <definedName name="퇴직금" localSheetId="6">[1]세입!#REF!</definedName>
    <definedName name="퇴직금" localSheetId="0">[2]세입!#REF!</definedName>
    <definedName name="퇴직금" localSheetId="3">[3]세입!#REF!</definedName>
    <definedName name="퇴직금" localSheetId="4">[3]세입!#REF!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5">[1]세입!#REF!</definedName>
    <definedName name="특수근무수당" localSheetId="6">[1]세입!#REF!</definedName>
    <definedName name="특수근무수당" localSheetId="1">세입!#REF!</definedName>
    <definedName name="특수근무수당" localSheetId="0">[2]세입!#REF!</definedName>
    <definedName name="특수근무수당" localSheetId="3">[3]세입!#REF!</definedName>
    <definedName name="특수근무수당" localSheetId="4">[3]세입!#REF!</definedName>
    <definedName name="특수근무수당">세입!#REF!</definedName>
    <definedName name="특수근무수당1" localSheetId="5">[1]세입!#REF!</definedName>
    <definedName name="특수근무수당1" localSheetId="6">[1]세입!#REF!</definedName>
    <definedName name="특수근무수당1" localSheetId="1">세입!#REF!</definedName>
    <definedName name="특수근무수당1" localSheetId="0">[2]세입!#REF!</definedName>
    <definedName name="특수근무수당1" localSheetId="3">[3]세입!#REF!</definedName>
    <definedName name="특수근무수당1" localSheetId="4">[3]세입!#REF!</definedName>
    <definedName name="특수근무수당1">세입!#REF!</definedName>
    <definedName name="특수근무수당2" localSheetId="5">[1]세입!#REF!</definedName>
    <definedName name="특수근무수당2" localSheetId="6">[1]세입!#REF!</definedName>
    <definedName name="특수근무수당2" localSheetId="1">세입!#REF!</definedName>
    <definedName name="특수근무수당2" localSheetId="0">[2]세입!#REF!</definedName>
    <definedName name="특수근무수당2" localSheetId="3">[3]세입!#REF!</definedName>
    <definedName name="특수근무수당2" localSheetId="4">[3]세입!#REF!</definedName>
    <definedName name="특수근무수당2">세입!#REF!</definedName>
    <definedName name="특수근무수당3" localSheetId="5">[1]세입!#REF!</definedName>
    <definedName name="특수근무수당3" localSheetId="6">[1]세입!#REF!</definedName>
    <definedName name="특수근무수당3" localSheetId="1">세입!#REF!</definedName>
    <definedName name="특수근무수당3" localSheetId="0">[2]세입!#REF!</definedName>
    <definedName name="특수근무수당3" localSheetId="3">[3]세입!#REF!</definedName>
    <definedName name="특수근무수당3" localSheetId="4">[3]세입!#REF!</definedName>
    <definedName name="특수근무수당3">세입!#REF!</definedName>
    <definedName name="특수근무수당6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7" i="18"/>
  <c r="I25"/>
  <c r="I23"/>
  <c r="I16"/>
  <c r="I12"/>
  <c r="I8"/>
  <c r="I7" s="1"/>
  <c r="D22"/>
  <c r="D20"/>
  <c r="D18"/>
  <c r="D15"/>
  <c r="D10"/>
  <c r="D7" s="1"/>
  <c r="D8"/>
  <c r="F11" i="30" l="1"/>
  <c r="D4" l="1"/>
  <c r="D4" i="31"/>
  <c r="AD133" i="5"/>
  <c r="AD132"/>
  <c r="AD96"/>
  <c r="AD90"/>
  <c r="AD27" l="1"/>
  <c r="AD26"/>
  <c r="AD17"/>
  <c r="AD30"/>
  <c r="AD29" s="1"/>
  <c r="AD9"/>
  <c r="W19" i="4"/>
  <c r="L212" i="5"/>
  <c r="K212"/>
  <c r="J212"/>
  <c r="I212"/>
  <c r="H212"/>
  <c r="G212"/>
  <c r="F212"/>
  <c r="L209"/>
  <c r="K209"/>
  <c r="J209"/>
  <c r="I209"/>
  <c r="H209"/>
  <c r="G209"/>
  <c r="F209"/>
  <c r="L199"/>
  <c r="K199"/>
  <c r="J199"/>
  <c r="I199"/>
  <c r="H199"/>
  <c r="G199"/>
  <c r="F199"/>
  <c r="L195"/>
  <c r="K195"/>
  <c r="J195"/>
  <c r="I195"/>
  <c r="H195"/>
  <c r="G195"/>
  <c r="F195"/>
  <c r="L191"/>
  <c r="K191"/>
  <c r="J191"/>
  <c r="I191"/>
  <c r="H191"/>
  <c r="G191"/>
  <c r="F191"/>
  <c r="L185"/>
  <c r="K185"/>
  <c r="J185"/>
  <c r="I185"/>
  <c r="H185"/>
  <c r="G185"/>
  <c r="F185"/>
  <c r="L181"/>
  <c r="K181"/>
  <c r="J181"/>
  <c r="I181"/>
  <c r="H181"/>
  <c r="G181"/>
  <c r="F181"/>
  <c r="L175"/>
  <c r="K175"/>
  <c r="J175"/>
  <c r="I175"/>
  <c r="H175"/>
  <c r="G175"/>
  <c r="F175"/>
  <c r="L172"/>
  <c r="K172"/>
  <c r="J172"/>
  <c r="I172"/>
  <c r="H172"/>
  <c r="G172"/>
  <c r="F172"/>
  <c r="L165"/>
  <c r="K165"/>
  <c r="J165"/>
  <c r="I165"/>
  <c r="H165"/>
  <c r="G165"/>
  <c r="F165"/>
  <c r="L159"/>
  <c r="K159"/>
  <c r="J159"/>
  <c r="I159"/>
  <c r="H159"/>
  <c r="G159"/>
  <c r="F159"/>
  <c r="L154"/>
  <c r="K154"/>
  <c r="J154"/>
  <c r="I154"/>
  <c r="H154"/>
  <c r="G154"/>
  <c r="F154"/>
  <c r="L148"/>
  <c r="K148"/>
  <c r="J148"/>
  <c r="I148"/>
  <c r="H148"/>
  <c r="G148"/>
  <c r="F148"/>
  <c r="L144"/>
  <c r="K144"/>
  <c r="J144"/>
  <c r="I144"/>
  <c r="H144"/>
  <c r="G144"/>
  <c r="F144"/>
  <c r="L140"/>
  <c r="K140"/>
  <c r="J140"/>
  <c r="I140"/>
  <c r="H140"/>
  <c r="G140"/>
  <c r="F140"/>
  <c r="L131"/>
  <c r="K131"/>
  <c r="J131"/>
  <c r="I131"/>
  <c r="H131"/>
  <c r="G131"/>
  <c r="F131"/>
  <c r="L125"/>
  <c r="K125"/>
  <c r="J125"/>
  <c r="I125"/>
  <c r="H125"/>
  <c r="G125"/>
  <c r="F125"/>
  <c r="L121"/>
  <c r="K121"/>
  <c r="J121"/>
  <c r="I121"/>
  <c r="H121"/>
  <c r="G121"/>
  <c r="F121"/>
  <c r="L118"/>
  <c r="K118"/>
  <c r="J118"/>
  <c r="I118"/>
  <c r="H118"/>
  <c r="G118"/>
  <c r="F118"/>
  <c r="L112"/>
  <c r="K112"/>
  <c r="J112"/>
  <c r="I112"/>
  <c r="H112"/>
  <c r="G112"/>
  <c r="F112"/>
  <c r="L108"/>
  <c r="K108"/>
  <c r="J108"/>
  <c r="I108"/>
  <c r="H108"/>
  <c r="G108"/>
  <c r="L100"/>
  <c r="K100"/>
  <c r="J100"/>
  <c r="I100"/>
  <c r="H100"/>
  <c r="G100"/>
  <c r="L95"/>
  <c r="K95"/>
  <c r="J95"/>
  <c r="I95"/>
  <c r="H95"/>
  <c r="G95"/>
  <c r="L88"/>
  <c r="K88"/>
  <c r="J88"/>
  <c r="I88"/>
  <c r="H88"/>
  <c r="G88"/>
  <c r="L85"/>
  <c r="K85"/>
  <c r="J85"/>
  <c r="I85"/>
  <c r="H85"/>
  <c r="G85"/>
  <c r="F85"/>
  <c r="L79"/>
  <c r="K79"/>
  <c r="J79"/>
  <c r="I79"/>
  <c r="H79"/>
  <c r="G79"/>
  <c r="F79"/>
  <c r="G77"/>
  <c r="L77"/>
  <c r="K77"/>
  <c r="J77"/>
  <c r="I77"/>
  <c r="H77"/>
  <c r="F77"/>
  <c r="L74"/>
  <c r="K74"/>
  <c r="J74"/>
  <c r="I74"/>
  <c r="H74"/>
  <c r="G74"/>
  <c r="F74"/>
  <c r="L68"/>
  <c r="K68"/>
  <c r="J68"/>
  <c r="I68"/>
  <c r="H68"/>
  <c r="G68"/>
  <c r="F68"/>
  <c r="L43"/>
  <c r="K43"/>
  <c r="J43"/>
  <c r="H43"/>
  <c r="G43"/>
  <c r="L39"/>
  <c r="K39"/>
  <c r="J39"/>
  <c r="H39"/>
  <c r="G39"/>
  <c r="L15"/>
  <c r="K15"/>
  <c r="J15"/>
  <c r="I15"/>
  <c r="H15"/>
  <c r="G15"/>
  <c r="L12"/>
  <c r="K12"/>
  <c r="J12"/>
  <c r="I12"/>
  <c r="H12"/>
  <c r="G12"/>
  <c r="L7"/>
  <c r="K7"/>
  <c r="J7"/>
  <c r="I7"/>
  <c r="H7"/>
  <c r="G7"/>
  <c r="G4" i="33"/>
  <c r="H4" s="1"/>
  <c r="F12" i="30"/>
  <c r="AD121" i="5"/>
  <c r="AD81"/>
  <c r="AD80"/>
  <c r="F16" i="33"/>
  <c r="E16"/>
  <c r="D16"/>
  <c r="C16"/>
  <c r="B16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3"/>
  <c r="H3" s="1"/>
  <c r="G10" i="32"/>
  <c r="H10"/>
  <c r="I10"/>
  <c r="B16"/>
  <c r="B18" s="1"/>
  <c r="B20" s="1"/>
  <c r="C16"/>
  <c r="C18" s="1"/>
  <c r="C20" s="1"/>
  <c r="D16"/>
  <c r="D18" s="1"/>
  <c r="D20" s="1"/>
  <c r="G16" i="33" l="1"/>
  <c r="H16" s="1"/>
  <c r="B18"/>
  <c r="AD105" i="5" l="1"/>
  <c r="AD91"/>
  <c r="AD25"/>
  <c r="AD37"/>
  <c r="AD36" s="1"/>
  <c r="AD18" l="1"/>
  <c r="W59" i="4"/>
  <c r="W21"/>
  <c r="W20"/>
  <c r="F9" i="31"/>
  <c r="S41" i="5" l="1"/>
  <c r="AD186"/>
  <c r="AD183"/>
  <c r="AD89"/>
  <c r="AD82"/>
  <c r="AD79" l="1"/>
  <c r="S47"/>
  <c r="AD47" s="1"/>
  <c r="AD41"/>
  <c r="I39" s="1"/>
  <c r="AD97"/>
  <c r="W62" i="4"/>
  <c r="W56"/>
  <c r="AD212" i="5"/>
  <c r="S51" l="1"/>
  <c r="AD51" s="1"/>
  <c r="AD70"/>
  <c r="W71" i="4"/>
  <c r="F30" i="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8"/>
  <c r="F7"/>
  <c r="F6"/>
  <c r="F5"/>
  <c r="E4"/>
  <c r="J25" i="30"/>
  <c r="F25"/>
  <c r="F24"/>
  <c r="F23"/>
  <c r="F22"/>
  <c r="F21"/>
  <c r="F20"/>
  <c r="F19"/>
  <c r="F18"/>
  <c r="F17"/>
  <c r="F16"/>
  <c r="F15"/>
  <c r="F14"/>
  <c r="F13"/>
  <c r="F10"/>
  <c r="F9"/>
  <c r="F8"/>
  <c r="F7"/>
  <c r="F6"/>
  <c r="J5"/>
  <c r="F5"/>
  <c r="E4"/>
  <c r="W27" i="4"/>
  <c r="F13" i="18"/>
  <c r="F158" i="5"/>
  <c r="G158"/>
  <c r="H158"/>
  <c r="K158"/>
  <c r="L158"/>
  <c r="D158"/>
  <c r="AD196"/>
  <c r="AD195" s="1"/>
  <c r="AD140"/>
  <c r="AD179"/>
  <c r="AD178"/>
  <c r="AD177"/>
  <c r="S55" l="1"/>
  <c r="S59"/>
  <c r="AD59" s="1"/>
  <c r="I158"/>
  <c r="F4" i="31"/>
  <c r="F4" i="30"/>
  <c r="F88" i="5"/>
  <c r="W66" i="4"/>
  <c r="I43" i="5" l="1"/>
  <c r="AD55"/>
  <c r="S63"/>
  <c r="AD63" s="1"/>
  <c r="E195"/>
  <c r="M195" s="1"/>
  <c r="N195" s="1"/>
  <c r="AD192"/>
  <c r="AD189"/>
  <c r="AD187"/>
  <c r="AD182"/>
  <c r="AD176"/>
  <c r="AD173"/>
  <c r="AD170"/>
  <c r="AD169"/>
  <c r="AD168"/>
  <c r="AD166"/>
  <c r="AD163"/>
  <c r="AD162"/>
  <c r="AD161"/>
  <c r="AD160"/>
  <c r="AD155"/>
  <c r="AD146"/>
  <c r="AD131"/>
  <c r="AD113"/>
  <c r="AD114"/>
  <c r="AD104"/>
  <c r="F100" s="1"/>
  <c r="AD103"/>
  <c r="AD102"/>
  <c r="AD101"/>
  <c r="E209"/>
  <c r="E121"/>
  <c r="E118"/>
  <c r="E77"/>
  <c r="E79"/>
  <c r="AD151"/>
  <c r="AD145"/>
  <c r="AD71"/>
  <c r="AD69"/>
  <c r="AD34"/>
  <c r="F15" s="1"/>
  <c r="AD22"/>
  <c r="AD21"/>
  <c r="AD10"/>
  <c r="F7" s="1"/>
  <c r="AD8"/>
  <c r="W91" i="4"/>
  <c r="W83"/>
  <c r="AD16" i="5" l="1"/>
  <c r="AD159"/>
  <c r="AD100"/>
  <c r="E68"/>
  <c r="AD68"/>
  <c r="AD33"/>
  <c r="AD24"/>
  <c r="AD7"/>
  <c r="AD167"/>
  <c r="AD193"/>
  <c r="AD191" s="1"/>
  <c r="E185"/>
  <c r="AD185"/>
  <c r="AD181"/>
  <c r="AD175"/>
  <c r="E172"/>
  <c r="AD15" l="1"/>
  <c r="S40" s="1"/>
  <c r="AD40" s="1"/>
  <c r="E7"/>
  <c r="AD165"/>
  <c r="M185"/>
  <c r="N185" s="1"/>
  <c r="E181"/>
  <c r="E159"/>
  <c r="E175"/>
  <c r="M175" s="1"/>
  <c r="N175" s="1"/>
  <c r="E191"/>
  <c r="M191" s="1"/>
  <c r="N191" s="1"/>
  <c r="J158" l="1"/>
  <c r="M159"/>
  <c r="N159" s="1"/>
  <c r="E165"/>
  <c r="E158" s="1"/>
  <c r="AD88" l="1"/>
  <c r="E154" l="1"/>
  <c r="AD154"/>
  <c r="E88"/>
  <c r="W36" i="4" l="1"/>
  <c r="W35" s="1"/>
  <c r="E144" i="5"/>
  <c r="AD199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E8"/>
  <c r="K16" l="1"/>
  <c r="J7"/>
  <c r="E7"/>
  <c r="AD110" i="5"/>
  <c r="E140"/>
  <c r="M165" l="1"/>
  <c r="N165" s="1"/>
  <c r="AD109" l="1"/>
  <c r="F108" s="1"/>
  <c r="E199" l="1"/>
  <c r="M181"/>
  <c r="N181" s="1"/>
  <c r="AD172"/>
  <c r="AD158" s="1"/>
  <c r="M172" l="1"/>
  <c r="N172" s="1"/>
  <c r="AD86" l="1"/>
  <c r="E85" l="1"/>
  <c r="E212"/>
  <c r="D211"/>
  <c r="D208"/>
  <c r="D198"/>
  <c r="D117"/>
  <c r="D116" s="1"/>
  <c r="D55" i="4"/>
  <c r="D90"/>
  <c r="D82"/>
  <c r="D79"/>
  <c r="G76"/>
  <c r="D75"/>
  <c r="G75" s="1"/>
  <c r="D70"/>
  <c r="D47"/>
  <c r="D50"/>
  <c r="D30"/>
  <c r="D35"/>
  <c r="D26"/>
  <c r="D23"/>
  <c r="D54" l="1"/>
  <c r="D46"/>
  <c r="D29"/>
  <c r="D78"/>
  <c r="D15"/>
  <c r="G80"/>
  <c r="G79"/>
  <c r="G48"/>
  <c r="G47"/>
  <c r="G44"/>
  <c r="G41"/>
  <c r="W34"/>
  <c r="W33" s="1"/>
  <c r="E33" s="1"/>
  <c r="F33" s="1"/>
  <c r="G33" s="1"/>
  <c r="D11" l="1"/>
  <c r="E91"/>
  <c r="E90" s="1"/>
  <c r="F90" s="1"/>
  <c r="G90" s="1"/>
  <c r="F91" l="1"/>
  <c r="G91" s="1"/>
  <c r="E83" l="1"/>
  <c r="W70"/>
  <c r="E66"/>
  <c r="F66" s="1"/>
  <c r="G66" s="1"/>
  <c r="E62"/>
  <c r="F62" s="1"/>
  <c r="G62" s="1"/>
  <c r="E59"/>
  <c r="F59" s="1"/>
  <c r="G59" s="1"/>
  <c r="E56"/>
  <c r="F56" s="1"/>
  <c r="G56" s="1"/>
  <c r="D43"/>
  <c r="G43" s="1"/>
  <c r="D40"/>
  <c r="G40" s="1"/>
  <c r="W43"/>
  <c r="W41"/>
  <c r="W40" s="1"/>
  <c r="E44"/>
  <c r="W24"/>
  <c r="W23" l="1"/>
  <c r="E23" s="1"/>
  <c r="E24"/>
  <c r="F24" s="1"/>
  <c r="G24" s="1"/>
  <c r="E41"/>
  <c r="E40" s="1"/>
  <c r="F40" s="1"/>
  <c r="E51"/>
  <c r="W16"/>
  <c r="E43"/>
  <c r="F43" s="1"/>
  <c r="F44"/>
  <c r="E82"/>
  <c r="F82" s="1"/>
  <c r="G82" s="1"/>
  <c r="F83"/>
  <c r="G83" s="1"/>
  <c r="W39"/>
  <c r="W55"/>
  <c r="E71"/>
  <c r="E55"/>
  <c r="F55" s="1"/>
  <c r="G55" s="1"/>
  <c r="D39"/>
  <c r="F41" l="1"/>
  <c r="E16"/>
  <c r="F16" s="1"/>
  <c r="G16" s="1"/>
  <c r="W15"/>
  <c r="E50"/>
  <c r="F50" s="1"/>
  <c r="G50" s="1"/>
  <c r="F51"/>
  <c r="G51" s="1"/>
  <c r="E39"/>
  <c r="F39" s="1"/>
  <c r="D4"/>
  <c r="G39"/>
  <c r="E70"/>
  <c r="F70" s="1"/>
  <c r="G70" s="1"/>
  <c r="F71"/>
  <c r="G71" s="1"/>
  <c r="W9" l="1"/>
  <c r="E27"/>
  <c r="W90"/>
  <c r="W82"/>
  <c r="W81"/>
  <c r="W80" s="1"/>
  <c r="E80" s="1"/>
  <c r="W76"/>
  <c r="W50"/>
  <c r="W26"/>
  <c r="E79" l="1"/>
  <c r="F80"/>
  <c r="E26"/>
  <c r="F26" s="1"/>
  <c r="G26" s="1"/>
  <c r="F27"/>
  <c r="G27" s="1"/>
  <c r="W47"/>
  <c r="E48"/>
  <c r="W75"/>
  <c r="W54" s="1"/>
  <c r="E76"/>
  <c r="W79"/>
  <c r="W78" s="1"/>
  <c r="W46"/>
  <c r="E78" l="1"/>
  <c r="F78" s="1"/>
  <c r="G78" s="1"/>
  <c r="F79"/>
  <c r="E75"/>
  <c r="F76"/>
  <c r="E47"/>
  <c r="F48"/>
  <c r="E9"/>
  <c r="F9" s="1"/>
  <c r="G9"/>
  <c r="W7"/>
  <c r="W11" l="1"/>
  <c r="E46"/>
  <c r="F46" s="1"/>
  <c r="G46" s="1"/>
  <c r="F47"/>
  <c r="E54"/>
  <c r="F54" s="1"/>
  <c r="G54" s="1"/>
  <c r="F75"/>
  <c r="F23"/>
  <c r="G23" s="1"/>
  <c r="E15"/>
  <c r="F15" s="1"/>
  <c r="G15" s="1"/>
  <c r="F12"/>
  <c r="G12" s="1"/>
  <c r="E7"/>
  <c r="F7" s="1"/>
  <c r="G7" s="1"/>
  <c r="K28" i="18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E11" i="4"/>
  <c r="F11" s="1"/>
  <c r="G11" s="1"/>
  <c r="F7" i="18" l="1"/>
  <c r="AD108" i="5"/>
  <c r="E108"/>
  <c r="W31" i="4"/>
  <c r="D130" i="5"/>
  <c r="D129" s="1"/>
  <c r="D84"/>
  <c r="D73"/>
  <c r="W30" i="4" l="1"/>
  <c r="E36"/>
  <c r="F211" i="5"/>
  <c r="G211"/>
  <c r="H211"/>
  <c r="I211"/>
  <c r="J211"/>
  <c r="K211"/>
  <c r="L211"/>
  <c r="AD211"/>
  <c r="F208"/>
  <c r="G208"/>
  <c r="H208"/>
  <c r="I208"/>
  <c r="J208"/>
  <c r="K208"/>
  <c r="L208"/>
  <c r="I198"/>
  <c r="J198"/>
  <c r="K198"/>
  <c r="L198"/>
  <c r="H198"/>
  <c r="G198"/>
  <c r="F198"/>
  <c r="G84"/>
  <c r="H84"/>
  <c r="G130"/>
  <c r="K130"/>
  <c r="G117"/>
  <c r="G116" s="1"/>
  <c r="H117"/>
  <c r="H116" s="1"/>
  <c r="I117"/>
  <c r="I116" s="1"/>
  <c r="J117"/>
  <c r="J116" s="1"/>
  <c r="K117"/>
  <c r="K116" s="1"/>
  <c r="L117"/>
  <c r="L116" s="1"/>
  <c r="AD118"/>
  <c r="M118" s="1"/>
  <c r="N118" s="1"/>
  <c r="F95"/>
  <c r="AD85"/>
  <c r="G73"/>
  <c r="H73"/>
  <c r="I73"/>
  <c r="J73"/>
  <c r="L73"/>
  <c r="AD74"/>
  <c r="E95" l="1"/>
  <c r="E74"/>
  <c r="AD125"/>
  <c r="AD117" s="1"/>
  <c r="AD95"/>
  <c r="E35" i="4"/>
  <c r="F35" s="1"/>
  <c r="G35" s="1"/>
  <c r="F36"/>
  <c r="G36" s="1"/>
  <c r="W29"/>
  <c r="E31"/>
  <c r="K129" i="5"/>
  <c r="G129"/>
  <c r="J84" l="1"/>
  <c r="F117"/>
  <c r="F116" s="1"/>
  <c r="E125"/>
  <c r="E30" i="4"/>
  <c r="F31"/>
  <c r="J130" i="5"/>
  <c r="J129" l="1"/>
  <c r="I130"/>
  <c r="E29" i="4"/>
  <c r="F29" s="1"/>
  <c r="G29" s="1"/>
  <c r="F30"/>
  <c r="AD144" i="5"/>
  <c r="I129" l="1"/>
  <c r="W6" i="4" l="1"/>
  <c r="W5" s="1"/>
  <c r="E5" l="1"/>
  <c r="E4" s="1"/>
  <c r="W4"/>
  <c r="M7" i="5"/>
  <c r="F5" i="4" l="1"/>
  <c r="F4" s="1"/>
  <c r="G4" s="1"/>
  <c r="AD198" i="5" l="1"/>
  <c r="F73"/>
  <c r="AD20"/>
  <c r="F39" s="1"/>
  <c r="AD13"/>
  <c r="F12" s="1"/>
  <c r="E100"/>
  <c r="AD149"/>
  <c r="E15" l="1"/>
  <c r="M15" s="1"/>
  <c r="AD12"/>
  <c r="H6"/>
  <c r="H5" s="1"/>
  <c r="E148"/>
  <c r="J6"/>
  <c r="J5" s="1"/>
  <c r="J4" s="1"/>
  <c r="K73"/>
  <c r="L130"/>
  <c r="L129" s="1"/>
  <c r="M100"/>
  <c r="N100" s="1"/>
  <c r="F84"/>
  <c r="AD148"/>
  <c r="I6"/>
  <c r="L84"/>
  <c r="L6"/>
  <c r="E131"/>
  <c r="M121"/>
  <c r="N121" s="1"/>
  <c r="AD112"/>
  <c r="N7"/>
  <c r="M140"/>
  <c r="N140" s="1"/>
  <c r="E12" l="1"/>
  <c r="M148"/>
  <c r="N148" s="1"/>
  <c r="K84"/>
  <c r="E112"/>
  <c r="M112" s="1"/>
  <c r="N112" s="1"/>
  <c r="AD73"/>
  <c r="M79"/>
  <c r="N79" s="1"/>
  <c r="M68"/>
  <c r="N68" s="1"/>
  <c r="I84"/>
  <c r="I5" s="1"/>
  <c r="I4" s="1"/>
  <c r="H130"/>
  <c r="H129" s="1"/>
  <c r="H4" s="1"/>
  <c r="L5"/>
  <c r="L4" s="1"/>
  <c r="G6"/>
  <c r="G5" s="1"/>
  <c r="G4" s="1"/>
  <c r="M131"/>
  <c r="N131" s="1"/>
  <c r="AD130"/>
  <c r="AD129" s="1"/>
  <c r="M85"/>
  <c r="N85" s="1"/>
  <c r="F130"/>
  <c r="F129" s="1"/>
  <c r="M125"/>
  <c r="N125" s="1"/>
  <c r="E117"/>
  <c r="E116" s="1"/>
  <c r="AD116"/>
  <c r="M108"/>
  <c r="N108" s="1"/>
  <c r="K6"/>
  <c r="M74"/>
  <c r="N74" s="1"/>
  <c r="M95"/>
  <c r="N95" s="1"/>
  <c r="M144"/>
  <c r="N144" s="1"/>
  <c r="M154"/>
  <c r="N154" s="1"/>
  <c r="M199"/>
  <c r="N199" s="1"/>
  <c r="E198"/>
  <c r="D6"/>
  <c r="M158"/>
  <c r="N158" s="1"/>
  <c r="M77"/>
  <c r="N77" s="1"/>
  <c r="G5" i="4"/>
  <c r="D5" i="5" l="1"/>
  <c r="D4" s="1"/>
  <c r="K5"/>
  <c r="K4" s="1"/>
  <c r="AD84"/>
  <c r="M12"/>
  <c r="N12" s="1"/>
  <c r="M198"/>
  <c r="N198" s="1"/>
  <c r="AD208"/>
  <c r="E130"/>
  <c r="E129" s="1"/>
  <c r="M116"/>
  <c r="N116" s="1"/>
  <c r="M117"/>
  <c r="N117" s="1"/>
  <c r="E73"/>
  <c r="M73" s="1"/>
  <c r="N73" s="1"/>
  <c r="N15"/>
  <c r="M212"/>
  <c r="N212" s="1"/>
  <c r="E211"/>
  <c r="M211" s="1"/>
  <c r="N211" s="1"/>
  <c r="M130" l="1"/>
  <c r="N130" s="1"/>
  <c r="M209"/>
  <c r="N209" s="1"/>
  <c r="E208"/>
  <c r="M208" s="1"/>
  <c r="N208" s="1"/>
  <c r="M88"/>
  <c r="N88" s="1"/>
  <c r="E84"/>
  <c r="M84" s="1"/>
  <c r="N84" s="1"/>
  <c r="M129" l="1"/>
  <c r="N129" s="1"/>
  <c r="S46" l="1"/>
  <c r="AD46" s="1"/>
  <c r="AD39"/>
  <c r="S50" l="1"/>
  <c r="AD50" s="1"/>
  <c r="S58" l="1"/>
  <c r="E39"/>
  <c r="AD45"/>
  <c r="AD58" l="1"/>
  <c r="AD57" s="1"/>
  <c r="S62"/>
  <c r="AD49"/>
  <c r="S54"/>
  <c r="AD54" s="1"/>
  <c r="M39"/>
  <c r="N39" s="1"/>
  <c r="AD62" l="1"/>
  <c r="AD61" s="1"/>
  <c r="AD53"/>
  <c r="F43"/>
  <c r="AD43" l="1"/>
  <c r="AD6" s="1"/>
  <c r="AD5" s="1"/>
  <c r="AD4" s="1"/>
  <c r="E43"/>
  <c r="F6"/>
  <c r="F5" s="1"/>
  <c r="F4" s="1"/>
  <c r="M43" l="1"/>
  <c r="N43" s="1"/>
  <c r="E6"/>
  <c r="E5" l="1"/>
  <c r="M6"/>
  <c r="N6" s="1"/>
  <c r="E4" l="1"/>
  <c r="M4" s="1"/>
  <c r="N4" s="1"/>
  <c r="M5"/>
  <c r="N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경장연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대체인력지원금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<sst xmlns="http://schemas.openxmlformats.org/spreadsheetml/2006/main" count="1479" uniqueCount="663">
  <si>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</si>
  <si>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</si>
  <si>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</si>
  <si>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</si>
  <si>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</si>
  <si>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</si>
  <si>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</si>
  <si>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</si>
  <si>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</si>
  <si>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</si>
  <si>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</si>
  <si>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</si>
  <si>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</si>
  <si>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</si>
  <si>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</si>
  <si>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</si>
  <si>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</si>
  <si>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</si>
  <si>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</si>
  <si>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</si>
  <si>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</si>
  <si>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</si>
  <si>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</si>
  <si>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</si>
  <si>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</si>
  <si>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</si>
  <si>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</si>
  <si>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</si>
  <si>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</si>
  <si>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</si>
  <si>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</si>
  <si>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</si>
  <si>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</si>
  <si>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</si>
  <si>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</si>
  <si>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</si>
  <si>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</si>
  <si>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</si>
  <si>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</si>
  <si>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</si>
  <si>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</si>
  <si>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</si>
  <si>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</si>
  <si>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</si>
  <si>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</si>
  <si>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</si>
  <si>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</si>
  <si>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</si>
  <si>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</si>
  <si>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</si>
  <si>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</si>
  <si>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</si>
  <si>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</si>
  <si>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</si>
  <si>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</si>
  <si>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</si>
  <si>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</si>
  <si>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</si>
  <si>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</si>
  <si>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</si>
  <si>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</si>
  <si>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</si>
  <si>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</si>
  <si>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</si>
  <si>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</si>
  <si>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</si>
  <si>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</si>
  <si>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</si>
  <si>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</si>
  <si>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</si>
  <si>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</si>
  <si>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</si>
  <si>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</si>
  <si>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</si>
  <si>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</si>
  <si>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</si>
  <si>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</si>
  <si>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</si>
  <si>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</si>
  <si>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</si>
  <si>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</si>
  <si>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</si>
  <si>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</si>
  <si>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</si>
  <si>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</si>
  <si>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</si>
  <si>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</si>
  <si>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</si>
  <si>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</si>
  <si>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</si>
  <si>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</si>
  <si>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</si>
  <si>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</si>
  <si>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</si>
  <si>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</si>
  <si>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</si>
  <si>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</si>
  <si>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</si>
  <si>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</si>
  <si>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</si>
  <si>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</si>
  <si>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</si>
  <si>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</si>
  <si>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</si>
  <si>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</si>
  <si>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</si>
  <si>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</si>
  <si>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</si>
  <si>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</si>
  <si>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</si>
  <si>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</si>
  <si>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</si>
  <si>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</si>
  <si>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</si>
  <si>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</si>
  <si>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</si>
  <si>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</si>
  <si>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</si>
  <si>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</si>
  <si>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</si>
  <si>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</si>
  <si>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</si>
  <si>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</si>
  <si>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</si>
  <si>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</si>
  <si>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</si>
  <si>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비  용</t>
  </si>
  <si>
    <t>입   소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</si>
  <si>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</si>
  <si>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</si>
  <si>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</si>
  <si>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</si>
  <si>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</si>
  <si>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</si>
  <si>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</si>
  <si>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</si>
  <si>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</si>
  <si>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</si>
  <si>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</si>
  <si>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</si>
  <si>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</si>
  <si>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</si>
  <si>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인건비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</si>
  <si>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</si>
  <si>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</si>
  <si>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</si>
  <si>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</si>
  <si>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</si>
  <si>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</si>
  <si>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</si>
  <si>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</si>
  <si>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</si>
  <si>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</si>
  <si>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</si>
  <si>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</si>
  <si>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</si>
  <si>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</si>
  <si>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</si>
  <si>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</si>
  <si>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</si>
  <si>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</si>
  <si>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</si>
  <si>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</si>
  <si>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</si>
  <si>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</si>
  <si>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</si>
  <si>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</si>
  <si>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</si>
  <si>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</si>
  <si>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</si>
  <si>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</si>
  <si>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</si>
  <si>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</si>
  <si>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</si>
  <si>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</si>
  <si>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</si>
  <si>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</si>
  <si>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</si>
  <si>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</si>
  <si>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</si>
  <si>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</si>
  <si>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</si>
  <si>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</si>
  <si>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</si>
  <si>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</si>
  <si>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</si>
  <si>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</si>
  <si>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</si>
  <si>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</si>
  <si>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</si>
  <si>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</si>
  <si>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</si>
  <si>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</si>
  <si>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</si>
  <si>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</si>
  <si>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</si>
  <si>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</si>
  <si>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</si>
  <si>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</si>
  <si>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</si>
  <si>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</si>
  <si>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</si>
  <si>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</si>
  <si>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</si>
  <si>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</si>
  <si>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</si>
  <si>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</si>
  <si>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</si>
  <si>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</si>
  <si>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</si>
  <si>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</si>
  <si>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</si>
  <si>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</si>
  <si>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</si>
  <si>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</si>
  <si>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</si>
  <si>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</si>
  <si>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</si>
  <si>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</si>
  <si>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</si>
  <si>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</si>
  <si>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</si>
  <si>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</si>
  <si>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</si>
  <si>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</si>
  <si>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</si>
  <si>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</si>
  <si>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</si>
  <si>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</si>
  <si>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</si>
  <si>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=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</si>
  <si>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</si>
  <si>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</si>
  <si>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</si>
  <si>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</si>
  <si>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</si>
  <si>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</si>
  <si>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</si>
  <si>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</si>
  <si>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</si>
  <si>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</si>
  <si>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</si>
  <si>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</si>
  <si>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</si>
  <si>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</si>
  <si>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</si>
  <si>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</si>
  <si>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</si>
  <si>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</si>
  <si>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</si>
  <si>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</si>
  <si>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</si>
  <si>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</si>
  <si>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</si>
  <si>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</si>
  <si>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</si>
  <si>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</si>
  <si>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</si>
  <si>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</si>
  <si>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</si>
  <si>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</si>
  <si>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</si>
  <si>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</si>
  <si>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</si>
  <si>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</si>
  <si>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</si>
  <si>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</si>
  <si>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</si>
  <si>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</si>
  <si>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</si>
  <si>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</si>
  <si>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</si>
  <si>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</si>
  <si>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</si>
  <si>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</si>
  <si>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</si>
  <si>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</si>
  <si>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명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</si>
  <si>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</si>
  <si>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</si>
  <si>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</si>
  <si>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</si>
  <si>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</si>
  <si>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</si>
  <si>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</si>
  <si>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공공요금</t>
    <phoneticPr fontId="8" type="noConversion"/>
  </si>
  <si>
    <t>차량비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</si>
  <si>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</si>
  <si>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</si>
  <si>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</si>
  <si>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</si>
  <si>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</si>
  <si>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</si>
  <si>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</si>
  <si>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</si>
  <si>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</si>
  <si>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</si>
  <si>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</si>
  <si>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</si>
  <si>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</si>
  <si>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</si>
  <si>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</si>
  <si>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</si>
  <si>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</si>
  <si>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</si>
  <si>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</si>
  <si>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</si>
  <si>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</si>
  <si>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원</t>
    <phoneticPr fontId="8" type="noConversion"/>
  </si>
  <si>
    <t>=</t>
    <phoneticPr fontId="8" type="noConversion"/>
  </si>
  <si>
    <t>보조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</si>
  <si>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</si>
  <si>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</si>
  <si>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</si>
  <si>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</si>
  <si>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</si>
  <si>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</si>
  <si>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</si>
  <si>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입소</t>
    <phoneticPr fontId="8" type="noConversion"/>
  </si>
  <si>
    <t>월</t>
    <phoneticPr fontId="8" type="noConversion"/>
  </si>
  <si>
    <t>소계</t>
    <phoneticPr fontId="8" type="noConversion"/>
  </si>
  <si>
    <t>(단위:원)</t>
    <phoneticPr fontId="28" type="noConversion"/>
  </si>
  <si>
    <t>&lt;비지정후원금&gt;</t>
    <phoneticPr fontId="8" type="noConversion"/>
  </si>
  <si>
    <t>보조</t>
    <phoneticPr fontId="8" type="noConversion"/>
  </si>
  <si>
    <t>보조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</si>
  <si>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</si>
  <si>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</si>
  <si>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</si>
  <si>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</si>
  <si>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회</t>
    <phoneticPr fontId="8" type="noConversion"/>
  </si>
  <si>
    <t>보조금</t>
    <phoneticPr fontId="8" type="noConversion"/>
  </si>
  <si>
    <t>* 환경개선사업비(7종)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</si>
  <si>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</si>
  <si>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</si>
  <si>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</si>
  <si>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</si>
  <si>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</si>
  <si>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</si>
  <si>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</si>
  <si>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</si>
  <si>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</si>
  <si>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※ 체크카드환급</t>
    <phoneticPr fontId="8" type="noConversion"/>
  </si>
  <si>
    <t>합계:</t>
    <phoneticPr fontId="8" type="noConversion"/>
  </si>
  <si>
    <t>1. 보조금 체크카드환급금</t>
    <phoneticPr fontId="8" type="noConversion"/>
  </si>
  <si>
    <t>※ 예금이자수입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</si>
  <si>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</si>
  <si>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</si>
  <si>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</si>
  <si>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</si>
  <si>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* 직원 축일 및 생일 축하 문화상품권</t>
    <phoneticPr fontId="8" type="noConversion"/>
  </si>
  <si>
    <t>* 대체인건비 인건비(직원 연차, 교육 등)</t>
    <phoneticPr fontId="8" type="noConversion"/>
  </si>
  <si>
    <t>* 피복비</t>
    <phoneticPr fontId="8" type="noConversion"/>
  </si>
  <si>
    <t>보조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</si>
  <si>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</si>
  <si>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</si>
  <si>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입소</t>
    <phoneticPr fontId="8" type="noConversion"/>
  </si>
  <si>
    <t>* 이용인 독감예방접종</t>
    <phoneticPr fontId="8" type="noConversion"/>
  </si>
  <si>
    <t>* 기타 의료비</t>
    <phoneticPr fontId="8" type="noConversion"/>
  </si>
  <si>
    <t>* 이용인 직장 방문 경비(음료 등)</t>
    <phoneticPr fontId="8" type="noConversion"/>
  </si>
  <si>
    <t>입소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</si>
  <si>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</si>
  <si>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</si>
  <si>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</si>
  <si>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</si>
  <si>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</si>
  <si>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소방안전점검비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</si>
  <si>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</si>
  <si>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</si>
  <si>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</si>
  <si>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</si>
  <si>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</si>
  <si>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</si>
  <si>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</si>
  <si>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점검 및 정비비 등</t>
    <phoneticPr fontId="8" type="noConversion"/>
  </si>
  <si>
    <t>*</t>
    <phoneticPr fontId="8" type="noConversion"/>
  </si>
  <si>
    <t>* 기타 시설물 관리유지비</t>
    <phoneticPr fontId="8" type="noConversion"/>
  </si>
  <si>
    <t>* 주부식비</t>
    <phoneticPr fontId="8" type="noConversion"/>
  </si>
  <si>
    <t>* 주부식비(보충액)</t>
    <phoneticPr fontId="8" type="noConversion"/>
  </si>
  <si>
    <t>* 월동대책비(김장)</t>
    <phoneticPr fontId="8" type="noConversion"/>
  </si>
  <si>
    <t>후원</t>
    <phoneticPr fontId="8" type="noConversion"/>
  </si>
  <si>
    <t>후원</t>
    <phoneticPr fontId="8" type="noConversion"/>
  </si>
  <si>
    <t>원</t>
    <phoneticPr fontId="8" type="noConversion"/>
  </si>
  <si>
    <t>잡수</t>
    <phoneticPr fontId="8" type="noConversion"/>
  </si>
  <si>
    <t>법인</t>
    <phoneticPr fontId="8" type="noConversion"/>
  </si>
  <si>
    <t>입소</t>
    <phoneticPr fontId="8" type="noConversion"/>
  </si>
  <si>
    <t>* 정수기 임대료 및 수질검사 등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</si>
  <si>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</si>
  <si>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</si>
  <si>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</si>
  <si>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</si>
  <si>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</si>
  <si>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</si>
  <si>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</si>
  <si>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* 찜질방 이용</t>
    <phoneticPr fontId="8" type="noConversion"/>
  </si>
  <si>
    <t>회</t>
    <phoneticPr fontId="8" type="noConversion"/>
  </si>
  <si>
    <t>* 요리활동 및 외식</t>
    <phoneticPr fontId="8" type="noConversion"/>
  </si>
  <si>
    <t>* 노래방 이용</t>
    <phoneticPr fontId="8" type="noConversion"/>
  </si>
  <si>
    <t>교육지원</t>
    <phoneticPr fontId="8" type="noConversion"/>
  </si>
  <si>
    <t>* 성교육</t>
    <phoneticPr fontId="8" type="noConversion"/>
  </si>
  <si>
    <t>* 인권교육</t>
    <phoneticPr fontId="8" type="noConversion"/>
  </si>
  <si>
    <t>* 금전관리교육</t>
    <phoneticPr fontId="8" type="noConversion"/>
  </si>
  <si>
    <t>* 독서치료교육</t>
    <phoneticPr fontId="8" type="noConversion"/>
  </si>
  <si>
    <t>* 교육(학습)지원 비용</t>
    <phoneticPr fontId="8" type="noConversion"/>
  </si>
  <si>
    <t>자치회의</t>
    <phoneticPr fontId="8" type="noConversion"/>
  </si>
  <si>
    <t>* 자치회의</t>
    <phoneticPr fontId="8" type="noConversion"/>
  </si>
  <si>
    <t>* 봄</t>
    <phoneticPr fontId="8" type="noConversion"/>
  </si>
  <si>
    <t>* 여름캠프</t>
    <phoneticPr fontId="8" type="noConversion"/>
  </si>
  <si>
    <t>* 가을여행</t>
    <phoneticPr fontId="8" type="noConversion"/>
  </si>
  <si>
    <t>* 겨울</t>
    <phoneticPr fontId="8" type="noConversion"/>
  </si>
  <si>
    <t>계절별</t>
    <phoneticPr fontId="8" type="noConversion"/>
  </si>
  <si>
    <t>나들이</t>
    <phoneticPr fontId="8" type="noConversion"/>
  </si>
  <si>
    <t>문화생활</t>
    <phoneticPr fontId="8" type="noConversion"/>
  </si>
  <si>
    <t>* 영화 및 뮤지컬 관람</t>
    <phoneticPr fontId="8" type="noConversion"/>
  </si>
  <si>
    <t>* 문화생활비</t>
    <phoneticPr fontId="8" type="noConversion"/>
  </si>
  <si>
    <t>운동지원</t>
    <phoneticPr fontId="8" type="noConversion"/>
  </si>
  <si>
    <t>* 등산프로그램</t>
    <phoneticPr fontId="8" type="noConversion"/>
  </si>
  <si>
    <t>* 헬스프로그램</t>
    <phoneticPr fontId="8" type="noConversion"/>
  </si>
  <si>
    <t>* 수영프로그램</t>
    <phoneticPr fontId="8" type="noConversion"/>
  </si>
  <si>
    <t>* 헬스용품 구입비</t>
    <phoneticPr fontId="8" type="noConversion"/>
  </si>
  <si>
    <t>월</t>
    <phoneticPr fontId="8" type="noConversion"/>
  </si>
  <si>
    <t>* 송년회</t>
    <phoneticPr fontId="8" type="noConversion"/>
  </si>
  <si>
    <t>* 개원기념일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</si>
  <si>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</si>
  <si>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</si>
  <si>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</si>
  <si>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</si>
  <si>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</si>
  <si>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</si>
  <si>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</si>
  <si>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</si>
  <si>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* 간식비(우유대금)</t>
    <phoneticPr fontId="8" type="noConversion"/>
  </si>
  <si>
    <t>* 주민세 등 기타 공과금</t>
    <phoneticPr fontId="8" type="noConversion"/>
  </si>
  <si>
    <t>* 사회재활교사(박정오)</t>
    <phoneticPr fontId="8" type="noConversion"/>
  </si>
  <si>
    <t>5호봉</t>
  </si>
  <si>
    <t>* 사회재활교사</t>
    <phoneticPr fontId="8" type="noConversion"/>
  </si>
  <si>
    <t>=</t>
    <phoneticPr fontId="8" type="noConversion"/>
  </si>
  <si>
    <t>후원/자원</t>
    <phoneticPr fontId="8" type="noConversion"/>
  </si>
  <si>
    <t>월</t>
    <phoneticPr fontId="8" type="noConversion"/>
  </si>
  <si>
    <t>기타 보조금</t>
    <phoneticPr fontId="28" type="noConversion"/>
  </si>
  <si>
    <t xml:space="preserve"> &lt;기타 보조금 합계&gt;</t>
    <phoneticPr fontId="8" type="noConversion"/>
  </si>
  <si>
    <t>일</t>
    <phoneticPr fontId="8" type="noConversion"/>
  </si>
  <si>
    <t xml:space="preserve"> * 경장연 대체인력 지원금</t>
    <phoneticPr fontId="8" type="noConversion"/>
  </si>
  <si>
    <t>과  목</t>
    <phoneticPr fontId="8" type="noConversion"/>
  </si>
  <si>
    <t>예 산 액
(단위:천원)</t>
    <phoneticPr fontId="8" type="noConversion"/>
  </si>
  <si>
    <t>증, (△)감</t>
    <phoneticPr fontId="8" type="noConversion"/>
  </si>
  <si>
    <t>산출내역</t>
    <phoneticPr fontId="8" type="noConversion"/>
  </si>
  <si>
    <t>내    역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</si>
  <si>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</si>
  <si>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</si>
  <si>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</si>
  <si>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합     계</t>
    <phoneticPr fontId="8" type="noConversion"/>
  </si>
  <si>
    <t>입소
비용</t>
    <phoneticPr fontId="8" type="noConversion"/>
  </si>
  <si>
    <t>보조금
수   입</t>
    <phoneticPr fontId="8" type="noConversion"/>
  </si>
  <si>
    <t>국   고
보조금</t>
    <phoneticPr fontId="8" type="noConversion"/>
  </si>
  <si>
    <t>생계비</t>
    <phoneticPr fontId="8" type="noConversion"/>
  </si>
  <si>
    <t xml:space="preserve">* </t>
    <phoneticPr fontId="8" type="noConversion"/>
  </si>
  <si>
    <t>운영비</t>
    <phoneticPr fontId="8" type="noConversion"/>
  </si>
  <si>
    <t>시   도
보조금</t>
    <phoneticPr fontId="8" type="noConversion"/>
  </si>
  <si>
    <t>환경개선
사업비</t>
    <phoneticPr fontId="8" type="noConversion"/>
  </si>
  <si>
    <t>기타
지원금</t>
    <phoneticPr fontId="8" type="noConversion"/>
  </si>
  <si>
    <t>시군구
보조금</t>
    <phoneticPr fontId="8" type="noConversion"/>
  </si>
  <si>
    <t>직원건강
진단비</t>
    <phoneticPr fontId="8" type="noConversion"/>
  </si>
  <si>
    <t>기타
보조금</t>
    <phoneticPr fontId="8" type="noConversion"/>
  </si>
  <si>
    <t>경장연
지원금</t>
    <phoneticPr fontId="8" type="noConversion"/>
  </si>
  <si>
    <t>후원금</t>
    <phoneticPr fontId="8" type="noConversion"/>
  </si>
  <si>
    <t>지정
후원금</t>
    <phoneticPr fontId="8" type="noConversion"/>
  </si>
  <si>
    <t>비지정
후원금</t>
    <phoneticPr fontId="8" type="noConversion"/>
  </si>
  <si>
    <t>전입금</t>
    <phoneticPr fontId="8" type="noConversion"/>
  </si>
  <si>
    <t>법인
전입금</t>
    <phoneticPr fontId="8" type="noConversion"/>
  </si>
  <si>
    <t>법인
전입금
(후원금)</t>
    <phoneticPr fontId="8" type="noConversion"/>
  </si>
  <si>
    <t>이월금</t>
    <phoneticPr fontId="8" type="noConversion"/>
  </si>
  <si>
    <t>전년도
이월금</t>
    <phoneticPr fontId="8" type="noConversion"/>
  </si>
  <si>
    <t>입소비용
이월금</t>
    <phoneticPr fontId="8" type="noConversion"/>
  </si>
  <si>
    <t>보조금
이월금</t>
    <phoneticPr fontId="8" type="noConversion"/>
  </si>
  <si>
    <t>법인
전입금
이월금</t>
    <phoneticPr fontId="8" type="noConversion"/>
  </si>
  <si>
    <t>잡수입
이월금</t>
    <phoneticPr fontId="8" type="noConversion"/>
  </si>
  <si>
    <t>전년도
이월금
(후원)</t>
    <phoneticPr fontId="8" type="noConversion"/>
  </si>
  <si>
    <t>전년도
이월금
(후원금)</t>
    <phoneticPr fontId="8" type="noConversion"/>
  </si>
  <si>
    <t>잡수입</t>
    <phoneticPr fontId="8" type="noConversion"/>
  </si>
  <si>
    <t>예 산 액
(단위:원)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</si>
  <si>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</si>
  <si>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</si>
  <si>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</si>
  <si>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일용잡급</t>
    <phoneticPr fontId="8" type="noConversion"/>
  </si>
  <si>
    <t>제수당</t>
    <phoneticPr fontId="8" type="noConversion"/>
  </si>
  <si>
    <t>퇴직금
적립금</t>
    <phoneticPr fontId="8" type="noConversion"/>
  </si>
  <si>
    <t>사회보험
부담금</t>
    <phoneticPr fontId="8" type="noConversion"/>
  </si>
  <si>
    <t>기타
후생경비</t>
    <phoneticPr fontId="8" type="noConversion"/>
  </si>
  <si>
    <t>업무
추진비</t>
    <phoneticPr fontId="8" type="noConversion"/>
  </si>
  <si>
    <t>기관
운영비</t>
    <phoneticPr fontId="8" type="noConversion"/>
  </si>
  <si>
    <t>직책
보조비</t>
    <phoneticPr fontId="8" type="noConversion"/>
  </si>
  <si>
    <t>회의비</t>
    <phoneticPr fontId="8" type="noConversion"/>
  </si>
  <si>
    <t>여비</t>
    <phoneticPr fontId="8" type="noConversion"/>
  </si>
  <si>
    <t>수용비 및
수수료</t>
    <phoneticPr fontId="8" type="noConversion"/>
  </si>
  <si>
    <t>공공요금</t>
    <phoneticPr fontId="8" type="noConversion"/>
  </si>
  <si>
    <t>제세
공과금</t>
    <phoneticPr fontId="8" type="noConversion"/>
  </si>
  <si>
    <t>차량비</t>
    <phoneticPr fontId="8" type="noConversion"/>
  </si>
  <si>
    <t>기타
운영비</t>
    <phoneticPr fontId="8" type="noConversion"/>
  </si>
  <si>
    <t>재산
조성비</t>
    <phoneticPr fontId="8" type="noConversion"/>
  </si>
  <si>
    <t>시설비</t>
    <phoneticPr fontId="8" type="noConversion"/>
  </si>
  <si>
    <t>자산
취득비</t>
    <phoneticPr fontId="8" type="noConversion"/>
  </si>
  <si>
    <t>시설장비
유지비</t>
    <phoneticPr fontId="8" type="noConversion"/>
  </si>
  <si>
    <t>사업비</t>
    <phoneticPr fontId="8" type="noConversion"/>
  </si>
  <si>
    <t>수용기관
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</si>
  <si>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</si>
  <si>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</si>
  <si>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</si>
  <si>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
사업비</t>
    <phoneticPr fontId="8" type="noConversion"/>
  </si>
  <si>
    <t>보조금
반환금</t>
    <phoneticPr fontId="8" type="noConversion"/>
  </si>
  <si>
    <t>예비비</t>
    <phoneticPr fontId="8" type="noConversion"/>
  </si>
  <si>
    <t xml:space="preserve">* </t>
    <phoneticPr fontId="8" type="noConversion"/>
  </si>
  <si>
    <t xml:space="preserve"> * 예금이자(후원금)</t>
    <phoneticPr fontId="8" type="noConversion"/>
  </si>
  <si>
    <t>* 특수건강검진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</si>
  <si>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</si>
  <si>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</si>
  <si>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</si>
  <si>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입소</t>
    <phoneticPr fontId="8" type="noConversion"/>
  </si>
  <si>
    <t>1. 보조금 이자수입</t>
    <phoneticPr fontId="8" type="noConversion"/>
  </si>
  <si>
    <t>2. 법인전입금 이자수입</t>
    <phoneticPr fontId="8" type="noConversion"/>
  </si>
  <si>
    <t>원</t>
    <phoneticPr fontId="8" type="noConversion"/>
  </si>
  <si>
    <t>3. 입소비용 이자수입</t>
    <phoneticPr fontId="8" type="noConversion"/>
  </si>
  <si>
    <t>4. 잡수입 이자수입</t>
    <phoneticPr fontId="8" type="noConversion"/>
  </si>
  <si>
    <t>5. 후원금 이자수입</t>
    <phoneticPr fontId="8" type="noConversion"/>
  </si>
  <si>
    <t>* 법인전입금 예금이자</t>
    <phoneticPr fontId="8" type="noConversion"/>
  </si>
  <si>
    <t>* 법인전입금 체크카드환급액</t>
    <phoneticPr fontId="8" type="noConversion"/>
  </si>
  <si>
    <t>* 입소비용 예금이자</t>
    <phoneticPr fontId="8" type="noConversion"/>
  </si>
  <si>
    <t>* 입소비용 체크카드환급액</t>
    <phoneticPr fontId="8" type="noConversion"/>
  </si>
  <si>
    <t>* 잡수입 예금이자</t>
    <phoneticPr fontId="8" type="noConversion"/>
  </si>
  <si>
    <t>* 잡수입 체크카드환급액</t>
    <phoneticPr fontId="8" type="noConversion"/>
  </si>
  <si>
    <t>* 후원금 예금이자</t>
    <phoneticPr fontId="8" type="noConversion"/>
  </si>
  <si>
    <t>* 후원금 체크카드환급액</t>
    <phoneticPr fontId="8" type="noConversion"/>
  </si>
  <si>
    <t>입소</t>
    <phoneticPr fontId="8" type="noConversion"/>
  </si>
  <si>
    <t>6호봉</t>
    <phoneticPr fontId="8" type="noConversion"/>
  </si>
  <si>
    <t>입소</t>
    <phoneticPr fontId="8" type="noConversion"/>
  </si>
  <si>
    <t xml:space="preserve">* 소규모수선비/집기구입 등 </t>
    <phoneticPr fontId="8" type="noConversion"/>
  </si>
  <si>
    <t>* 생활용품구입비(치약,치솔,화장지 등)</t>
    <phoneticPr fontId="8" type="noConversion"/>
  </si>
  <si>
    <t>보조</t>
    <phoneticPr fontId="8" type="noConversion"/>
  </si>
  <si>
    <t>* 환경개선사업(7종)</t>
    <phoneticPr fontId="8" type="noConversion"/>
  </si>
  <si>
    <t>=</t>
    <phoneticPr fontId="8" type="noConversion"/>
  </si>
  <si>
    <t xml:space="preserve">* </t>
    <phoneticPr fontId="8" type="noConversion"/>
  </si>
  <si>
    <t>계
(B)</t>
    <phoneticPr fontId="8" type="noConversion"/>
  </si>
  <si>
    <t>보조금
(도비)</t>
    <phoneticPr fontId="8" type="noConversion"/>
  </si>
  <si>
    <t>보조금(7종)</t>
    <phoneticPr fontId="8" type="noConversion"/>
  </si>
  <si>
    <t>보조금
(시비)</t>
    <phoneticPr fontId="8" type="noConversion"/>
  </si>
  <si>
    <t>후원금</t>
    <phoneticPr fontId="8" type="noConversion"/>
  </si>
  <si>
    <t>입소자
부담금</t>
    <phoneticPr fontId="8" type="noConversion"/>
  </si>
  <si>
    <t>법인
전입금</t>
    <phoneticPr fontId="8" type="noConversion"/>
  </si>
  <si>
    <t>잡수입</t>
    <phoneticPr fontId="8" type="noConversion"/>
  </si>
  <si>
    <t>2017년
1추경 예산</t>
    <phoneticPr fontId="28" type="noConversion"/>
  </si>
  <si>
    <t>* 종사자처우개선비(경기도)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</si>
  <si>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</si>
  <si>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</si>
  <si>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</si>
  <si>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</si>
  <si>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후원</t>
    <phoneticPr fontId="8" type="noConversion"/>
  </si>
  <si>
    <t>합    계 :</t>
    <phoneticPr fontId="8" type="noConversion"/>
  </si>
  <si>
    <t xml:space="preserve"> </t>
    <phoneticPr fontId="8" type="noConversion"/>
  </si>
  <si>
    <t>=</t>
    <phoneticPr fontId="8" type="noConversion"/>
  </si>
  <si>
    <t>보조</t>
    <phoneticPr fontId="8" type="noConversion"/>
  </si>
  <si>
    <t>6. 사회보험부담금(정산보험)</t>
    <phoneticPr fontId="8" type="noConversion"/>
  </si>
  <si>
    <t>후원</t>
    <phoneticPr fontId="8" type="noConversion"/>
  </si>
  <si>
    <t>입소</t>
    <phoneticPr fontId="8" type="noConversion"/>
  </si>
  <si>
    <t>인건비</t>
    <phoneticPr fontId="8" type="noConversion"/>
  </si>
  <si>
    <t>운영비</t>
    <phoneticPr fontId="8" type="noConversion"/>
  </si>
  <si>
    <t>반환금</t>
    <phoneticPr fontId="8" type="noConversion"/>
  </si>
  <si>
    <t>프로그램비</t>
    <phoneticPr fontId="8" type="noConversion"/>
  </si>
  <si>
    <t>연료비</t>
    <phoneticPr fontId="8" type="noConversion"/>
  </si>
  <si>
    <t>의료비</t>
    <phoneticPr fontId="8" type="noConversion"/>
  </si>
  <si>
    <t>피복비</t>
    <phoneticPr fontId="8" type="noConversion"/>
  </si>
  <si>
    <t>수용기관경비</t>
    <phoneticPr fontId="8" type="noConversion"/>
  </si>
  <si>
    <t>생계비</t>
    <phoneticPr fontId="8" type="noConversion"/>
  </si>
  <si>
    <t>경장연 대체인력</t>
    <phoneticPr fontId="8" type="noConversion"/>
  </si>
  <si>
    <t>기타운영비</t>
    <phoneticPr fontId="8" type="noConversion"/>
  </si>
  <si>
    <t>종사자처우개선비</t>
    <phoneticPr fontId="8" type="noConversion"/>
  </si>
  <si>
    <t>차량비</t>
    <phoneticPr fontId="8" type="noConversion"/>
  </si>
  <si>
    <t>직원건강진단비</t>
    <phoneticPr fontId="8" type="noConversion"/>
  </si>
  <si>
    <t>제세공과금</t>
    <phoneticPr fontId="8" type="noConversion"/>
  </si>
  <si>
    <t>종사자근무수당</t>
    <phoneticPr fontId="8" type="noConversion"/>
  </si>
  <si>
    <t>공공요금</t>
    <phoneticPr fontId="8" type="noConversion"/>
  </si>
  <si>
    <t>환경개선사업비</t>
    <phoneticPr fontId="8" type="noConversion"/>
  </si>
  <si>
    <t>수용비및수수료</t>
    <phoneticPr fontId="8" type="noConversion"/>
  </si>
  <si>
    <t>시설당 지원금</t>
    <phoneticPr fontId="8" type="noConversion"/>
  </si>
  <si>
    <t>기타후생경비</t>
    <phoneticPr fontId="8" type="noConversion"/>
  </si>
  <si>
    <t>바르나바</t>
    <phoneticPr fontId="8" type="noConversion"/>
  </si>
  <si>
    <t>마르따</t>
    <phoneticPr fontId="8" type="noConversion"/>
  </si>
  <si>
    <t>몬띠</t>
    <phoneticPr fontId="8" type="noConversion"/>
  </si>
  <si>
    <t>합계</t>
    <phoneticPr fontId="8" type="noConversion"/>
  </si>
  <si>
    <t>1/4분기
신청액</t>
    <phoneticPr fontId="8" type="noConversion"/>
  </si>
  <si>
    <t>2/4분기
신청액</t>
    <phoneticPr fontId="8" type="noConversion"/>
  </si>
  <si>
    <t>3/4분기
신청액</t>
    <phoneticPr fontId="8" type="noConversion"/>
  </si>
  <si>
    <t>4/4분기
신청액</t>
    <phoneticPr fontId="8" type="noConversion"/>
  </si>
  <si>
    <t>검증</t>
    <phoneticPr fontId="8" type="noConversion"/>
  </si>
  <si>
    <t>기타후생경비</t>
    <phoneticPr fontId="8" type="noConversion"/>
  </si>
  <si>
    <t>수용비및수수료</t>
    <phoneticPr fontId="8" type="noConversion"/>
  </si>
  <si>
    <t>제세공과금</t>
    <phoneticPr fontId="8" type="noConversion"/>
  </si>
  <si>
    <t>기타운영비</t>
    <phoneticPr fontId="8" type="noConversion"/>
  </si>
  <si>
    <t>수용기관경비</t>
    <phoneticPr fontId="8" type="noConversion"/>
  </si>
  <si>
    <t>프로그램비</t>
    <phoneticPr fontId="8" type="noConversion"/>
  </si>
  <si>
    <t>2017년 바르나바의 집 분기별 운영비(보조금) 신청액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</si>
  <si>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</si>
  <si>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</si>
  <si>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</si>
  <si>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</si>
  <si>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보조</t>
    <phoneticPr fontId="8" type="noConversion"/>
  </si>
  <si>
    <t>2017년
1차추경 예산</t>
    <phoneticPr fontId="8" type="noConversion"/>
  </si>
  <si>
    <t xml:space="preserve">* </t>
    <phoneticPr fontId="8" type="noConversion"/>
  </si>
  <si>
    <t xml:space="preserve">* 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</si>
  <si>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</si>
  <si>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</si>
  <si>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</si>
  <si>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회의 다과비</t>
    <phoneticPr fontId="8" type="noConversion"/>
  </si>
  <si>
    <t>회</t>
    <phoneticPr fontId="8" type="noConversion"/>
  </si>
  <si>
    <t>* 직원건강검진비(순수시비)</t>
    <phoneticPr fontId="8" type="noConversion"/>
  </si>
  <si>
    <t>명</t>
    <phoneticPr fontId="8" type="noConversion"/>
  </si>
  <si>
    <t>* 우편물발송료 등 기타 공공요금</t>
    <phoneticPr fontId="8" type="noConversion"/>
  </si>
  <si>
    <t>&lt;바르나바의 집 2017년도 2차추경예산 세출내역&gt;</t>
    <phoneticPr fontId="8" type="noConversion"/>
  </si>
  <si>
    <t>2017년
1차추경
예산액(A)
(단위:천원)</t>
    <phoneticPr fontId="8" type="noConversion"/>
  </si>
  <si>
    <t>2017년 2차추경 예산액(B)(단위:천원)</t>
    <phoneticPr fontId="8" type="noConversion"/>
  </si>
  <si>
    <t>7종</t>
    <phoneticPr fontId="8" type="noConversion"/>
  </si>
  <si>
    <t>* 결연후원금 지급(지정후원금)</t>
    <phoneticPr fontId="8" type="noConversion"/>
  </si>
  <si>
    <t>시비</t>
    <phoneticPr fontId="8" type="noConversion"/>
  </si>
  <si>
    <t>법인</t>
    <phoneticPr fontId="8" type="noConversion"/>
  </si>
  <si>
    <t>입소</t>
    <phoneticPr fontId="8" type="noConversion"/>
  </si>
  <si>
    <t>잡수</t>
    <phoneticPr fontId="8" type="noConversion"/>
  </si>
  <si>
    <t>후원</t>
    <phoneticPr fontId="8" type="noConversion"/>
  </si>
  <si>
    <t>2017년
1차추경
예산액(B)
(단위:천원)</t>
    <phoneticPr fontId="8" type="noConversion"/>
  </si>
  <si>
    <t>&lt;바르나바의 집 2017년도 2차추경예산 세입내역&gt;</t>
    <phoneticPr fontId="8" type="noConversion"/>
  </si>
  <si>
    <t>2017년
2차추경예산
(B)
(단위:천원)</t>
    <phoneticPr fontId="8" type="noConversion"/>
  </si>
  <si>
    <t>* 종사자특수근무수당(7종)</t>
    <phoneticPr fontId="8" type="noConversion"/>
  </si>
  <si>
    <t>* 지역사회 종사자수당</t>
    <phoneticPr fontId="8" type="noConversion"/>
  </si>
  <si>
    <t>* 사회재활교사(이세훈)</t>
    <phoneticPr fontId="8" type="noConversion"/>
  </si>
  <si>
    <t>5호봉</t>
    <phoneticPr fontId="8" type="noConversion"/>
  </si>
  <si>
    <t>4.종사자특수근무수당(7종)</t>
    <phoneticPr fontId="8" type="noConversion"/>
  </si>
  <si>
    <t>6.종사자처우개선비(경기도)</t>
    <phoneticPr fontId="8" type="noConversion"/>
  </si>
  <si>
    <t>* 사회재활교사</t>
    <phoneticPr fontId="8" type="noConversion"/>
  </si>
  <si>
    <t>법인</t>
    <phoneticPr fontId="8" type="noConversion"/>
  </si>
  <si>
    <t>시비</t>
    <phoneticPr fontId="8" type="noConversion"/>
  </si>
  <si>
    <t>7종</t>
    <phoneticPr fontId="8" type="noConversion"/>
  </si>
  <si>
    <t>5.지역사회 종사자수당</t>
    <phoneticPr fontId="8" type="noConversion"/>
  </si>
  <si>
    <t>□ 2017년도 2차추경예산 세 입 · 세 출 총  괄  표</t>
    <phoneticPr fontId="28" type="noConversion"/>
  </si>
  <si>
    <t>2017년 2차추경 예산 세출증감내역</t>
    <phoneticPr fontId="8" type="noConversion"/>
  </si>
  <si>
    <t>2017년
2차추경 예산</t>
    <phoneticPr fontId="8" type="noConversion"/>
  </si>
  <si>
    <t>2017년 2차추경 예산 세입증감내역</t>
    <phoneticPr fontId="8" type="noConversion"/>
  </si>
  <si>
    <t>종사자
특수근무수당(7종)</t>
    <phoneticPr fontId="8" type="noConversion"/>
  </si>
  <si>
    <t>종사자
근무수당</t>
    <phoneticPr fontId="8" type="noConversion"/>
  </si>
  <si>
    <t>* 3분기부터 보조금 지원 중단</t>
    <phoneticPr fontId="8" type="noConversion"/>
  </si>
  <si>
    <t>* 경장연 대체인력지원 인건비(20일-&gt;2일) 삭감</t>
    <phoneticPr fontId="8" type="noConversion"/>
  </si>
  <si>
    <t>*종사자특수근무수당(7종) 신설반영</t>
    <phoneticPr fontId="8" type="noConversion"/>
  </si>
  <si>
    <t>2017년
2추경 예산</t>
    <phoneticPr fontId="28" type="noConversion"/>
  </si>
  <si>
    <t>*  대체인력 20일 -&gt;2일 이용 예산반영</t>
    <phoneticPr fontId="8" type="noConversion"/>
  </si>
  <si>
    <t>* 생계비 증액</t>
    <phoneticPr fontId="8" type="noConversion"/>
  </si>
  <si>
    <t>* 수용기관경비 증액</t>
    <phoneticPr fontId="8" type="noConversion"/>
  </si>
  <si>
    <t>*  직원 변동으로 급여 삭감</t>
    <phoneticPr fontId="8" type="noConversion"/>
  </si>
  <si>
    <t>* 지역사회 종사자수당 120만원 -&gt;60만원으로 삭감
* 종사자특수근무수당(7종) 신설로 180만원 증액
* 직원변동으로 연장근로수당 및 명절휴가비 143천원 삭감</t>
    <phoneticPr fontId="8" type="noConversion"/>
  </si>
  <si>
    <t>* 추경 예산 조정으로 증액</t>
    <phoneticPr fontId="8" type="noConversion"/>
  </si>
  <si>
    <t>* 직원 변동으로 사회보험부담금 삭감</t>
    <phoneticPr fontId="8" type="noConversion"/>
  </si>
  <si>
    <t>* 예산계수 조정으로 삭감</t>
    <phoneticPr fontId="8" type="noConversion"/>
  </si>
  <si>
    <t>* 수용비 및 수수료 삭감</t>
    <phoneticPr fontId="8" type="noConversion"/>
  </si>
  <si>
    <t>* 공공요금 증액</t>
    <phoneticPr fontId="8" type="noConversion"/>
  </si>
  <si>
    <t>* 제세공과금 삭감</t>
    <phoneticPr fontId="8" type="noConversion"/>
  </si>
  <si>
    <t>* 차량비 증액</t>
    <phoneticPr fontId="8" type="noConversion"/>
  </si>
  <si>
    <t>* 환경개선사업비(업무용 컴퓨터, 제습기, 청소기 등 구입) 증액</t>
    <phoneticPr fontId="8" type="noConversion"/>
  </si>
  <si>
    <t>* 환경개선사업비(업무용 컴퓨터, 제습기, 청소기 등 구입) 증액</t>
    <phoneticPr fontId="8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</si>
</sst>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 ;[Red]\-#,##0\ "/>
    <numFmt numFmtId="193" formatCode="#,##0.0;[Red]#,##0.0"/>
    <numFmt numFmtId="194" formatCode="#,##0&quot;×&quot;;\-#,##0&quot;원×&quot;"/>
    <numFmt numFmtId="195" formatCode="#,##0&quot;월&quot;;\-#,##0&quot;월&quot;"/>
    <numFmt numFmtId="196" formatCode="#,##0&quot;h×&quot;;\-#,##0&quot;h×&quot;"/>
    <numFmt numFmtId="197" formatCode="#,##0&quot;회&quot;;[Red]#,##0"/>
    <numFmt numFmtId="198" formatCode="#,##0&quot;명&quot;;[Red]#,##0"/>
  </numFmts>
  <fonts count="5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01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4" xfId="3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4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3" xfId="3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5" xfId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188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89" fontId="0" fillId="0" borderId="62" xfId="0" applyNumberForma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191" fontId="0" fillId="0" borderId="63" xfId="0" applyNumberFormat="1" applyFill="1" applyBorder="1" applyAlignment="1">
      <alignment vertical="center"/>
    </xf>
    <xf numFmtId="188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88" fontId="35" fillId="0" borderId="26" xfId="0" applyNumberFormat="1" applyFont="1" applyFill="1" applyBorder="1" applyAlignment="1">
      <alignment vertical="center"/>
    </xf>
    <xf numFmtId="188" fontId="0" fillId="0" borderId="52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88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88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88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2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7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6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50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4" fontId="24" fillId="0" borderId="0" xfId="3" applyNumberFormat="1" applyFont="1" applyFill="1" applyBorder="1" applyAlignment="1">
      <alignment horizontal="left" vertical="center"/>
    </xf>
    <xf numFmtId="193" fontId="24" fillId="0" borderId="0" xfId="3" applyNumberFormat="1" applyFont="1" applyFill="1" applyBorder="1" applyAlignment="1">
      <alignment vertical="center"/>
    </xf>
    <xf numFmtId="195" fontId="24" fillId="0" borderId="0" xfId="3" applyNumberFormat="1" applyFont="1" applyFill="1" applyBorder="1" applyAlignment="1">
      <alignment vertical="center"/>
    </xf>
    <xf numFmtId="196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1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88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0" fontId="33" fillId="0" borderId="33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1" fontId="0" fillId="4" borderId="20" xfId="2" applyFont="1" applyFill="1" applyBorder="1" applyAlignment="1">
      <alignment vertical="center"/>
    </xf>
    <xf numFmtId="41" fontId="0" fillId="5" borderId="20" xfId="2" applyFont="1" applyFill="1" applyBorder="1" applyAlignment="1">
      <alignment vertical="center"/>
    </xf>
    <xf numFmtId="41" fontId="0" fillId="2" borderId="20" xfId="0" applyNumberFormat="1" applyFill="1" applyBorder="1" applyAlignment="1">
      <alignment vertical="center"/>
    </xf>
    <xf numFmtId="41" fontId="0" fillId="6" borderId="20" xfId="2" applyFont="1" applyFill="1" applyBorder="1" applyAlignment="1">
      <alignment vertical="center"/>
    </xf>
    <xf numFmtId="41" fontId="0" fillId="5" borderId="0" xfId="2" applyFont="1" applyFill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197" fontId="33" fillId="0" borderId="0" xfId="3" applyNumberFormat="1" applyFont="1" applyFill="1" applyBorder="1" applyAlignment="1">
      <alignment vertical="center"/>
    </xf>
    <xf numFmtId="198" fontId="33" fillId="0" borderId="0" xfId="3" applyNumberFormat="1" applyFont="1" applyFill="1" applyBorder="1" applyAlignment="1">
      <alignment vertical="center"/>
    </xf>
    <xf numFmtId="41" fontId="33" fillId="0" borderId="0" xfId="2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42" fontId="33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55" fillId="0" borderId="0" xfId="0" applyNumberFormat="1" applyFont="1" applyBorder="1">
      <alignment vertical="center"/>
    </xf>
    <xf numFmtId="41" fontId="10" fillId="0" borderId="18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176" fontId="15" fillId="0" borderId="0" xfId="3" applyNumberFormat="1" applyFont="1" applyFill="1" applyBorder="1" applyAlignment="1">
      <alignment horizontal="center" vertical="center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29" xfId="3" applyNumberFormat="1" applyFont="1" applyFill="1" applyBorder="1" applyAlignment="1">
      <alignment horizontal="center" vertical="center" wrapText="1"/>
    </xf>
    <xf numFmtId="178" fontId="16" fillId="0" borderId="44" xfId="3" applyNumberFormat="1" applyFont="1" applyFill="1" applyBorder="1" applyAlignment="1">
      <alignment horizontal="center" vertical="center" wrapText="1"/>
    </xf>
    <xf numFmtId="178" fontId="16" fillId="0" borderId="52" xfId="3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2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e/AppData/Local/Microsoft/Windows/Temporary%20Internet%20Files/Content.IE5/ZDM1PU83/2017&#45380;&#46020;%201&#52264;&#52628;&#44221;&#50696;&#49328;&#50504;(&#47788;&#4694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e/AppData/Local/Microsoft/Windows/Temporary%20Internet%20Files/Content.IE5/ZDM1PU83/2016&#45380;&#46020;%202&#52264;&#52628;&#44221;&#50696;&#49328;&#50504;(&#47560;&#47476;&#4638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J8" sqref="J8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639</v>
      </c>
      <c r="K2" s="203" t="s">
        <v>321</v>
      </c>
    </row>
    <row r="3" spans="2:11" ht="9.9499999999999993" customHeight="1" thickBot="1"/>
    <row r="4" spans="2:11" ht="30" customHeight="1">
      <c r="B4" s="632" t="s">
        <v>162</v>
      </c>
      <c r="C4" s="633"/>
      <c r="D4" s="633"/>
      <c r="E4" s="633"/>
      <c r="F4" s="634"/>
      <c r="G4" s="632" t="s">
        <v>163</v>
      </c>
      <c r="H4" s="633"/>
      <c r="I4" s="633"/>
      <c r="J4" s="633"/>
      <c r="K4" s="635"/>
    </row>
    <row r="5" spans="2:11" ht="16.5" customHeight="1">
      <c r="B5" s="636" t="s">
        <v>164</v>
      </c>
      <c r="C5" s="637"/>
      <c r="D5" s="640" t="s">
        <v>548</v>
      </c>
      <c r="E5" s="640" t="s">
        <v>648</v>
      </c>
      <c r="F5" s="642" t="s">
        <v>165</v>
      </c>
      <c r="G5" s="636" t="s">
        <v>164</v>
      </c>
      <c r="H5" s="637"/>
      <c r="I5" s="640" t="s">
        <v>548</v>
      </c>
      <c r="J5" s="640" t="s">
        <v>648</v>
      </c>
      <c r="K5" s="644" t="s">
        <v>165</v>
      </c>
    </row>
    <row r="6" spans="2:11" ht="22.5" customHeight="1" thickBot="1">
      <c r="B6" s="638"/>
      <c r="C6" s="639"/>
      <c r="D6" s="641"/>
      <c r="E6" s="641"/>
      <c r="F6" s="643"/>
      <c r="G6" s="638"/>
      <c r="H6" s="639"/>
      <c r="I6" s="641"/>
      <c r="J6" s="641"/>
      <c r="K6" s="645"/>
    </row>
    <row r="7" spans="2:11" ht="24.95" customHeight="1" thickTop="1">
      <c r="B7" s="630" t="s">
        <v>166</v>
      </c>
      <c r="C7" s="631"/>
      <c r="D7" s="507">
        <f>SUM(D8:D23)/2</f>
        <v>73585000</v>
      </c>
      <c r="E7" s="507">
        <f>SUM(E8:E23)/2</f>
        <v>74345000</v>
      </c>
      <c r="F7" s="508">
        <f>SUM(F8:F23)/2</f>
        <v>760000</v>
      </c>
      <c r="G7" s="630" t="s">
        <v>166</v>
      </c>
      <c r="H7" s="631"/>
      <c r="I7" s="507">
        <f>SUM(I8:I28)/2</f>
        <v>73585000</v>
      </c>
      <c r="J7" s="507">
        <f>SUM(J8:J28)/2</f>
        <v>74345000</v>
      </c>
      <c r="K7" s="509">
        <f>SUM(K8:K28)/2</f>
        <v>760000</v>
      </c>
    </row>
    <row r="8" spans="2:11" ht="24.95" customHeight="1">
      <c r="B8" s="624" t="s">
        <v>167</v>
      </c>
      <c r="C8" s="510" t="s">
        <v>320</v>
      </c>
      <c r="D8" s="511">
        <f>D9</f>
        <v>7200000</v>
      </c>
      <c r="E8" s="511">
        <f>E9</f>
        <v>7200000</v>
      </c>
      <c r="F8" s="512">
        <f>F9</f>
        <v>0</v>
      </c>
      <c r="G8" s="624" t="s">
        <v>169</v>
      </c>
      <c r="H8" s="510" t="s">
        <v>320</v>
      </c>
      <c r="I8" s="511">
        <f>SUM(I9:I11)</f>
        <v>52437000</v>
      </c>
      <c r="J8" s="511">
        <f>SUM(J9:J11)</f>
        <v>51253000</v>
      </c>
      <c r="K8" s="516">
        <f>SUM(K9:K11)</f>
        <v>-1184000</v>
      </c>
    </row>
    <row r="9" spans="2:11" ht="24.95" customHeight="1">
      <c r="B9" s="625"/>
      <c r="C9" s="204" t="s">
        <v>168</v>
      </c>
      <c r="D9" s="205">
        <v>7200000</v>
      </c>
      <c r="E9" s="205">
        <v>7200000</v>
      </c>
      <c r="F9" s="206">
        <f>E9-D9</f>
        <v>0</v>
      </c>
      <c r="G9" s="626"/>
      <c r="H9" s="204" t="s">
        <v>170</v>
      </c>
      <c r="I9" s="205">
        <v>44215000</v>
      </c>
      <c r="J9" s="205">
        <v>43220000</v>
      </c>
      <c r="K9" s="207">
        <f>J9-I9</f>
        <v>-995000</v>
      </c>
    </row>
    <row r="10" spans="2:11" ht="24.95" customHeight="1">
      <c r="B10" s="578" t="s">
        <v>171</v>
      </c>
      <c r="C10" s="513" t="s">
        <v>320</v>
      </c>
      <c r="D10" s="514">
        <f>SUM(D11:D14)</f>
        <v>59205000</v>
      </c>
      <c r="E10" s="514">
        <f>SUM(E11:E14)</f>
        <v>59965000</v>
      </c>
      <c r="F10" s="515">
        <f>SUM(F11:F14)</f>
        <v>760000</v>
      </c>
      <c r="G10" s="626"/>
      <c r="H10" s="204" t="s">
        <v>172</v>
      </c>
      <c r="I10" s="205">
        <v>350000</v>
      </c>
      <c r="J10" s="205">
        <v>350000</v>
      </c>
      <c r="K10" s="207">
        <f t="shared" ref="K10:K11" si="0">J10-I10</f>
        <v>0</v>
      </c>
    </row>
    <row r="11" spans="2:11" ht="24.95" customHeight="1">
      <c r="B11" s="579"/>
      <c r="C11" s="287" t="s">
        <v>257</v>
      </c>
      <c r="D11" s="205">
        <v>0</v>
      </c>
      <c r="E11" s="205">
        <v>0</v>
      </c>
      <c r="F11" s="206">
        <f t="shared" ref="F11:F23" si="1">E11-D11</f>
        <v>0</v>
      </c>
      <c r="G11" s="625"/>
      <c r="H11" s="204" t="s">
        <v>99</v>
      </c>
      <c r="I11" s="205">
        <v>7872000</v>
      </c>
      <c r="J11" s="205">
        <v>7683000</v>
      </c>
      <c r="K11" s="207">
        <f t="shared" si="0"/>
        <v>-189000</v>
      </c>
    </row>
    <row r="12" spans="2:11" ht="24.95" customHeight="1">
      <c r="B12" s="579"/>
      <c r="C12" s="287" t="s">
        <v>258</v>
      </c>
      <c r="D12" s="205">
        <v>57305000</v>
      </c>
      <c r="E12" s="205">
        <v>59505000</v>
      </c>
      <c r="F12" s="206">
        <f t="shared" si="1"/>
        <v>2200000</v>
      </c>
      <c r="G12" s="624" t="s">
        <v>100</v>
      </c>
      <c r="H12" s="513" t="s">
        <v>320</v>
      </c>
      <c r="I12" s="514">
        <f>SUM(I13:I15)</f>
        <v>1500000</v>
      </c>
      <c r="J12" s="514">
        <f>SUM(J13:J15)</f>
        <v>2500000</v>
      </c>
      <c r="K12" s="517">
        <f>SUM(K13:K15)</f>
        <v>1000000</v>
      </c>
    </row>
    <row r="13" spans="2:11" ht="24.95" customHeight="1">
      <c r="B13" s="579"/>
      <c r="C13" s="287" t="s">
        <v>259</v>
      </c>
      <c r="D13" s="205">
        <v>300000</v>
      </c>
      <c r="E13" s="205">
        <v>300000</v>
      </c>
      <c r="F13" s="206">
        <f t="shared" ref="F13" si="2">E13-D13</f>
        <v>0</v>
      </c>
      <c r="G13" s="626"/>
      <c r="H13" s="204" t="s">
        <v>101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580"/>
      <c r="C14" s="581" t="s">
        <v>438</v>
      </c>
      <c r="D14" s="205">
        <v>1600000</v>
      </c>
      <c r="E14" s="205">
        <v>160000</v>
      </c>
      <c r="F14" s="206">
        <f t="shared" si="1"/>
        <v>-1440000</v>
      </c>
      <c r="G14" s="626"/>
      <c r="H14" s="204" t="s">
        <v>104</v>
      </c>
      <c r="I14" s="205">
        <v>1100000</v>
      </c>
      <c r="J14" s="205">
        <v>2100000</v>
      </c>
      <c r="K14" s="207">
        <f t="shared" ref="K14:K15" si="4">J14-I14</f>
        <v>1000000</v>
      </c>
    </row>
    <row r="15" spans="2:11" ht="24.95" customHeight="1">
      <c r="B15" s="624" t="s">
        <v>102</v>
      </c>
      <c r="C15" s="513" t="s">
        <v>320</v>
      </c>
      <c r="D15" s="514">
        <f>SUM(D16:D17)</f>
        <v>900000</v>
      </c>
      <c r="E15" s="514">
        <f>SUM(E16:E17)</f>
        <v>900000</v>
      </c>
      <c r="F15" s="515">
        <f>SUM(F16:F17)</f>
        <v>0</v>
      </c>
      <c r="G15" s="625"/>
      <c r="H15" s="204" t="s">
        <v>106</v>
      </c>
      <c r="I15" s="205">
        <v>400000</v>
      </c>
      <c r="J15" s="205">
        <v>400000</v>
      </c>
      <c r="K15" s="207">
        <f t="shared" si="4"/>
        <v>0</v>
      </c>
    </row>
    <row r="16" spans="2:11" ht="24.95" customHeight="1">
      <c r="B16" s="626"/>
      <c r="C16" s="204" t="s">
        <v>103</v>
      </c>
      <c r="D16" s="205">
        <v>600000</v>
      </c>
      <c r="E16" s="205">
        <v>600000</v>
      </c>
      <c r="F16" s="206">
        <f t="shared" si="1"/>
        <v>0</v>
      </c>
      <c r="G16" s="624" t="s">
        <v>109</v>
      </c>
      <c r="H16" s="513" t="s">
        <v>320</v>
      </c>
      <c r="I16" s="514">
        <f>SUM(I17:I22)</f>
        <v>19635000</v>
      </c>
      <c r="J16" s="514">
        <f>SUM(J17:J22)</f>
        <v>20583000</v>
      </c>
      <c r="K16" s="517">
        <f>SUM(K17:K22)</f>
        <v>948000</v>
      </c>
    </row>
    <row r="17" spans="2:11" ht="24.95" customHeight="1">
      <c r="B17" s="625"/>
      <c r="C17" s="204" t="s">
        <v>105</v>
      </c>
      <c r="D17" s="205">
        <v>300000</v>
      </c>
      <c r="E17" s="205">
        <v>300000</v>
      </c>
      <c r="F17" s="206">
        <f t="shared" si="1"/>
        <v>0</v>
      </c>
      <c r="G17" s="626"/>
      <c r="H17" s="204" t="s">
        <v>110</v>
      </c>
      <c r="I17" s="205">
        <v>10763000</v>
      </c>
      <c r="J17" s="205">
        <v>11646000</v>
      </c>
      <c r="K17" s="207">
        <f t="shared" ref="K17:K22" si="5">J17-I17</f>
        <v>883000</v>
      </c>
    </row>
    <row r="18" spans="2:11" ht="24.95" customHeight="1">
      <c r="B18" s="624" t="s">
        <v>107</v>
      </c>
      <c r="C18" s="513" t="s">
        <v>320</v>
      </c>
      <c r="D18" s="514">
        <f>D19</f>
        <v>0</v>
      </c>
      <c r="E18" s="514">
        <f>E19</f>
        <v>0</v>
      </c>
      <c r="F18" s="515">
        <f>F19</f>
        <v>0</v>
      </c>
      <c r="G18" s="626"/>
      <c r="H18" s="204" t="s">
        <v>113</v>
      </c>
      <c r="I18" s="205">
        <v>1252000</v>
      </c>
      <c r="J18" s="205">
        <v>1317000</v>
      </c>
      <c r="K18" s="207">
        <f t="shared" si="5"/>
        <v>65000</v>
      </c>
    </row>
    <row r="19" spans="2:11" ht="24.95" customHeight="1">
      <c r="B19" s="625"/>
      <c r="C19" s="204" t="s">
        <v>108</v>
      </c>
      <c r="D19" s="205">
        <v>0</v>
      </c>
      <c r="E19" s="205">
        <v>0</v>
      </c>
      <c r="F19" s="206">
        <f t="shared" si="1"/>
        <v>0</v>
      </c>
      <c r="G19" s="626"/>
      <c r="H19" s="204" t="s">
        <v>116</v>
      </c>
      <c r="I19" s="205">
        <v>1200000</v>
      </c>
      <c r="J19" s="205">
        <v>1200000</v>
      </c>
      <c r="K19" s="207">
        <f t="shared" si="5"/>
        <v>0</v>
      </c>
    </row>
    <row r="20" spans="2:11" ht="24.95" customHeight="1">
      <c r="B20" s="624" t="s">
        <v>111</v>
      </c>
      <c r="C20" s="513" t="s">
        <v>320</v>
      </c>
      <c r="D20" s="514">
        <f>D21</f>
        <v>6267000</v>
      </c>
      <c r="E20" s="514">
        <f>E21</f>
        <v>6267000</v>
      </c>
      <c r="F20" s="515">
        <f>F21</f>
        <v>0</v>
      </c>
      <c r="G20" s="626"/>
      <c r="H20" s="204" t="s">
        <v>117</v>
      </c>
      <c r="I20" s="205">
        <v>460000</v>
      </c>
      <c r="J20" s="205">
        <v>460000</v>
      </c>
      <c r="K20" s="207">
        <f t="shared" si="5"/>
        <v>0</v>
      </c>
    </row>
    <row r="21" spans="2:11" ht="24.95" customHeight="1">
      <c r="B21" s="625"/>
      <c r="C21" s="204" t="s">
        <v>112</v>
      </c>
      <c r="D21" s="205">
        <v>6267000</v>
      </c>
      <c r="E21" s="205">
        <v>6267000</v>
      </c>
      <c r="F21" s="206">
        <f t="shared" si="1"/>
        <v>0</v>
      </c>
      <c r="G21" s="626"/>
      <c r="H21" s="204" t="s">
        <v>118</v>
      </c>
      <c r="I21" s="205">
        <v>210000</v>
      </c>
      <c r="J21" s="205">
        <v>210000</v>
      </c>
      <c r="K21" s="207">
        <f t="shared" si="5"/>
        <v>0</v>
      </c>
    </row>
    <row r="22" spans="2:11" ht="24.95" customHeight="1">
      <c r="B22" s="624" t="s">
        <v>114</v>
      </c>
      <c r="C22" s="513" t="s">
        <v>320</v>
      </c>
      <c r="D22" s="514">
        <f>D23</f>
        <v>13000</v>
      </c>
      <c r="E22" s="514">
        <f>E23</f>
        <v>13000</v>
      </c>
      <c r="F22" s="515">
        <f>F23</f>
        <v>0</v>
      </c>
      <c r="G22" s="625"/>
      <c r="H22" s="204" t="s">
        <v>119</v>
      </c>
      <c r="I22" s="205">
        <v>5750000</v>
      </c>
      <c r="J22" s="205">
        <v>5750000</v>
      </c>
      <c r="K22" s="207">
        <f t="shared" si="5"/>
        <v>0</v>
      </c>
    </row>
    <row r="23" spans="2:11" ht="24.95" customHeight="1">
      <c r="B23" s="625"/>
      <c r="C23" s="204" t="s">
        <v>115</v>
      </c>
      <c r="D23" s="205">
        <v>13000</v>
      </c>
      <c r="E23" s="205">
        <v>13000</v>
      </c>
      <c r="F23" s="206">
        <f t="shared" si="1"/>
        <v>0</v>
      </c>
      <c r="G23" s="628" t="s">
        <v>158</v>
      </c>
      <c r="H23" s="513" t="s">
        <v>320</v>
      </c>
      <c r="I23" s="514">
        <f>I24</f>
        <v>5000</v>
      </c>
      <c r="J23" s="514">
        <f>J24</f>
        <v>1000</v>
      </c>
      <c r="K23" s="517">
        <f>K24</f>
        <v>-4000</v>
      </c>
    </row>
    <row r="24" spans="2:11" ht="24.95" customHeight="1">
      <c r="B24" s="582"/>
      <c r="C24" s="583"/>
      <c r="D24" s="583"/>
      <c r="E24" s="583"/>
      <c r="F24" s="583"/>
      <c r="G24" s="629"/>
      <c r="H24" s="204" t="s">
        <v>120</v>
      </c>
      <c r="I24" s="205">
        <v>5000</v>
      </c>
      <c r="J24" s="205">
        <v>1000</v>
      </c>
      <c r="K24" s="207">
        <f t="shared" ref="K24" si="6">J24-I24</f>
        <v>-4000</v>
      </c>
    </row>
    <row r="25" spans="2:11" ht="24.95" customHeight="1">
      <c r="B25" s="584"/>
      <c r="C25" s="585"/>
      <c r="D25" s="585"/>
      <c r="E25" s="585"/>
      <c r="F25" s="585"/>
      <c r="G25" s="624" t="s">
        <v>121</v>
      </c>
      <c r="H25" s="513" t="s">
        <v>320</v>
      </c>
      <c r="I25" s="514">
        <f>I26</f>
        <v>0</v>
      </c>
      <c r="J25" s="514">
        <f>J26</f>
        <v>0</v>
      </c>
      <c r="K25" s="517">
        <f>K26</f>
        <v>0</v>
      </c>
    </row>
    <row r="26" spans="2:11" ht="24.95" customHeight="1">
      <c r="B26" s="584"/>
      <c r="C26" s="585"/>
      <c r="D26" s="585"/>
      <c r="E26" s="585"/>
      <c r="F26" s="585"/>
      <c r="G26" s="625"/>
      <c r="H26" s="204" t="s">
        <v>122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584"/>
      <c r="C27" s="585"/>
      <c r="D27" s="585"/>
      <c r="E27" s="585"/>
      <c r="F27" s="585"/>
      <c r="G27" s="624" t="s">
        <v>123</v>
      </c>
      <c r="H27" s="513" t="s">
        <v>320</v>
      </c>
      <c r="I27" s="514">
        <f>I28</f>
        <v>8000</v>
      </c>
      <c r="J27" s="514">
        <f>J28</f>
        <v>8000</v>
      </c>
      <c r="K27" s="517">
        <f>K28</f>
        <v>0</v>
      </c>
    </row>
    <row r="28" spans="2:11" ht="24.95" customHeight="1" thickBot="1">
      <c r="B28" s="586"/>
      <c r="C28" s="587"/>
      <c r="D28" s="587"/>
      <c r="E28" s="587"/>
      <c r="F28" s="587"/>
      <c r="G28" s="627"/>
      <c r="H28" s="208" t="s">
        <v>124</v>
      </c>
      <c r="I28" s="209">
        <v>8000</v>
      </c>
      <c r="J28" s="209">
        <v>8000</v>
      </c>
      <c r="K28" s="210">
        <f>J28-I28</f>
        <v>0</v>
      </c>
    </row>
  </sheetData>
  <mergeCells count="23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5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5" sqref="D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647" t="s">
        <v>626</v>
      </c>
      <c r="B1" s="647"/>
      <c r="C1" s="647"/>
      <c r="D1" s="647"/>
      <c r="E1" s="647"/>
      <c r="F1" s="647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649" t="s">
        <v>64</v>
      </c>
      <c r="B2" s="650"/>
      <c r="C2" s="650"/>
      <c r="D2" s="651" t="s">
        <v>625</v>
      </c>
      <c r="E2" s="651" t="s">
        <v>627</v>
      </c>
      <c r="F2" s="655" t="s">
        <v>23</v>
      </c>
      <c r="G2" s="655"/>
      <c r="H2" s="655" t="s">
        <v>55</v>
      </c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6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173</v>
      </c>
      <c r="D3" s="652"/>
      <c r="E3" s="652"/>
      <c r="F3" s="152" t="s">
        <v>128</v>
      </c>
      <c r="G3" s="27" t="s">
        <v>4</v>
      </c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8"/>
      <c r="Y3" s="8"/>
    </row>
    <row r="4" spans="1:25" s="3" customFormat="1" ht="19.5" customHeight="1">
      <c r="A4" s="653" t="s">
        <v>24</v>
      </c>
      <c r="B4" s="654"/>
      <c r="C4" s="654"/>
      <c r="D4" s="229">
        <f>SUM(D5,D7,D9,D11,D29,D39,D46,D54,D78)</f>
        <v>73585</v>
      </c>
      <c r="E4" s="229">
        <f>SUM(E5,E7,E9,E11,E29,E39,E46,E54,E78)</f>
        <v>74345</v>
      </c>
      <c r="F4" s="376">
        <f>SUM(F5,F7,F9,F11,F29,F39,F46,F54,F78)</f>
        <v>760</v>
      </c>
      <c r="G4" s="230">
        <f t="shared" ref="G4" si="0">IF(D4=0,0,F4/D4)</f>
        <v>1.0328191886933479E-2</v>
      </c>
      <c r="H4" s="28" t="s">
        <v>160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6">
        <f>SUM(W5,W7,W9,W11,W29,W39,W46,W54,W78)</f>
        <v>74345000</v>
      </c>
      <c r="X4" s="30" t="s">
        <v>161</v>
      </c>
      <c r="Y4" s="8"/>
    </row>
    <row r="5" spans="1:25" ht="21" customHeight="1" thickBot="1">
      <c r="A5" s="35" t="s">
        <v>60</v>
      </c>
      <c r="B5" s="36" t="s">
        <v>60</v>
      </c>
      <c r="C5" s="212" t="s">
        <v>127</v>
      </c>
      <c r="D5" s="223">
        <v>7200</v>
      </c>
      <c r="E5" s="223">
        <f>ROUND(W5/1000,0)</f>
        <v>7200</v>
      </c>
      <c r="F5" s="224">
        <f>E5-D5</f>
        <v>0</v>
      </c>
      <c r="G5" s="225">
        <f>IF(D5=0,0,F5/D5)</f>
        <v>0</v>
      </c>
      <c r="H5" s="40" t="s">
        <v>159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126</v>
      </c>
      <c r="C6" s="47" t="s">
        <v>126</v>
      </c>
      <c r="D6" s="48"/>
      <c r="E6" s="48"/>
      <c r="F6" s="49"/>
      <c r="G6" s="31"/>
      <c r="H6" s="370" t="s">
        <v>261</v>
      </c>
      <c r="I6" s="54"/>
      <c r="J6" s="55"/>
      <c r="K6" s="55"/>
      <c r="L6" s="231">
        <v>150000</v>
      </c>
      <c r="M6" s="231" t="s">
        <v>57</v>
      </c>
      <c r="N6" s="232" t="s">
        <v>58</v>
      </c>
      <c r="O6" s="135">
        <v>4</v>
      </c>
      <c r="P6" s="231" t="s">
        <v>56</v>
      </c>
      <c r="Q6" s="232" t="s">
        <v>58</v>
      </c>
      <c r="R6" s="56">
        <v>12</v>
      </c>
      <c r="S6" s="257" t="s">
        <v>0</v>
      </c>
      <c r="T6" s="257" t="s">
        <v>53</v>
      </c>
      <c r="U6" s="257"/>
      <c r="V6" s="231"/>
      <c r="W6" s="231">
        <f>L6*O6*R6</f>
        <v>7200000</v>
      </c>
      <c r="X6" s="57" t="s">
        <v>57</v>
      </c>
    </row>
    <row r="7" spans="1:25" s="11" customFormat="1" ht="19.5" customHeight="1" thickBot="1">
      <c r="A7" s="35" t="s">
        <v>174</v>
      </c>
      <c r="B7" s="36" t="s">
        <v>176</v>
      </c>
      <c r="C7" s="36" t="s">
        <v>174</v>
      </c>
      <c r="D7" s="223">
        <v>0</v>
      </c>
      <c r="E7" s="223">
        <f>ROUND(W7/1000,0)</f>
        <v>0</v>
      </c>
      <c r="F7" s="224">
        <f>E7-D7</f>
        <v>0</v>
      </c>
      <c r="G7" s="225">
        <f>IF(D7=0,0,F7/D7)</f>
        <v>0</v>
      </c>
      <c r="H7" s="40" t="s">
        <v>178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175</v>
      </c>
      <c r="B8" s="59" t="s">
        <v>177</v>
      </c>
      <c r="C8" s="59" t="s">
        <v>175</v>
      </c>
      <c r="D8" s="48"/>
      <c r="E8" s="48"/>
      <c r="F8" s="49"/>
      <c r="G8" s="31"/>
      <c r="H8" s="53" t="s">
        <v>260</v>
      </c>
      <c r="I8" s="54"/>
      <c r="J8" s="55"/>
      <c r="K8" s="55"/>
      <c r="L8" s="231"/>
      <c r="M8" s="231"/>
      <c r="N8" s="232"/>
      <c r="O8" s="231"/>
      <c r="P8" s="231"/>
      <c r="Q8" s="232"/>
      <c r="R8" s="56"/>
      <c r="S8" s="257"/>
      <c r="T8" s="257"/>
      <c r="U8" s="257"/>
      <c r="V8" s="231"/>
      <c r="W8" s="231">
        <v>0</v>
      </c>
      <c r="X8" s="57" t="s">
        <v>57</v>
      </c>
    </row>
    <row r="9" spans="1:25" ht="21" customHeight="1" thickBot="1">
      <c r="A9" s="35" t="s">
        <v>180</v>
      </c>
      <c r="B9" s="36" t="s">
        <v>182</v>
      </c>
      <c r="C9" s="36" t="s">
        <v>180</v>
      </c>
      <c r="D9" s="223">
        <v>0</v>
      </c>
      <c r="E9" s="223">
        <f>ROUND(W9/1000,0)</f>
        <v>0</v>
      </c>
      <c r="F9" s="224">
        <f>E9-D9</f>
        <v>0</v>
      </c>
      <c r="G9" s="225">
        <f>IF(D9=0,0,F9/D9)</f>
        <v>0</v>
      </c>
      <c r="H9" s="40" t="s">
        <v>225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222</v>
      </c>
      <c r="B10" s="59" t="s">
        <v>223</v>
      </c>
      <c r="C10" s="59" t="s">
        <v>223</v>
      </c>
      <c r="D10" s="235"/>
      <c r="E10" s="236">
        <v>0</v>
      </c>
      <c r="F10" s="237"/>
      <c r="G10" s="238"/>
      <c r="H10" s="239"/>
      <c r="I10" s="240"/>
      <c r="J10" s="241"/>
      <c r="K10" s="241"/>
      <c r="L10" s="241"/>
      <c r="M10" s="241"/>
      <c r="N10" s="241"/>
      <c r="O10" s="242"/>
      <c r="P10" s="242"/>
      <c r="Q10" s="242"/>
      <c r="R10" s="242"/>
      <c r="S10" s="242"/>
      <c r="T10" s="242"/>
      <c r="U10" s="242"/>
      <c r="V10" s="243"/>
      <c r="W10" s="243">
        <v>0</v>
      </c>
      <c r="X10" s="276" t="s">
        <v>224</v>
      </c>
    </row>
    <row r="11" spans="1:25" s="11" customFormat="1" ht="19.5" customHeight="1">
      <c r="A11" s="35" t="s">
        <v>179</v>
      </c>
      <c r="B11" s="36" t="s">
        <v>179</v>
      </c>
      <c r="C11" s="548" t="s">
        <v>242</v>
      </c>
      <c r="D11" s="259">
        <f>SUM(D12,D15,D23,D26)</f>
        <v>59205</v>
      </c>
      <c r="E11" s="259">
        <f>SUM(E12,E15,E23,E26)</f>
        <v>59965</v>
      </c>
      <c r="F11" s="260">
        <f t="shared" ref="F11:F12" si="1">E11-D11</f>
        <v>760</v>
      </c>
      <c r="G11" s="261">
        <f t="shared" ref="G11:G12" si="2">IF(D11=0,0,F11/D11)</f>
        <v>1.2836753652563128E-2</v>
      </c>
      <c r="H11" s="262" t="s">
        <v>243</v>
      </c>
      <c r="I11" s="263"/>
      <c r="J11" s="264"/>
      <c r="K11" s="264"/>
      <c r="L11" s="263"/>
      <c r="M11" s="263"/>
      <c r="N11" s="263"/>
      <c r="O11" s="263"/>
      <c r="P11" s="263"/>
      <c r="Q11" s="265"/>
      <c r="R11" s="265"/>
      <c r="S11" s="265"/>
      <c r="T11" s="265"/>
      <c r="U11" s="265"/>
      <c r="V11" s="265"/>
      <c r="W11" s="266">
        <f>SUM(W12,W15,W23,W26)</f>
        <v>59965000</v>
      </c>
      <c r="X11" s="277" t="s">
        <v>25</v>
      </c>
      <c r="Y11" s="6"/>
    </row>
    <row r="12" spans="1:25" s="11" customFormat="1" ht="19.5" customHeight="1">
      <c r="A12" s="45" t="s">
        <v>181</v>
      </c>
      <c r="B12" s="46" t="s">
        <v>177</v>
      </c>
      <c r="C12" s="36" t="s">
        <v>183</v>
      </c>
      <c r="D12" s="226">
        <v>0</v>
      </c>
      <c r="E12" s="226">
        <v>0</v>
      </c>
      <c r="F12" s="227">
        <f t="shared" si="1"/>
        <v>0</v>
      </c>
      <c r="G12" s="228">
        <f t="shared" si="2"/>
        <v>0</v>
      </c>
      <c r="H12" s="214" t="s">
        <v>184</v>
      </c>
      <c r="I12" s="215"/>
      <c r="J12" s="216"/>
      <c r="K12" s="216"/>
      <c r="L12" s="216"/>
      <c r="M12" s="216"/>
      <c r="N12" s="216"/>
      <c r="O12" s="217"/>
      <c r="P12" s="217"/>
      <c r="Q12" s="217"/>
      <c r="R12" s="217"/>
      <c r="S12" s="217"/>
      <c r="T12" s="217"/>
      <c r="U12" s="244" t="s">
        <v>226</v>
      </c>
      <c r="V12" s="245"/>
      <c r="W12" s="246">
        <v>0</v>
      </c>
      <c r="X12" s="278" t="s">
        <v>227</v>
      </c>
      <c r="Y12" s="6"/>
    </row>
    <row r="13" spans="1:25" s="11" customFormat="1" ht="19.5" customHeight="1">
      <c r="A13" s="45"/>
      <c r="B13" s="46"/>
      <c r="C13" s="46" t="s">
        <v>330</v>
      </c>
      <c r="D13" s="549"/>
      <c r="E13" s="549"/>
      <c r="F13" s="550"/>
      <c r="G13" s="551"/>
      <c r="H13" s="552"/>
      <c r="I13" s="553"/>
      <c r="J13" s="554"/>
      <c r="K13" s="554"/>
      <c r="L13" s="554"/>
      <c r="M13" s="554"/>
      <c r="N13" s="554"/>
      <c r="O13" s="555"/>
      <c r="P13" s="555"/>
      <c r="Q13" s="555"/>
      <c r="R13" s="555"/>
      <c r="S13" s="555"/>
      <c r="T13" s="555"/>
      <c r="U13" s="556"/>
      <c r="V13" s="557"/>
      <c r="W13" s="557"/>
      <c r="X13" s="558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39"/>
      <c r="I14" s="441"/>
      <c r="J14" s="461"/>
      <c r="K14" s="461"/>
      <c r="L14" s="440"/>
      <c r="M14" s="440"/>
      <c r="N14" s="462"/>
      <c r="O14" s="440"/>
      <c r="P14" s="463"/>
      <c r="Q14" s="464"/>
      <c r="R14" s="465"/>
      <c r="S14" s="466"/>
      <c r="T14" s="466"/>
      <c r="U14" s="467"/>
      <c r="V14" s="468"/>
      <c r="W14" s="441"/>
      <c r="X14" s="442"/>
      <c r="Y14" s="6"/>
    </row>
    <row r="15" spans="1:25" s="11" customFormat="1" ht="19.5" customHeight="1">
      <c r="A15" s="60"/>
      <c r="B15" s="46"/>
      <c r="C15" s="36" t="s">
        <v>185</v>
      </c>
      <c r="D15" s="226">
        <f>SUM(D16:D22)</f>
        <v>57305</v>
      </c>
      <c r="E15" s="226">
        <f>SUM(E16:E22)</f>
        <v>59505</v>
      </c>
      <c r="F15" s="227">
        <f t="shared" ref="F15" si="3">E15-D15</f>
        <v>2200</v>
      </c>
      <c r="G15" s="228">
        <f t="shared" ref="G15" si="4">IF(D15=0,0,F15/D15)</f>
        <v>3.8391065352063519E-2</v>
      </c>
      <c r="H15" s="214" t="s">
        <v>228</v>
      </c>
      <c r="I15" s="215"/>
      <c r="J15" s="216"/>
      <c r="K15" s="216"/>
      <c r="L15" s="216"/>
      <c r="M15" s="216"/>
      <c r="N15" s="216"/>
      <c r="O15" s="217"/>
      <c r="P15" s="217"/>
      <c r="Q15" s="217"/>
      <c r="R15" s="217"/>
      <c r="S15" s="217"/>
      <c r="T15" s="217"/>
      <c r="U15" s="244" t="s">
        <v>68</v>
      </c>
      <c r="V15" s="245"/>
      <c r="W15" s="245">
        <f>W16</f>
        <v>59505000</v>
      </c>
      <c r="X15" s="278" t="s">
        <v>57</v>
      </c>
      <c r="Y15" s="6"/>
    </row>
    <row r="16" spans="1:25" s="11" customFormat="1" ht="19.5" customHeight="1" thickBot="1">
      <c r="A16" s="60"/>
      <c r="B16" s="46"/>
      <c r="C16" s="46" t="s">
        <v>330</v>
      </c>
      <c r="D16" s="37">
        <v>57305</v>
      </c>
      <c r="E16" s="247">
        <f>ROUND(W16/1000,0)</f>
        <v>59505</v>
      </c>
      <c r="F16" s="38">
        <f t="shared" ref="F16" si="5">E16-D16</f>
        <v>2200</v>
      </c>
      <c r="G16" s="121">
        <f t="shared" ref="G16" si="6">IF(D16=0,0,F16/D16)</f>
        <v>3.8391065352063519E-2</v>
      </c>
      <c r="H16" s="253" t="s">
        <v>231</v>
      </c>
      <c r="I16" s="252"/>
      <c r="J16" s="258"/>
      <c r="K16" s="258"/>
      <c r="L16" s="88"/>
      <c r="M16" s="88"/>
      <c r="N16" s="248"/>
      <c r="O16" s="88"/>
      <c r="P16" s="249"/>
      <c r="Q16" s="250"/>
      <c r="R16" s="251"/>
      <c r="S16" s="256"/>
      <c r="T16" s="256"/>
      <c r="U16" s="254" t="s">
        <v>221</v>
      </c>
      <c r="V16" s="255"/>
      <c r="W16" s="255">
        <f>SUM(W17:W21)</f>
        <v>59505000</v>
      </c>
      <c r="X16" s="279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2" t="s">
        <v>337</v>
      </c>
      <c r="I17" s="68"/>
      <c r="J17" s="218"/>
      <c r="K17" s="218"/>
      <c r="L17" s="288"/>
      <c r="M17" s="288"/>
      <c r="N17" s="457"/>
      <c r="O17" s="458"/>
      <c r="P17" s="459"/>
      <c r="Q17" s="419"/>
      <c r="R17" s="460"/>
      <c r="S17" s="422"/>
      <c r="T17" s="420"/>
      <c r="U17" s="648"/>
      <c r="V17" s="648"/>
      <c r="W17" s="68">
        <v>54505000</v>
      </c>
      <c r="X17" s="57" t="s">
        <v>229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3" t="s">
        <v>331</v>
      </c>
      <c r="I18" s="68"/>
      <c r="J18" s="218"/>
      <c r="K18" s="218"/>
      <c r="L18" s="288"/>
      <c r="M18" s="288"/>
      <c r="N18" s="457"/>
      <c r="O18" s="458"/>
      <c r="P18" s="459"/>
      <c r="Q18" s="419"/>
      <c r="R18" s="460"/>
      <c r="S18" s="422"/>
      <c r="T18" s="420"/>
      <c r="U18" s="648"/>
      <c r="V18" s="648"/>
      <c r="W18" s="68">
        <v>2000000</v>
      </c>
      <c r="X18" s="57" t="s">
        <v>229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3" t="s">
        <v>628</v>
      </c>
      <c r="I19" s="68"/>
      <c r="J19" s="218"/>
      <c r="K19" s="218"/>
      <c r="L19" s="381">
        <v>200000</v>
      </c>
      <c r="M19" s="381" t="s">
        <v>57</v>
      </c>
      <c r="N19" s="382" t="s">
        <v>58</v>
      </c>
      <c r="O19" s="381">
        <v>1</v>
      </c>
      <c r="P19" s="381" t="s">
        <v>56</v>
      </c>
      <c r="Q19" s="382" t="s">
        <v>58</v>
      </c>
      <c r="R19" s="381">
        <v>9</v>
      </c>
      <c r="S19" s="381" t="s">
        <v>0</v>
      </c>
      <c r="T19" s="381" t="s">
        <v>53</v>
      </c>
      <c r="U19" s="381"/>
      <c r="V19" s="68"/>
      <c r="W19" s="68">
        <f>SUM(L19*O19*R19)</f>
        <v>1800000</v>
      </c>
      <c r="X19" s="57" t="s">
        <v>57</v>
      </c>
      <c r="Y19" s="6"/>
    </row>
    <row r="20" spans="1:25" s="11" customFormat="1" ht="19.5" customHeight="1">
      <c r="A20" s="60"/>
      <c r="B20" s="46"/>
      <c r="C20" s="46"/>
      <c r="D20" s="48"/>
      <c r="E20" s="48"/>
      <c r="F20" s="49"/>
      <c r="G20" s="70"/>
      <c r="H20" s="293" t="s">
        <v>629</v>
      </c>
      <c r="I20" s="68"/>
      <c r="J20" s="218"/>
      <c r="K20" s="218"/>
      <c r="L20" s="381">
        <v>100000</v>
      </c>
      <c r="M20" s="381" t="s">
        <v>65</v>
      </c>
      <c r="N20" s="382" t="s">
        <v>58</v>
      </c>
      <c r="O20" s="381">
        <v>1</v>
      </c>
      <c r="P20" s="381" t="s">
        <v>334</v>
      </c>
      <c r="Q20" s="382" t="s">
        <v>58</v>
      </c>
      <c r="R20" s="381">
        <v>6</v>
      </c>
      <c r="S20" s="381" t="s">
        <v>335</v>
      </c>
      <c r="T20" s="381" t="s">
        <v>230</v>
      </c>
      <c r="U20" s="381"/>
      <c r="V20" s="68"/>
      <c r="W20" s="68">
        <f>SUM(L20*O20*R20)</f>
        <v>600000</v>
      </c>
      <c r="X20" s="57" t="s">
        <v>65</v>
      </c>
      <c r="Y20" s="6"/>
    </row>
    <row r="21" spans="1:25" s="11" customFormat="1" ht="19.5" customHeight="1">
      <c r="A21" s="60"/>
      <c r="B21" s="46"/>
      <c r="C21" s="46"/>
      <c r="D21" s="48"/>
      <c r="E21" s="48"/>
      <c r="F21" s="49"/>
      <c r="G21" s="70"/>
      <c r="H21" s="596" t="s">
        <v>549</v>
      </c>
      <c r="I21" s="597"/>
      <c r="J21" s="269"/>
      <c r="K21" s="269"/>
      <c r="L21" s="598">
        <v>50000</v>
      </c>
      <c r="M21" s="598" t="s">
        <v>550</v>
      </c>
      <c r="N21" s="599" t="s">
        <v>551</v>
      </c>
      <c r="O21" s="598">
        <v>1</v>
      </c>
      <c r="P21" s="598" t="s">
        <v>552</v>
      </c>
      <c r="Q21" s="599" t="s">
        <v>551</v>
      </c>
      <c r="R21" s="598">
        <v>12</v>
      </c>
      <c r="S21" s="598" t="s">
        <v>553</v>
      </c>
      <c r="T21" s="598" t="s">
        <v>230</v>
      </c>
      <c r="U21" s="598"/>
      <c r="V21" s="597"/>
      <c r="W21" s="597">
        <f>SUM(L21*O21*R21)</f>
        <v>600000</v>
      </c>
      <c r="X21" s="600" t="s">
        <v>550</v>
      </c>
      <c r="Y21" s="6"/>
    </row>
    <row r="22" spans="1:25" s="11" customFormat="1" ht="19.5" customHeight="1">
      <c r="A22" s="60"/>
      <c r="B22" s="82"/>
      <c r="C22" s="83"/>
      <c r="D22" s="61"/>
      <c r="E22" s="61"/>
      <c r="F22" s="62"/>
      <c r="G22" s="84"/>
      <c r="H22" s="234"/>
      <c r="I22" s="233"/>
      <c r="J22" s="85"/>
      <c r="K22" s="85"/>
      <c r="L22" s="233"/>
      <c r="M22" s="233"/>
      <c r="N22" s="234"/>
      <c r="O22" s="233"/>
      <c r="P22" s="233"/>
      <c r="Q22" s="234"/>
      <c r="R22" s="234"/>
      <c r="S22" s="234"/>
      <c r="T22" s="234"/>
      <c r="U22" s="234"/>
      <c r="V22" s="234"/>
      <c r="W22" s="233"/>
      <c r="X22" s="73"/>
      <c r="Y22" s="6"/>
    </row>
    <row r="23" spans="1:25" s="11" customFormat="1" ht="19.5" customHeight="1">
      <c r="A23" s="45"/>
      <c r="B23" s="46"/>
      <c r="C23" s="46" t="s">
        <v>187</v>
      </c>
      <c r="D23" s="226">
        <f>SUM(D24:D25)</f>
        <v>300</v>
      </c>
      <c r="E23" s="226">
        <f>W23/1000</f>
        <v>300</v>
      </c>
      <c r="F23" s="227">
        <f t="shared" ref="F23:F24" si="7">E23-D23</f>
        <v>0</v>
      </c>
      <c r="G23" s="228">
        <f t="shared" ref="G23:G24" si="8">IF(D23=0,0,F23/D23)</f>
        <v>0</v>
      </c>
      <c r="H23" s="214" t="s">
        <v>188</v>
      </c>
      <c r="I23" s="215"/>
      <c r="J23" s="216"/>
      <c r="K23" s="216"/>
      <c r="L23" s="216"/>
      <c r="M23" s="216"/>
      <c r="N23" s="216"/>
      <c r="O23" s="217"/>
      <c r="P23" s="217"/>
      <c r="Q23" s="217"/>
      <c r="R23" s="217"/>
      <c r="S23" s="217"/>
      <c r="T23" s="217"/>
      <c r="U23" s="244" t="s">
        <v>68</v>
      </c>
      <c r="V23" s="245"/>
      <c r="W23" s="246">
        <f>W24</f>
        <v>300000</v>
      </c>
      <c r="X23" s="278" t="s">
        <v>57</v>
      </c>
      <c r="Y23" s="6"/>
    </row>
    <row r="24" spans="1:25" ht="21" customHeight="1">
      <c r="A24" s="45"/>
      <c r="B24" s="46"/>
      <c r="C24" s="46"/>
      <c r="D24" s="48">
        <v>300</v>
      </c>
      <c r="E24" s="48">
        <f>W24/1000</f>
        <v>300</v>
      </c>
      <c r="F24" s="38">
        <f t="shared" si="7"/>
        <v>0</v>
      </c>
      <c r="G24" s="121">
        <f t="shared" si="8"/>
        <v>0</v>
      </c>
      <c r="H24" s="293" t="s">
        <v>338</v>
      </c>
      <c r="I24" s="290"/>
      <c r="J24" s="288"/>
      <c r="K24" s="288"/>
      <c r="L24" s="559">
        <v>300000</v>
      </c>
      <c r="M24" s="560" t="s">
        <v>332</v>
      </c>
      <c r="N24" s="560" t="s">
        <v>333</v>
      </c>
      <c r="O24" s="561">
        <v>1</v>
      </c>
      <c r="P24" s="562"/>
      <c r="Q24" s="560"/>
      <c r="R24" s="563"/>
      <c r="S24" s="560"/>
      <c r="T24" s="560" t="s">
        <v>336</v>
      </c>
      <c r="U24" s="288"/>
      <c r="V24" s="291"/>
      <c r="W24" s="288">
        <f>ROUND(L24*O24,-3)</f>
        <v>300000</v>
      </c>
      <c r="X24" s="389" t="s">
        <v>332</v>
      </c>
      <c r="Y24" s="564"/>
    </row>
    <row r="25" spans="1:25" ht="21" customHeight="1">
      <c r="A25" s="45"/>
      <c r="B25" s="46"/>
      <c r="C25" s="46"/>
      <c r="D25" s="48"/>
      <c r="E25" s="48"/>
      <c r="F25" s="49"/>
      <c r="G25" s="70"/>
      <c r="H25" s="67"/>
      <c r="I25" s="232"/>
      <c r="J25" s="231"/>
      <c r="K25" s="231"/>
      <c r="L25" s="231"/>
      <c r="M25" s="54"/>
      <c r="N25" s="74"/>
      <c r="O25" s="78"/>
      <c r="P25" s="74"/>
      <c r="Q25" s="74"/>
      <c r="R25" s="77"/>
      <c r="S25" s="76"/>
      <c r="T25" s="257"/>
      <c r="U25" s="231"/>
      <c r="V25" s="68"/>
      <c r="W25" s="68"/>
      <c r="X25" s="57"/>
    </row>
    <row r="26" spans="1:25" ht="21" customHeight="1">
      <c r="A26" s="45"/>
      <c r="B26" s="46"/>
      <c r="C26" s="36" t="s">
        <v>189</v>
      </c>
      <c r="D26" s="226">
        <f>D27</f>
        <v>1600</v>
      </c>
      <c r="E26" s="226">
        <f>E27</f>
        <v>160</v>
      </c>
      <c r="F26" s="227">
        <f t="shared" ref="F26:F27" si="9">E26-D26</f>
        <v>-1440</v>
      </c>
      <c r="G26" s="228">
        <f t="shared" ref="G26:G27" si="10">IF(D26=0,0,F26/D26)</f>
        <v>-0.9</v>
      </c>
      <c r="H26" s="214" t="s">
        <v>439</v>
      </c>
      <c r="I26" s="215"/>
      <c r="J26" s="216"/>
      <c r="K26" s="216"/>
      <c r="L26" s="216"/>
      <c r="M26" s="216"/>
      <c r="N26" s="216"/>
      <c r="O26" s="217"/>
      <c r="P26" s="217"/>
      <c r="Q26" s="217"/>
      <c r="R26" s="217"/>
      <c r="S26" s="217"/>
      <c r="T26" s="217"/>
      <c r="U26" s="244" t="s">
        <v>68</v>
      </c>
      <c r="V26" s="245"/>
      <c r="W26" s="245">
        <f>SUM(W27:W27)</f>
        <v>160000</v>
      </c>
      <c r="X26" s="278" t="s">
        <v>57</v>
      </c>
    </row>
    <row r="27" spans="1:25" ht="21" customHeight="1">
      <c r="A27" s="45"/>
      <c r="B27" s="46"/>
      <c r="C27" s="46" t="s">
        <v>186</v>
      </c>
      <c r="D27" s="48">
        <v>1600</v>
      </c>
      <c r="E27" s="48">
        <f>ROUND(W27/1000,0)</f>
        <v>160</v>
      </c>
      <c r="F27" s="284">
        <f t="shared" si="9"/>
        <v>-1440</v>
      </c>
      <c r="G27" s="193">
        <f t="shared" si="10"/>
        <v>-0.9</v>
      </c>
      <c r="H27" s="293" t="s">
        <v>441</v>
      </c>
      <c r="I27" s="232"/>
      <c r="J27" s="231"/>
      <c r="K27" s="231"/>
      <c r="L27" s="381">
        <v>80000</v>
      </c>
      <c r="M27" s="381" t="s">
        <v>57</v>
      </c>
      <c r="N27" s="382" t="s">
        <v>58</v>
      </c>
      <c r="O27" s="381">
        <v>1</v>
      </c>
      <c r="P27" s="381" t="s">
        <v>56</v>
      </c>
      <c r="Q27" s="382" t="s">
        <v>58</v>
      </c>
      <c r="R27" s="381">
        <v>2</v>
      </c>
      <c r="S27" s="381" t="s">
        <v>440</v>
      </c>
      <c r="T27" s="381" t="s">
        <v>53</v>
      </c>
      <c r="U27" s="381"/>
      <c r="V27" s="68"/>
      <c r="W27" s="68">
        <f>SUM(L27*O27*R27)</f>
        <v>160000</v>
      </c>
      <c r="X27" s="57" t="s">
        <v>57</v>
      </c>
    </row>
    <row r="28" spans="1:25" ht="21" customHeight="1">
      <c r="A28" s="280"/>
      <c r="B28" s="83"/>
      <c r="C28" s="83"/>
      <c r="D28" s="61"/>
      <c r="E28" s="61"/>
      <c r="F28" s="62"/>
      <c r="G28" s="84"/>
      <c r="H28" s="71"/>
      <c r="I28" s="233"/>
      <c r="J28" s="85"/>
      <c r="K28" s="85"/>
      <c r="L28" s="86"/>
      <c r="M28" s="233"/>
      <c r="N28" s="85"/>
      <c r="O28" s="233"/>
      <c r="P28" s="233"/>
      <c r="Q28" s="233"/>
      <c r="R28" s="233"/>
      <c r="S28" s="233"/>
      <c r="T28" s="233"/>
      <c r="U28" s="233"/>
      <c r="V28" s="233"/>
      <c r="W28" s="233"/>
      <c r="X28" s="73"/>
    </row>
    <row r="29" spans="1:25" s="11" customFormat="1" ht="19.5" customHeight="1">
      <c r="A29" s="35" t="s">
        <v>71</v>
      </c>
      <c r="B29" s="36" t="s">
        <v>30</v>
      </c>
      <c r="C29" s="548" t="s">
        <v>244</v>
      </c>
      <c r="D29" s="259">
        <f>SUM(D30,D35)</f>
        <v>900</v>
      </c>
      <c r="E29" s="259">
        <f>SUM(E30,E35)</f>
        <v>900</v>
      </c>
      <c r="F29" s="260">
        <f t="shared" ref="F29" si="11">E29-D29</f>
        <v>0</v>
      </c>
      <c r="G29" s="261">
        <f t="shared" ref="G29" si="12">IF(D29=0,0,F29/D29)</f>
        <v>0</v>
      </c>
      <c r="H29" s="262" t="s">
        <v>245</v>
      </c>
      <c r="I29" s="263"/>
      <c r="J29" s="264"/>
      <c r="K29" s="264"/>
      <c r="L29" s="263"/>
      <c r="M29" s="263"/>
      <c r="N29" s="263"/>
      <c r="O29" s="263"/>
      <c r="P29" s="263" t="s">
        <v>67</v>
      </c>
      <c r="Q29" s="265"/>
      <c r="R29" s="265"/>
      <c r="S29" s="265"/>
      <c r="T29" s="265"/>
      <c r="U29" s="265"/>
      <c r="V29" s="265"/>
      <c r="W29" s="266">
        <f>W30+W35</f>
        <v>900000</v>
      </c>
      <c r="X29" s="277" t="s">
        <v>25</v>
      </c>
      <c r="Y29" s="6"/>
    </row>
    <row r="30" spans="1:25" ht="21" customHeight="1">
      <c r="A30" s="45" t="s">
        <v>177</v>
      </c>
      <c r="B30" s="46" t="s">
        <v>177</v>
      </c>
      <c r="C30" s="36" t="s">
        <v>190</v>
      </c>
      <c r="D30" s="226">
        <f>D31+D33</f>
        <v>600</v>
      </c>
      <c r="E30" s="226">
        <f>E31+E33</f>
        <v>600</v>
      </c>
      <c r="F30" s="227">
        <f t="shared" ref="F30:F31" si="13">E30-D30</f>
        <v>0</v>
      </c>
      <c r="G30" s="228">
        <v>1</v>
      </c>
      <c r="H30" s="214" t="s">
        <v>250</v>
      </c>
      <c r="I30" s="215"/>
      <c r="J30" s="216"/>
      <c r="K30" s="216"/>
      <c r="L30" s="216"/>
      <c r="M30" s="216"/>
      <c r="N30" s="216"/>
      <c r="O30" s="217"/>
      <c r="P30" s="217"/>
      <c r="Q30" s="217"/>
      <c r="R30" s="217"/>
      <c r="S30" s="217"/>
      <c r="T30" s="217"/>
      <c r="U30" s="244" t="s">
        <v>240</v>
      </c>
      <c r="V30" s="245"/>
      <c r="W30" s="246">
        <f>SUM(W31,W33)</f>
        <v>600000</v>
      </c>
      <c r="X30" s="278" t="s">
        <v>239</v>
      </c>
    </row>
    <row r="31" spans="1:25" ht="21" customHeight="1">
      <c r="A31" s="45"/>
      <c r="B31" s="46"/>
      <c r="C31" s="46" t="s">
        <v>191</v>
      </c>
      <c r="D31" s="37">
        <v>0</v>
      </c>
      <c r="E31" s="48">
        <f>ROUND(W31/1000,0)</f>
        <v>0</v>
      </c>
      <c r="F31" s="284">
        <f t="shared" si="13"/>
        <v>0</v>
      </c>
      <c r="G31" s="193">
        <v>1</v>
      </c>
      <c r="H31" s="147" t="s">
        <v>192</v>
      </c>
      <c r="I31" s="165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646" t="s">
        <v>68</v>
      </c>
      <c r="V31" s="646"/>
      <c r="W31" s="149">
        <f>SUM(W32:W32)</f>
        <v>0</v>
      </c>
      <c r="X31" s="150" t="s">
        <v>65</v>
      </c>
    </row>
    <row r="32" spans="1:25" ht="21.75" customHeight="1">
      <c r="A32" s="45"/>
      <c r="B32" s="46"/>
      <c r="C32" s="46"/>
      <c r="D32" s="48"/>
      <c r="E32" s="61"/>
      <c r="F32" s="49"/>
      <c r="G32" s="31"/>
      <c r="H32" s="67" t="s">
        <v>339</v>
      </c>
      <c r="I32" s="232"/>
      <c r="J32" s="231"/>
      <c r="K32" s="231"/>
      <c r="L32" s="231"/>
      <c r="M32" s="257"/>
      <c r="N32" s="74"/>
      <c r="O32" s="69"/>
      <c r="P32" s="74"/>
      <c r="Q32" s="79"/>
      <c r="R32" s="76"/>
      <c r="S32" s="76"/>
      <c r="T32" s="257"/>
      <c r="U32" s="231"/>
      <c r="V32" s="68"/>
      <c r="W32" s="136">
        <v>0</v>
      </c>
      <c r="X32" s="57" t="s">
        <v>65</v>
      </c>
    </row>
    <row r="33" spans="1:26" ht="18" customHeight="1">
      <c r="A33" s="45"/>
      <c r="B33" s="46"/>
      <c r="C33" s="46"/>
      <c r="D33" s="37">
        <v>600</v>
      </c>
      <c r="E33" s="48">
        <f>ROUND(W33/1000,0)</f>
        <v>600</v>
      </c>
      <c r="F33" s="38">
        <f t="shared" ref="F33" si="14">E33-D33</f>
        <v>0</v>
      </c>
      <c r="G33" s="39">
        <f t="shared" ref="G33" si="15">IF(D33=0,0,F33/D33)</f>
        <v>0</v>
      </c>
      <c r="H33" s="147" t="s">
        <v>192</v>
      </c>
      <c r="I33" s="165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646" t="s">
        <v>68</v>
      </c>
      <c r="V33" s="646"/>
      <c r="W33" s="149">
        <f>W34</f>
        <v>600000</v>
      </c>
      <c r="X33" s="150" t="s">
        <v>57</v>
      </c>
    </row>
    <row r="34" spans="1:26" ht="18" customHeight="1">
      <c r="A34" s="45"/>
      <c r="B34" s="46"/>
      <c r="C34" s="59"/>
      <c r="D34" s="61"/>
      <c r="E34" s="61"/>
      <c r="F34" s="62"/>
      <c r="G34" s="213"/>
      <c r="H34" s="67" t="s">
        <v>241</v>
      </c>
      <c r="I34" s="232"/>
      <c r="J34" s="231"/>
      <c r="K34" s="231"/>
      <c r="L34" s="231">
        <v>50000</v>
      </c>
      <c r="M34" s="257" t="s">
        <v>57</v>
      </c>
      <c r="N34" s="74" t="s">
        <v>58</v>
      </c>
      <c r="O34" s="69">
        <v>12</v>
      </c>
      <c r="P34" s="74" t="s">
        <v>0</v>
      </c>
      <c r="Q34" s="79"/>
      <c r="R34" s="76"/>
      <c r="S34" s="76"/>
      <c r="T34" s="257" t="s">
        <v>53</v>
      </c>
      <c r="U34" s="231"/>
      <c r="V34" s="68"/>
      <c r="W34" s="68">
        <f>L34*O34</f>
        <v>600000</v>
      </c>
      <c r="X34" s="57" t="s">
        <v>57</v>
      </c>
    </row>
    <row r="35" spans="1:26" ht="18" customHeight="1">
      <c r="A35" s="45"/>
      <c r="B35" s="46"/>
      <c r="C35" s="46" t="s">
        <v>193</v>
      </c>
      <c r="D35" s="226">
        <f>D36</f>
        <v>300</v>
      </c>
      <c r="E35" s="226">
        <f>E36</f>
        <v>300</v>
      </c>
      <c r="F35" s="227">
        <f t="shared" ref="F35:F36" si="16">E35-D35</f>
        <v>0</v>
      </c>
      <c r="G35" s="228">
        <f t="shared" ref="G35:G36" si="17">IF(D35=0,0,F35/D35)</f>
        <v>0</v>
      </c>
      <c r="H35" s="214" t="s">
        <v>194</v>
      </c>
      <c r="I35" s="215"/>
      <c r="J35" s="216"/>
      <c r="K35" s="216"/>
      <c r="L35" s="216"/>
      <c r="M35" s="216"/>
      <c r="N35" s="216"/>
      <c r="O35" s="217"/>
      <c r="P35" s="217"/>
      <c r="Q35" s="217"/>
      <c r="R35" s="217"/>
      <c r="S35" s="217"/>
      <c r="T35" s="217"/>
      <c r="U35" s="244" t="s">
        <v>68</v>
      </c>
      <c r="V35" s="245"/>
      <c r="W35" s="245">
        <f>W36</f>
        <v>300000</v>
      </c>
      <c r="X35" s="278" t="s">
        <v>57</v>
      </c>
    </row>
    <row r="36" spans="1:26" ht="25.5" customHeight="1">
      <c r="A36" s="45"/>
      <c r="B36" s="46"/>
      <c r="C36" s="46" t="s">
        <v>191</v>
      </c>
      <c r="D36" s="48">
        <v>300</v>
      </c>
      <c r="E36" s="48">
        <f>ROUND(W36/1000,0)</f>
        <v>300</v>
      </c>
      <c r="F36" s="284">
        <f t="shared" si="16"/>
        <v>0</v>
      </c>
      <c r="G36" s="193">
        <f t="shared" si="17"/>
        <v>0</v>
      </c>
      <c r="H36" s="147" t="s">
        <v>322</v>
      </c>
      <c r="I36" s="165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646" t="s">
        <v>68</v>
      </c>
      <c r="V36" s="646"/>
      <c r="W36" s="149">
        <f>SUM(W37:W37)</f>
        <v>300000</v>
      </c>
      <c r="X36" s="150" t="s">
        <v>65</v>
      </c>
    </row>
    <row r="37" spans="1:26" ht="21" customHeight="1">
      <c r="A37" s="45"/>
      <c r="B37" s="46"/>
      <c r="C37" s="46"/>
      <c r="D37" s="48"/>
      <c r="E37" s="48"/>
      <c r="F37" s="282"/>
      <c r="G37" s="283"/>
      <c r="H37" s="67" t="s">
        <v>72</v>
      </c>
      <c r="I37" s="382"/>
      <c r="J37" s="381"/>
      <c r="K37" s="381"/>
      <c r="L37" s="381"/>
      <c r="M37" s="520"/>
      <c r="N37" s="74"/>
      <c r="O37" s="69"/>
      <c r="P37" s="74"/>
      <c r="Q37" s="79"/>
      <c r="R37" s="76"/>
      <c r="S37" s="76"/>
      <c r="T37" s="520"/>
      <c r="U37" s="381"/>
      <c r="V37" s="68"/>
      <c r="W37" s="68">
        <v>300000</v>
      </c>
      <c r="X37" s="57" t="s">
        <v>65</v>
      </c>
    </row>
    <row r="38" spans="1:26" ht="21" customHeight="1">
      <c r="A38" s="58"/>
      <c r="B38" s="59"/>
      <c r="C38" s="59"/>
      <c r="D38" s="61"/>
      <c r="E38" s="61"/>
      <c r="F38" s="62"/>
      <c r="G38" s="213"/>
      <c r="H38" s="71"/>
      <c r="I38" s="234"/>
      <c r="J38" s="233"/>
      <c r="K38" s="233"/>
      <c r="L38" s="233"/>
      <c r="M38" s="211"/>
      <c r="N38" s="219"/>
      <c r="O38" s="220"/>
      <c r="P38" s="219"/>
      <c r="Q38" s="221"/>
      <c r="R38" s="222"/>
      <c r="S38" s="222"/>
      <c r="T38" s="211"/>
      <c r="U38" s="233"/>
      <c r="V38" s="72"/>
      <c r="W38" s="72"/>
      <c r="X38" s="73"/>
    </row>
    <row r="39" spans="1:26" ht="21" customHeight="1">
      <c r="A39" s="35" t="s">
        <v>195</v>
      </c>
      <c r="B39" s="36" t="s">
        <v>195</v>
      </c>
      <c r="C39" s="548" t="s">
        <v>244</v>
      </c>
      <c r="D39" s="259">
        <f>D40+D43</f>
        <v>0</v>
      </c>
      <c r="E39" s="259">
        <f>E40+E43</f>
        <v>0</v>
      </c>
      <c r="F39" s="260">
        <f t="shared" ref="F39:F41" si="18">E39-D39</f>
        <v>0</v>
      </c>
      <c r="G39" s="261">
        <f t="shared" ref="G39:G41" si="19">IF(D39=0,0,F39/D39)</f>
        <v>0</v>
      </c>
      <c r="H39" s="262" t="s">
        <v>246</v>
      </c>
      <c r="I39" s="263"/>
      <c r="J39" s="264"/>
      <c r="K39" s="264"/>
      <c r="L39" s="263"/>
      <c r="M39" s="263"/>
      <c r="N39" s="263"/>
      <c r="O39" s="263"/>
      <c r="P39" s="263" t="s">
        <v>66</v>
      </c>
      <c r="Q39" s="265"/>
      <c r="R39" s="265"/>
      <c r="S39" s="265"/>
      <c r="T39" s="265"/>
      <c r="U39" s="265"/>
      <c r="V39" s="265"/>
      <c r="W39" s="266">
        <f>W40+W43</f>
        <v>0</v>
      </c>
      <c r="X39" s="277" t="s">
        <v>25</v>
      </c>
    </row>
    <row r="40" spans="1:26" ht="21" customHeight="1">
      <c r="A40" s="45"/>
      <c r="B40" s="46"/>
      <c r="C40" s="36" t="s">
        <v>196</v>
      </c>
      <c r="D40" s="226">
        <f>D41</f>
        <v>0</v>
      </c>
      <c r="E40" s="226">
        <f>E41</f>
        <v>0</v>
      </c>
      <c r="F40" s="227">
        <f t="shared" si="18"/>
        <v>0</v>
      </c>
      <c r="G40" s="228">
        <f t="shared" si="19"/>
        <v>0</v>
      </c>
      <c r="H40" s="214" t="s">
        <v>198</v>
      </c>
      <c r="I40" s="215"/>
      <c r="J40" s="216"/>
      <c r="K40" s="216"/>
      <c r="L40" s="216"/>
      <c r="M40" s="216"/>
      <c r="N40" s="216"/>
      <c r="O40" s="217"/>
      <c r="P40" s="217"/>
      <c r="Q40" s="217"/>
      <c r="R40" s="217"/>
      <c r="S40" s="217"/>
      <c r="T40" s="217"/>
      <c r="U40" s="244" t="s">
        <v>68</v>
      </c>
      <c r="V40" s="245"/>
      <c r="W40" s="246">
        <f>W41</f>
        <v>0</v>
      </c>
      <c r="X40" s="278" t="s">
        <v>57</v>
      </c>
    </row>
    <row r="41" spans="1:26" ht="21" customHeight="1">
      <c r="A41" s="45"/>
      <c r="B41" s="46"/>
      <c r="C41" s="46" t="s">
        <v>197</v>
      </c>
      <c r="D41" s="37">
        <v>0</v>
      </c>
      <c r="E41" s="48">
        <f>ROUND(W41/1000,0)</f>
        <v>0</v>
      </c>
      <c r="F41" s="38">
        <f t="shared" si="18"/>
        <v>0</v>
      </c>
      <c r="G41" s="39">
        <f t="shared" si="19"/>
        <v>0</v>
      </c>
      <c r="H41" s="147" t="s">
        <v>198</v>
      </c>
      <c r="I41" s="165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646" t="s">
        <v>68</v>
      </c>
      <c r="V41" s="646"/>
      <c r="W41" s="149">
        <f>W42</f>
        <v>0</v>
      </c>
      <c r="X41" s="150" t="s">
        <v>57</v>
      </c>
    </row>
    <row r="42" spans="1:26" ht="21" customHeight="1">
      <c r="A42" s="45"/>
      <c r="B42" s="46"/>
      <c r="C42" s="46" t="s">
        <v>195</v>
      </c>
      <c r="D42" s="48"/>
      <c r="E42" s="48"/>
      <c r="F42" s="49"/>
      <c r="G42" s="31"/>
      <c r="H42" s="67" t="s">
        <v>199</v>
      </c>
      <c r="I42" s="232"/>
      <c r="J42" s="231"/>
      <c r="K42" s="231"/>
      <c r="L42" s="231"/>
      <c r="M42" s="257"/>
      <c r="N42" s="74"/>
      <c r="O42" s="69"/>
      <c r="P42" s="74"/>
      <c r="Q42" s="79"/>
      <c r="R42" s="76"/>
      <c r="S42" s="76"/>
      <c r="T42" s="257"/>
      <c r="U42" s="231"/>
      <c r="V42" s="68"/>
      <c r="W42" s="68">
        <v>0</v>
      </c>
      <c r="X42" s="57" t="s">
        <v>57</v>
      </c>
    </row>
    <row r="43" spans="1:26" ht="21" customHeight="1">
      <c r="A43" s="45"/>
      <c r="B43" s="46"/>
      <c r="C43" s="36" t="s">
        <v>189</v>
      </c>
      <c r="D43" s="226">
        <f>D44</f>
        <v>0</v>
      </c>
      <c r="E43" s="226">
        <f>E44</f>
        <v>0</v>
      </c>
      <c r="F43" s="227">
        <f t="shared" ref="F43:F44" si="20">E43-D43</f>
        <v>0</v>
      </c>
      <c r="G43" s="228">
        <f t="shared" ref="G43:G44" si="21">IF(D43=0,0,F43/D43)</f>
        <v>0</v>
      </c>
      <c r="H43" s="214" t="s">
        <v>200</v>
      </c>
      <c r="I43" s="215"/>
      <c r="J43" s="216"/>
      <c r="K43" s="216"/>
      <c r="L43" s="216"/>
      <c r="M43" s="216"/>
      <c r="N43" s="216"/>
      <c r="O43" s="217"/>
      <c r="P43" s="217"/>
      <c r="Q43" s="217"/>
      <c r="R43" s="217"/>
      <c r="S43" s="217"/>
      <c r="T43" s="217"/>
      <c r="U43" s="244" t="s">
        <v>68</v>
      </c>
      <c r="V43" s="245"/>
      <c r="W43" s="245">
        <f>W44</f>
        <v>0</v>
      </c>
      <c r="X43" s="278" t="s">
        <v>57</v>
      </c>
    </row>
    <row r="44" spans="1:26" ht="21" customHeight="1">
      <c r="A44" s="45"/>
      <c r="B44" s="46"/>
      <c r="C44" s="46" t="s">
        <v>195</v>
      </c>
      <c r="D44" s="48">
        <v>0</v>
      </c>
      <c r="E44" s="48">
        <f>ROUND(W44/1000,0)</f>
        <v>0</v>
      </c>
      <c r="F44" s="38">
        <f t="shared" si="20"/>
        <v>0</v>
      </c>
      <c r="G44" s="39">
        <f t="shared" si="21"/>
        <v>0</v>
      </c>
      <c r="H44" s="67" t="s">
        <v>201</v>
      </c>
      <c r="I44" s="232"/>
      <c r="J44" s="231"/>
      <c r="K44" s="231"/>
      <c r="L44" s="231"/>
      <c r="M44" s="257"/>
      <c r="N44" s="74"/>
      <c r="O44" s="69"/>
      <c r="P44" s="74"/>
      <c r="Q44" s="79"/>
      <c r="R44" s="76"/>
      <c r="S44" s="76"/>
      <c r="T44" s="257"/>
      <c r="U44" s="231"/>
      <c r="V44" s="68"/>
      <c r="W44" s="68">
        <v>0</v>
      </c>
      <c r="X44" s="57" t="s">
        <v>57</v>
      </c>
    </row>
    <row r="45" spans="1:26" ht="21" customHeight="1">
      <c r="A45" s="58"/>
      <c r="B45" s="59"/>
      <c r="C45" s="59"/>
      <c r="D45" s="61"/>
      <c r="E45" s="61"/>
      <c r="F45" s="62"/>
      <c r="G45" s="213"/>
      <c r="H45" s="71"/>
      <c r="I45" s="234"/>
      <c r="J45" s="233"/>
      <c r="K45" s="233"/>
      <c r="L45" s="233"/>
      <c r="M45" s="211"/>
      <c r="N45" s="219"/>
      <c r="O45" s="220"/>
      <c r="P45" s="219"/>
      <c r="Q45" s="221"/>
      <c r="R45" s="222"/>
      <c r="S45" s="222"/>
      <c r="T45" s="211"/>
      <c r="U45" s="233"/>
      <c r="V45" s="72"/>
      <c r="W45" s="72"/>
      <c r="X45" s="73"/>
    </row>
    <row r="46" spans="1:26" ht="21" customHeight="1">
      <c r="A46" s="35" t="s">
        <v>73</v>
      </c>
      <c r="B46" s="36" t="s">
        <v>13</v>
      </c>
      <c r="C46" s="548" t="s">
        <v>244</v>
      </c>
      <c r="D46" s="259">
        <f>SUM(D47,D50)</f>
        <v>0</v>
      </c>
      <c r="E46" s="259">
        <f>SUM(E47,E50)</f>
        <v>0</v>
      </c>
      <c r="F46" s="260">
        <f t="shared" ref="F46:F48" si="22">E46-D46</f>
        <v>0</v>
      </c>
      <c r="G46" s="261">
        <f t="shared" ref="G46:G48" si="23">IF(D46=0,0,F46/D46)</f>
        <v>0</v>
      </c>
      <c r="H46" s="262" t="s">
        <v>247</v>
      </c>
      <c r="I46" s="263"/>
      <c r="J46" s="264"/>
      <c r="K46" s="264"/>
      <c r="L46" s="263"/>
      <c r="M46" s="263"/>
      <c r="N46" s="263"/>
      <c r="O46" s="263"/>
      <c r="P46" s="263" t="s">
        <v>66</v>
      </c>
      <c r="Q46" s="265"/>
      <c r="R46" s="265"/>
      <c r="S46" s="265"/>
      <c r="T46" s="265"/>
      <c r="U46" s="265"/>
      <c r="V46" s="265"/>
      <c r="W46" s="266">
        <f>W48+W50</f>
        <v>0</v>
      </c>
      <c r="X46" s="277" t="s">
        <v>25</v>
      </c>
    </row>
    <row r="47" spans="1:26" ht="21" customHeight="1">
      <c r="A47" s="45"/>
      <c r="B47" s="46"/>
      <c r="C47" s="36" t="s">
        <v>202</v>
      </c>
      <c r="D47" s="226">
        <f>D48</f>
        <v>0</v>
      </c>
      <c r="E47" s="226">
        <f>E48</f>
        <v>0</v>
      </c>
      <c r="F47" s="227">
        <f t="shared" si="22"/>
        <v>0</v>
      </c>
      <c r="G47" s="228">
        <f t="shared" si="23"/>
        <v>0</v>
      </c>
      <c r="H47" s="214" t="s">
        <v>251</v>
      </c>
      <c r="I47" s="215"/>
      <c r="J47" s="216"/>
      <c r="K47" s="216"/>
      <c r="L47" s="216"/>
      <c r="M47" s="216"/>
      <c r="N47" s="216"/>
      <c r="O47" s="217"/>
      <c r="P47" s="217"/>
      <c r="Q47" s="217"/>
      <c r="R47" s="217"/>
      <c r="S47" s="217"/>
      <c r="T47" s="217"/>
      <c r="U47" s="244" t="s">
        <v>240</v>
      </c>
      <c r="V47" s="245"/>
      <c r="W47" s="246">
        <f>SUM(W48:W48)</f>
        <v>0</v>
      </c>
      <c r="X47" s="278" t="s">
        <v>239</v>
      </c>
      <c r="Y47" s="23"/>
      <c r="Z47" s="24"/>
    </row>
    <row r="48" spans="1:26" ht="21" customHeight="1">
      <c r="A48" s="45"/>
      <c r="B48" s="46"/>
      <c r="C48" s="46" t="s">
        <v>203</v>
      </c>
      <c r="D48" s="37">
        <v>0</v>
      </c>
      <c r="E48" s="48">
        <f>ROUND(W48/1000,0)</f>
        <v>0</v>
      </c>
      <c r="F48" s="38">
        <f t="shared" si="22"/>
        <v>0</v>
      </c>
      <c r="G48" s="39">
        <f t="shared" si="23"/>
        <v>0</v>
      </c>
      <c r="H48" s="147" t="s">
        <v>206</v>
      </c>
      <c r="I48" s="165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646" t="s">
        <v>68</v>
      </c>
      <c r="V48" s="646"/>
      <c r="W48" s="149">
        <v>0</v>
      </c>
      <c r="X48" s="150" t="s">
        <v>57</v>
      </c>
      <c r="Y48" s="23"/>
      <c r="Z48" s="24"/>
    </row>
    <row r="49" spans="1:26" ht="21" customHeight="1">
      <c r="A49" s="45"/>
      <c r="B49" s="46"/>
      <c r="C49" s="46"/>
      <c r="D49" s="48"/>
      <c r="E49" s="48"/>
      <c r="F49" s="49"/>
      <c r="G49" s="31"/>
      <c r="H49" s="67" t="s">
        <v>232</v>
      </c>
      <c r="I49" s="232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57"/>
      <c r="V49" s="257"/>
      <c r="W49" s="68"/>
      <c r="X49" s="57" t="s">
        <v>233</v>
      </c>
      <c r="Y49" s="23"/>
      <c r="Z49" s="24"/>
    </row>
    <row r="50" spans="1:26" ht="21" customHeight="1">
      <c r="A50" s="45"/>
      <c r="B50" s="46"/>
      <c r="C50" s="36" t="s">
        <v>204</v>
      </c>
      <c r="D50" s="226">
        <f>D51</f>
        <v>0</v>
      </c>
      <c r="E50" s="226">
        <f>E51</f>
        <v>0</v>
      </c>
      <c r="F50" s="227">
        <f t="shared" ref="F50:F51" si="24">E50-D50</f>
        <v>0</v>
      </c>
      <c r="G50" s="228">
        <f t="shared" ref="G50:G51" si="25">IF(D50=0,0,F50/D50)</f>
        <v>0</v>
      </c>
      <c r="H50" s="214" t="s">
        <v>252</v>
      </c>
      <c r="I50" s="215"/>
      <c r="J50" s="216"/>
      <c r="K50" s="216"/>
      <c r="L50" s="216"/>
      <c r="M50" s="216"/>
      <c r="N50" s="216"/>
      <c r="O50" s="217"/>
      <c r="P50" s="217"/>
      <c r="Q50" s="217"/>
      <c r="R50" s="217"/>
      <c r="S50" s="217"/>
      <c r="T50" s="217"/>
      <c r="U50" s="244" t="s">
        <v>240</v>
      </c>
      <c r="V50" s="245"/>
      <c r="W50" s="245">
        <f>SUM(W51:W51)</f>
        <v>0</v>
      </c>
      <c r="X50" s="278" t="s">
        <v>239</v>
      </c>
      <c r="Y50" s="23"/>
      <c r="Z50" s="24"/>
    </row>
    <row r="51" spans="1:26" ht="21" customHeight="1">
      <c r="A51" s="45"/>
      <c r="B51" s="46"/>
      <c r="C51" s="46" t="s">
        <v>203</v>
      </c>
      <c r="D51" s="48">
        <v>0</v>
      </c>
      <c r="E51" s="48">
        <f>ROUND(W51/1000,0)</f>
        <v>0</v>
      </c>
      <c r="F51" s="38">
        <f t="shared" si="24"/>
        <v>0</v>
      </c>
      <c r="G51" s="39">
        <f t="shared" si="25"/>
        <v>0</v>
      </c>
      <c r="H51" s="147" t="s">
        <v>207</v>
      </c>
      <c r="I51" s="151"/>
      <c r="J51" s="231"/>
      <c r="K51" s="231"/>
      <c r="L51" s="231"/>
      <c r="M51" s="257"/>
      <c r="N51" s="74"/>
      <c r="O51" s="69"/>
      <c r="P51" s="74"/>
      <c r="Q51" s="79"/>
      <c r="R51" s="76"/>
      <c r="S51" s="76"/>
      <c r="T51" s="257"/>
      <c r="U51" s="646" t="s">
        <v>68</v>
      </c>
      <c r="V51" s="646"/>
      <c r="W51" s="149">
        <v>0</v>
      </c>
      <c r="X51" s="150" t="s">
        <v>57</v>
      </c>
      <c r="Y51" s="23"/>
      <c r="Z51" s="24"/>
    </row>
    <row r="52" spans="1:26" ht="21" customHeight="1">
      <c r="A52" s="45"/>
      <c r="B52" s="46"/>
      <c r="C52" s="46" t="s">
        <v>340</v>
      </c>
      <c r="D52" s="48"/>
      <c r="E52" s="48"/>
      <c r="F52" s="49"/>
      <c r="G52" s="31"/>
      <c r="H52" s="71"/>
      <c r="I52" s="455"/>
      <c r="J52" s="381"/>
      <c r="K52" s="381"/>
      <c r="L52" s="381"/>
      <c r="M52" s="547"/>
      <c r="N52" s="74"/>
      <c r="O52" s="69"/>
      <c r="P52" s="74"/>
      <c r="Q52" s="79"/>
      <c r="R52" s="76"/>
      <c r="S52" s="76"/>
      <c r="T52" s="547"/>
      <c r="U52" s="211"/>
      <c r="V52" s="211"/>
      <c r="W52" s="72"/>
      <c r="X52" s="73"/>
      <c r="Y52" s="23"/>
      <c r="Z52" s="24"/>
    </row>
    <row r="53" spans="1:26" ht="21" customHeight="1">
      <c r="A53" s="58"/>
      <c r="B53" s="59"/>
      <c r="C53" s="59"/>
      <c r="D53" s="61"/>
      <c r="E53" s="61"/>
      <c r="F53" s="62"/>
      <c r="G53" s="213"/>
      <c r="H53" s="71"/>
      <c r="I53" s="234"/>
      <c r="J53" s="233"/>
      <c r="K53" s="233"/>
      <c r="L53" s="233"/>
      <c r="M53" s="211"/>
      <c r="N53" s="219"/>
      <c r="O53" s="220"/>
      <c r="P53" s="219"/>
      <c r="Q53" s="221"/>
      <c r="R53" s="222"/>
      <c r="S53" s="222"/>
      <c r="T53" s="211"/>
      <c r="U53" s="233"/>
      <c r="V53" s="72"/>
      <c r="W53" s="72"/>
      <c r="X53" s="73"/>
    </row>
    <row r="54" spans="1:26" ht="21" customHeight="1">
      <c r="A54" s="35" t="s">
        <v>14</v>
      </c>
      <c r="B54" s="36" t="s">
        <v>14</v>
      </c>
      <c r="C54" s="548" t="s">
        <v>244</v>
      </c>
      <c r="D54" s="259">
        <f>SUM(D55,D70,D75)</f>
        <v>6267</v>
      </c>
      <c r="E54" s="259">
        <f>SUM(E55,E70,E75)</f>
        <v>6267</v>
      </c>
      <c r="F54" s="260">
        <f t="shared" ref="F54:F56" si="26">E54-D54</f>
        <v>0</v>
      </c>
      <c r="G54" s="261">
        <f t="shared" ref="G54:G56" si="27">IF(D54=0,0,F54/D54)</f>
        <v>0</v>
      </c>
      <c r="H54" s="262" t="s">
        <v>248</v>
      </c>
      <c r="I54" s="263"/>
      <c r="J54" s="264"/>
      <c r="K54" s="264"/>
      <c r="L54" s="263"/>
      <c r="M54" s="263"/>
      <c r="N54" s="263"/>
      <c r="O54" s="263"/>
      <c r="P54" s="263" t="s">
        <v>66</v>
      </c>
      <c r="Q54" s="265"/>
      <c r="R54" s="265"/>
      <c r="S54" s="265"/>
      <c r="T54" s="265"/>
      <c r="U54" s="265"/>
      <c r="V54" s="265"/>
      <c r="W54" s="266">
        <f>SUM(W55,W70,W75)</f>
        <v>6267000</v>
      </c>
      <c r="X54" s="277" t="s">
        <v>25</v>
      </c>
    </row>
    <row r="55" spans="1:26" ht="21" customHeight="1">
      <c r="A55" s="45"/>
      <c r="B55" s="46"/>
      <c r="C55" s="36" t="s">
        <v>208</v>
      </c>
      <c r="D55" s="226">
        <f>SUM(D56,D59,D62,D66)</f>
        <v>5213</v>
      </c>
      <c r="E55" s="226">
        <f>SUM(E56,E59,E62,E66)</f>
        <v>5213</v>
      </c>
      <c r="F55" s="227">
        <f t="shared" si="26"/>
        <v>0</v>
      </c>
      <c r="G55" s="228">
        <f t="shared" si="27"/>
        <v>0</v>
      </c>
      <c r="H55" s="214" t="s">
        <v>253</v>
      </c>
      <c r="I55" s="215"/>
      <c r="J55" s="216"/>
      <c r="K55" s="216"/>
      <c r="L55" s="216"/>
      <c r="M55" s="216"/>
      <c r="N55" s="216"/>
      <c r="O55" s="217"/>
      <c r="P55" s="217"/>
      <c r="Q55" s="217"/>
      <c r="R55" s="217"/>
      <c r="S55" s="217"/>
      <c r="T55" s="217"/>
      <c r="U55" s="244" t="s">
        <v>240</v>
      </c>
      <c r="V55" s="245"/>
      <c r="W55" s="246">
        <f>SUM(W56,W59,W62,W66)</f>
        <v>5213000</v>
      </c>
      <c r="X55" s="278" t="s">
        <v>239</v>
      </c>
    </row>
    <row r="56" spans="1:26" ht="21" customHeight="1">
      <c r="A56" s="45"/>
      <c r="B56" s="46"/>
      <c r="C56" s="46" t="s">
        <v>209</v>
      </c>
      <c r="D56" s="37">
        <v>4728</v>
      </c>
      <c r="E56" s="48">
        <f>ROUND(W56/1000,0)</f>
        <v>4728</v>
      </c>
      <c r="F56" s="38">
        <f t="shared" si="26"/>
        <v>0</v>
      </c>
      <c r="G56" s="39">
        <f t="shared" si="27"/>
        <v>0</v>
      </c>
      <c r="H56" s="147" t="s">
        <v>234</v>
      </c>
      <c r="I56" s="165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646" t="s">
        <v>68</v>
      </c>
      <c r="V56" s="646"/>
      <c r="W56" s="149">
        <f>ROUNDUP(SUM(V57:W58),-3)</f>
        <v>4728000</v>
      </c>
      <c r="X56" s="150" t="s">
        <v>57</v>
      </c>
    </row>
    <row r="57" spans="1:26" ht="21" customHeight="1">
      <c r="A57" s="45"/>
      <c r="B57" s="46"/>
      <c r="C57" s="46"/>
      <c r="D57" s="48"/>
      <c r="E57" s="48"/>
      <c r="F57" s="49"/>
      <c r="G57" s="31"/>
      <c r="H57" s="371" t="s">
        <v>262</v>
      </c>
      <c r="I57" s="232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57"/>
      <c r="V57" s="257"/>
      <c r="W57" s="68">
        <v>4727540</v>
      </c>
      <c r="X57" s="57" t="s">
        <v>233</v>
      </c>
    </row>
    <row r="58" spans="1:26" ht="21" customHeight="1">
      <c r="A58" s="45"/>
      <c r="B58" s="46"/>
      <c r="C58" s="46"/>
      <c r="D58" s="61"/>
      <c r="E58" s="61"/>
      <c r="F58" s="62"/>
      <c r="G58" s="213"/>
      <c r="H58" s="372" t="s">
        <v>263</v>
      </c>
      <c r="I58" s="234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11"/>
      <c r="V58" s="211"/>
      <c r="W58" s="72">
        <v>0</v>
      </c>
      <c r="X58" s="73" t="s">
        <v>233</v>
      </c>
    </row>
    <row r="59" spans="1:26" ht="21" customHeight="1">
      <c r="A59" s="45"/>
      <c r="B59" s="46"/>
      <c r="C59" s="46"/>
      <c r="D59" s="37">
        <v>0</v>
      </c>
      <c r="E59" s="48">
        <f>ROUND(W59/1000,0)</f>
        <v>0</v>
      </c>
      <c r="F59" s="38">
        <f t="shared" ref="F59" si="28">E59-D59</f>
        <v>0</v>
      </c>
      <c r="G59" s="39">
        <f t="shared" ref="G59" si="29">IF(D59=0,0,F59/D59)</f>
        <v>0</v>
      </c>
      <c r="H59" s="147" t="s">
        <v>235</v>
      </c>
      <c r="I59" s="165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646" t="s">
        <v>68</v>
      </c>
      <c r="V59" s="646"/>
      <c r="W59" s="149">
        <f>ROUND(SUM(V60:W60),-3)</f>
        <v>0</v>
      </c>
      <c r="X59" s="150" t="s">
        <v>57</v>
      </c>
    </row>
    <row r="60" spans="1:26" ht="21" customHeight="1">
      <c r="A60" s="45"/>
      <c r="B60" s="46"/>
      <c r="C60" s="46"/>
      <c r="D60" s="48"/>
      <c r="E60" s="48"/>
      <c r="F60" s="49"/>
      <c r="G60" s="31"/>
      <c r="H60" s="371" t="s">
        <v>264</v>
      </c>
      <c r="I60" s="232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57"/>
      <c r="V60" s="257"/>
      <c r="W60" s="68">
        <v>1</v>
      </c>
      <c r="X60" s="57" t="s">
        <v>233</v>
      </c>
    </row>
    <row r="61" spans="1:26" ht="21" customHeight="1">
      <c r="A61" s="45"/>
      <c r="B61" s="46"/>
      <c r="C61" s="46"/>
      <c r="D61" s="61"/>
      <c r="E61" s="61"/>
      <c r="F61" s="62"/>
      <c r="G61" s="213"/>
      <c r="H61" s="71"/>
      <c r="I61" s="234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11"/>
      <c r="V61" s="211"/>
      <c r="W61" s="72"/>
      <c r="X61" s="73"/>
    </row>
    <row r="62" spans="1:26" ht="21" customHeight="1">
      <c r="A62" s="45"/>
      <c r="B62" s="46"/>
      <c r="C62" s="46"/>
      <c r="D62" s="37">
        <v>485</v>
      </c>
      <c r="E62" s="37">
        <f>ROUND(W62/1000,0)</f>
        <v>485</v>
      </c>
      <c r="F62" s="38">
        <f t="shared" ref="F62" si="30">E62-D62</f>
        <v>0</v>
      </c>
      <c r="G62" s="39">
        <f t="shared" ref="G62" si="31">IF(D62=0,0,F62/D62)</f>
        <v>0</v>
      </c>
      <c r="H62" s="147" t="s">
        <v>236</v>
      </c>
      <c r="I62" s="165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646" t="s">
        <v>68</v>
      </c>
      <c r="V62" s="646"/>
      <c r="W62" s="149">
        <f>ROUNDUP(SUM(V63:W64),-3)</f>
        <v>485000</v>
      </c>
      <c r="X62" s="150" t="s">
        <v>57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371" t="s">
        <v>265</v>
      </c>
      <c r="I63" s="232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57"/>
      <c r="V63" s="257"/>
      <c r="W63" s="68">
        <v>484809</v>
      </c>
      <c r="X63" s="57" t="s">
        <v>233</v>
      </c>
    </row>
    <row r="64" spans="1:26" ht="21" customHeight="1">
      <c r="A64" s="45"/>
      <c r="B64" s="46"/>
      <c r="C64" s="46"/>
      <c r="D64" s="48"/>
      <c r="E64" s="48"/>
      <c r="F64" s="49"/>
      <c r="G64" s="31"/>
      <c r="H64" s="371" t="s">
        <v>266</v>
      </c>
      <c r="I64" s="232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57"/>
      <c r="V64" s="257"/>
      <c r="W64" s="68">
        <v>0</v>
      </c>
      <c r="X64" s="57" t="s">
        <v>233</v>
      </c>
    </row>
    <row r="65" spans="1:46" ht="21" customHeight="1">
      <c r="A65" s="45"/>
      <c r="B65" s="46"/>
      <c r="C65" s="46"/>
      <c r="D65" s="61"/>
      <c r="E65" s="61"/>
      <c r="F65" s="62"/>
      <c r="G65" s="213"/>
      <c r="H65" s="71"/>
      <c r="I65" s="234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11"/>
      <c r="V65" s="211"/>
      <c r="W65" s="72"/>
      <c r="X65" s="73"/>
    </row>
    <row r="66" spans="1:46" ht="21" customHeight="1">
      <c r="A66" s="45"/>
      <c r="B66" s="46"/>
      <c r="C66" s="46"/>
      <c r="D66" s="48">
        <v>0</v>
      </c>
      <c r="E66" s="37">
        <f>ROUND(W66/1000,0)</f>
        <v>0</v>
      </c>
      <c r="F66" s="38">
        <f t="shared" ref="F66" si="32">E66-D66</f>
        <v>0</v>
      </c>
      <c r="G66" s="39">
        <f t="shared" ref="G66" si="33">IF(D66=0,0,F66/D66)</f>
        <v>0</v>
      </c>
      <c r="H66" s="147" t="s">
        <v>237</v>
      </c>
      <c r="I66" s="165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646" t="s">
        <v>68</v>
      </c>
      <c r="V66" s="646"/>
      <c r="W66" s="149">
        <f>ROUND(SUM(V67:W68),-3)</f>
        <v>0</v>
      </c>
      <c r="X66" s="150" t="s">
        <v>57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371" t="s">
        <v>267</v>
      </c>
      <c r="I67" s="232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57"/>
      <c r="V67" s="257"/>
      <c r="W67" s="68">
        <v>0</v>
      </c>
      <c r="X67" s="57" t="s">
        <v>233</v>
      </c>
    </row>
    <row r="68" spans="1:46" ht="21" customHeight="1">
      <c r="A68" s="45"/>
      <c r="B68" s="46"/>
      <c r="C68" s="46"/>
      <c r="D68" s="48"/>
      <c r="E68" s="48"/>
      <c r="F68" s="49"/>
      <c r="G68" s="31"/>
      <c r="H68" s="371" t="s">
        <v>268</v>
      </c>
      <c r="I68" s="232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57"/>
      <c r="V68" s="257"/>
      <c r="W68" s="68">
        <v>0</v>
      </c>
      <c r="X68" s="57" t="s">
        <v>233</v>
      </c>
    </row>
    <row r="69" spans="1:46" ht="21" customHeight="1">
      <c r="A69" s="45"/>
      <c r="B69" s="46"/>
      <c r="C69" s="46"/>
      <c r="D69" s="48"/>
      <c r="E69" s="48"/>
      <c r="F69" s="49"/>
      <c r="G69" s="31"/>
      <c r="H69" s="67"/>
      <c r="I69" s="232"/>
      <c r="J69" s="231"/>
      <c r="K69" s="231"/>
      <c r="L69" s="231"/>
      <c r="M69" s="257"/>
      <c r="N69" s="74"/>
      <c r="O69" s="69"/>
      <c r="P69" s="74"/>
      <c r="Q69" s="79"/>
      <c r="R69" s="76"/>
      <c r="S69" s="76"/>
      <c r="T69" s="257"/>
      <c r="U69" s="231"/>
      <c r="V69" s="68"/>
      <c r="W69" s="68"/>
      <c r="X69" s="57"/>
    </row>
    <row r="70" spans="1:46" ht="21" customHeight="1">
      <c r="A70" s="45"/>
      <c r="B70" s="46"/>
      <c r="C70" s="36" t="s">
        <v>208</v>
      </c>
      <c r="D70" s="226">
        <f>D71</f>
        <v>1054</v>
      </c>
      <c r="E70" s="226">
        <f>E71</f>
        <v>1054</v>
      </c>
      <c r="F70" s="227">
        <f t="shared" ref="F70:F71" si="34">E70-D70</f>
        <v>0</v>
      </c>
      <c r="G70" s="228">
        <f t="shared" ref="G70:G71" si="35">IF(D70=0,0,F70/D70)</f>
        <v>0</v>
      </c>
      <c r="H70" s="214" t="s">
        <v>210</v>
      </c>
      <c r="I70" s="215"/>
      <c r="J70" s="216"/>
      <c r="K70" s="216"/>
      <c r="L70" s="216"/>
      <c r="M70" s="216"/>
      <c r="N70" s="216"/>
      <c r="O70" s="217"/>
      <c r="P70" s="217"/>
      <c r="Q70" s="217"/>
      <c r="R70" s="217"/>
      <c r="S70" s="217"/>
      <c r="T70" s="217"/>
      <c r="U70" s="244" t="s">
        <v>68</v>
      </c>
      <c r="V70" s="245"/>
      <c r="W70" s="245">
        <f>W71</f>
        <v>1054000</v>
      </c>
      <c r="X70" s="278" t="s">
        <v>57</v>
      </c>
    </row>
    <row r="71" spans="1:46" ht="21" customHeight="1">
      <c r="A71" s="45"/>
      <c r="B71" s="46"/>
      <c r="C71" s="46" t="s">
        <v>209</v>
      </c>
      <c r="D71" s="48">
        <v>1054</v>
      </c>
      <c r="E71" s="48">
        <f>ROUND(W71/1000,0)</f>
        <v>1054</v>
      </c>
      <c r="F71" s="38">
        <f t="shared" si="34"/>
        <v>0</v>
      </c>
      <c r="G71" s="39">
        <f t="shared" si="35"/>
        <v>0</v>
      </c>
      <c r="H71" s="373" t="s">
        <v>269</v>
      </c>
      <c r="I71" s="165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646"/>
      <c r="V71" s="646"/>
      <c r="W71" s="149">
        <f>ROUNDUP(SUM(V72:W73),-3)</f>
        <v>1054000</v>
      </c>
      <c r="X71" s="150" t="s">
        <v>57</v>
      </c>
    </row>
    <row r="72" spans="1:46" ht="21" customHeight="1">
      <c r="A72" s="45"/>
      <c r="B72" s="46"/>
      <c r="C72" s="46" t="s">
        <v>205</v>
      </c>
      <c r="D72" s="48"/>
      <c r="E72" s="48"/>
      <c r="F72" s="49"/>
      <c r="G72" s="70"/>
      <c r="H72" s="371" t="s">
        <v>270</v>
      </c>
      <c r="I72" s="232"/>
      <c r="J72" s="231"/>
      <c r="K72" s="231"/>
      <c r="L72" s="231"/>
      <c r="M72" s="231"/>
      <c r="N72" s="231"/>
      <c r="O72" s="231"/>
      <c r="P72" s="54"/>
      <c r="Q72" s="54"/>
      <c r="R72" s="54"/>
      <c r="S72" s="231"/>
      <c r="T72" s="231"/>
      <c r="U72" s="231"/>
      <c r="V72" s="68"/>
      <c r="W72" s="68">
        <v>1053120</v>
      </c>
      <c r="X72" s="57" t="s">
        <v>134</v>
      </c>
    </row>
    <row r="73" spans="1:46" ht="21" customHeight="1">
      <c r="A73" s="45"/>
      <c r="B73" s="46"/>
      <c r="C73" s="46"/>
      <c r="D73" s="48"/>
      <c r="E73" s="48"/>
      <c r="F73" s="49"/>
      <c r="G73" s="70"/>
      <c r="H73" s="371" t="s">
        <v>511</v>
      </c>
      <c r="I73" s="382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588"/>
      <c r="V73" s="588"/>
      <c r="W73" s="68">
        <v>0</v>
      </c>
      <c r="X73" s="57" t="s">
        <v>57</v>
      </c>
    </row>
    <row r="74" spans="1:46" ht="21" customHeight="1">
      <c r="A74" s="45"/>
      <c r="B74" s="46"/>
      <c r="C74" s="46"/>
      <c r="D74" s="48"/>
      <c r="E74" s="48"/>
      <c r="F74" s="49"/>
      <c r="G74" s="70"/>
      <c r="H74" s="67"/>
      <c r="I74" s="232"/>
      <c r="J74" s="231"/>
      <c r="K74" s="231"/>
      <c r="L74" s="231"/>
      <c r="M74" s="231"/>
      <c r="N74" s="231"/>
      <c r="O74" s="231"/>
      <c r="P74" s="54"/>
      <c r="Q74" s="54"/>
      <c r="R74" s="54"/>
      <c r="S74" s="231"/>
      <c r="T74" s="231"/>
      <c r="U74" s="231"/>
      <c r="V74" s="68"/>
      <c r="W74" s="68"/>
      <c r="X74" s="57"/>
    </row>
    <row r="75" spans="1:46" ht="21" customHeight="1">
      <c r="A75" s="45"/>
      <c r="B75" s="46"/>
      <c r="C75" s="36" t="s">
        <v>211</v>
      </c>
      <c r="D75" s="226">
        <f>D76</f>
        <v>0</v>
      </c>
      <c r="E75" s="226">
        <f>E76</f>
        <v>0</v>
      </c>
      <c r="F75" s="227">
        <f t="shared" ref="F75:F76" si="36">E75-D75</f>
        <v>0</v>
      </c>
      <c r="G75" s="228">
        <f t="shared" ref="G75:G76" si="37">IF(D75=0,0,F75/D75)</f>
        <v>0</v>
      </c>
      <c r="H75" s="214" t="s">
        <v>213</v>
      </c>
      <c r="I75" s="215"/>
      <c r="J75" s="216"/>
      <c r="K75" s="216"/>
      <c r="L75" s="216"/>
      <c r="M75" s="216"/>
      <c r="N75" s="216"/>
      <c r="O75" s="217"/>
      <c r="P75" s="217"/>
      <c r="Q75" s="217"/>
      <c r="R75" s="217"/>
      <c r="S75" s="217"/>
      <c r="T75" s="217"/>
      <c r="U75" s="244" t="s">
        <v>68</v>
      </c>
      <c r="V75" s="245"/>
      <c r="W75" s="245">
        <f>ROUND(SUM(V76:W77),-3)</f>
        <v>0</v>
      </c>
      <c r="X75" s="278" t="s">
        <v>57</v>
      </c>
    </row>
    <row r="76" spans="1:46" ht="21" customHeight="1">
      <c r="A76" s="45"/>
      <c r="B76" s="46"/>
      <c r="C76" s="46" t="s">
        <v>212</v>
      </c>
      <c r="D76" s="48">
        <v>0</v>
      </c>
      <c r="E76" s="48">
        <f>ROUND(W76/1000,0)</f>
        <v>0</v>
      </c>
      <c r="F76" s="38">
        <f t="shared" si="36"/>
        <v>0</v>
      </c>
      <c r="G76" s="39">
        <f t="shared" si="37"/>
        <v>0</v>
      </c>
      <c r="H76" s="67"/>
      <c r="I76" s="232"/>
      <c r="J76" s="231"/>
      <c r="K76" s="231"/>
      <c r="L76" s="231"/>
      <c r="M76" s="257"/>
      <c r="N76" s="74"/>
      <c r="O76" s="69"/>
      <c r="P76" s="74"/>
      <c r="Q76" s="79"/>
      <c r="R76" s="76"/>
      <c r="S76" s="76"/>
      <c r="T76" s="257"/>
      <c r="U76" s="231"/>
      <c r="V76" s="68"/>
      <c r="W76" s="68">
        <f>L76*O76</f>
        <v>0</v>
      </c>
      <c r="X76" s="57" t="s">
        <v>57</v>
      </c>
    </row>
    <row r="77" spans="1:46" ht="21" customHeight="1">
      <c r="A77" s="58"/>
      <c r="B77" s="59"/>
      <c r="C77" s="59"/>
      <c r="D77" s="61"/>
      <c r="E77" s="61"/>
      <c r="F77" s="62"/>
      <c r="G77" s="84"/>
      <c r="H77" s="71"/>
      <c r="I77" s="234"/>
      <c r="J77" s="233"/>
      <c r="K77" s="233"/>
      <c r="L77" s="233"/>
      <c r="M77" s="233"/>
      <c r="N77" s="233"/>
      <c r="O77" s="233"/>
      <c r="P77" s="131"/>
      <c r="Q77" s="131"/>
      <c r="R77" s="131"/>
      <c r="S77" s="233"/>
      <c r="T77" s="233"/>
      <c r="U77" s="233"/>
      <c r="V77" s="72"/>
      <c r="W77" s="72">
        <v>0</v>
      </c>
      <c r="X77" s="73" t="s">
        <v>57</v>
      </c>
    </row>
    <row r="78" spans="1:46" ht="21" customHeight="1">
      <c r="A78" s="45" t="s">
        <v>74</v>
      </c>
      <c r="B78" s="87" t="s">
        <v>16</v>
      </c>
      <c r="C78" s="548" t="s">
        <v>244</v>
      </c>
      <c r="D78" s="259">
        <f>SUM(D79,D82,D90)</f>
        <v>13</v>
      </c>
      <c r="E78" s="259">
        <f>SUM(E79,E82,E90)</f>
        <v>13</v>
      </c>
      <c r="F78" s="260">
        <f t="shared" ref="F78:F80" si="38">E78-D78</f>
        <v>0</v>
      </c>
      <c r="G78" s="261">
        <f t="shared" ref="G78:G80" si="39">IF(D78=0,0,F78/D78)</f>
        <v>0</v>
      </c>
      <c r="H78" s="262" t="s">
        <v>249</v>
      </c>
      <c r="I78" s="263"/>
      <c r="J78" s="264"/>
      <c r="K78" s="264"/>
      <c r="L78" s="263"/>
      <c r="M78" s="263"/>
      <c r="N78" s="263"/>
      <c r="O78" s="263"/>
      <c r="P78" s="263" t="s">
        <v>66</v>
      </c>
      <c r="Q78" s="265"/>
      <c r="R78" s="265"/>
      <c r="S78" s="265"/>
      <c r="T78" s="265"/>
      <c r="U78" s="265"/>
      <c r="V78" s="265"/>
      <c r="W78" s="275">
        <f>SUM(W79,W82,W90)</f>
        <v>13000</v>
      </c>
      <c r="X78" s="281" t="s">
        <v>239</v>
      </c>
    </row>
    <row r="79" spans="1:46" s="4" customFormat="1" ht="21" customHeight="1">
      <c r="A79" s="45"/>
      <c r="B79" s="96"/>
      <c r="C79" s="36" t="s">
        <v>214</v>
      </c>
      <c r="D79" s="226">
        <f>D80</f>
        <v>0</v>
      </c>
      <c r="E79" s="226">
        <f>E80</f>
        <v>0</v>
      </c>
      <c r="F79" s="227">
        <f t="shared" si="38"/>
        <v>0</v>
      </c>
      <c r="G79" s="228">
        <f t="shared" si="39"/>
        <v>0</v>
      </c>
      <c r="H79" s="214" t="s">
        <v>219</v>
      </c>
      <c r="I79" s="215"/>
      <c r="J79" s="216"/>
      <c r="K79" s="216"/>
      <c r="L79" s="216"/>
      <c r="M79" s="216"/>
      <c r="N79" s="216"/>
      <c r="O79" s="217"/>
      <c r="P79" s="217"/>
      <c r="Q79" s="217"/>
      <c r="R79" s="217"/>
      <c r="S79" s="217"/>
      <c r="T79" s="217"/>
      <c r="U79" s="244" t="s">
        <v>68</v>
      </c>
      <c r="V79" s="245"/>
      <c r="W79" s="246">
        <f>SUM(W80:W80)</f>
        <v>0</v>
      </c>
      <c r="X79" s="278" t="s">
        <v>57</v>
      </c>
      <c r="Y79" s="267"/>
      <c r="Z79" s="268"/>
      <c r="AA79" s="268"/>
      <c r="AB79" s="269"/>
      <c r="AC79" s="270"/>
      <c r="AD79" s="271"/>
      <c r="AE79" s="272"/>
      <c r="AF79" s="273"/>
      <c r="AG79" s="273"/>
      <c r="AH79" s="272"/>
      <c r="AI79" s="272"/>
      <c r="AJ79" s="272"/>
      <c r="AK79" s="272"/>
      <c r="AL79" s="272"/>
      <c r="AM79" s="271"/>
      <c r="AN79" s="271"/>
      <c r="AO79" s="271"/>
      <c r="AP79" s="271"/>
      <c r="AQ79" s="271"/>
      <c r="AR79" s="271"/>
      <c r="AS79" s="274"/>
      <c r="AT79" s="272"/>
    </row>
    <row r="80" spans="1:46" ht="21" customHeight="1">
      <c r="A80" s="60"/>
      <c r="B80" s="98"/>
      <c r="C80" s="46" t="s">
        <v>215</v>
      </c>
      <c r="D80" s="37">
        <v>0</v>
      </c>
      <c r="E80" s="48">
        <f>ROUND(W80/1000,0)</f>
        <v>0</v>
      </c>
      <c r="F80" s="38">
        <f t="shared" si="38"/>
        <v>0</v>
      </c>
      <c r="G80" s="39">
        <f t="shared" si="39"/>
        <v>0</v>
      </c>
      <c r="H80" s="147" t="s">
        <v>219</v>
      </c>
      <c r="I80" s="165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646" t="s">
        <v>68</v>
      </c>
      <c r="V80" s="646"/>
      <c r="W80" s="149">
        <f>SUM(W81:W81)</f>
        <v>0</v>
      </c>
      <c r="X80" s="150" t="s">
        <v>57</v>
      </c>
    </row>
    <row r="81" spans="1:25" s="11" customFormat="1" ht="19.5" customHeight="1">
      <c r="A81" s="60"/>
      <c r="B81" s="90"/>
      <c r="C81" s="46"/>
      <c r="D81" s="48"/>
      <c r="E81" s="48"/>
      <c r="F81" s="49"/>
      <c r="G81" s="31"/>
      <c r="H81" s="67"/>
      <c r="I81" s="232"/>
      <c r="J81" s="231"/>
      <c r="K81" s="231"/>
      <c r="L81" s="231"/>
      <c r="M81" s="257"/>
      <c r="N81" s="74"/>
      <c r="O81" s="69"/>
      <c r="P81" s="74"/>
      <c r="Q81" s="79"/>
      <c r="R81" s="76"/>
      <c r="S81" s="76"/>
      <c r="T81" s="257"/>
      <c r="U81" s="231"/>
      <c r="V81" s="68"/>
      <c r="W81" s="68">
        <f>L81*O81</f>
        <v>0</v>
      </c>
      <c r="X81" s="57" t="s">
        <v>57</v>
      </c>
      <c r="Y81" s="6"/>
    </row>
    <row r="82" spans="1:25" s="11" customFormat="1" ht="19.5" customHeight="1">
      <c r="A82" s="60"/>
      <c r="B82" s="90"/>
      <c r="C82" s="36" t="s">
        <v>216</v>
      </c>
      <c r="D82" s="226">
        <f>D83</f>
        <v>13</v>
      </c>
      <c r="E82" s="226">
        <f>E83</f>
        <v>13</v>
      </c>
      <c r="F82" s="227">
        <f t="shared" ref="F82:F83" si="40">E82-D82</f>
        <v>0</v>
      </c>
      <c r="G82" s="228">
        <f t="shared" ref="G82:G83" si="41">IF(D82=0,0,F82/D82)</f>
        <v>0</v>
      </c>
      <c r="H82" s="214" t="s">
        <v>220</v>
      </c>
      <c r="I82" s="215"/>
      <c r="J82" s="216"/>
      <c r="K82" s="216"/>
      <c r="L82" s="216"/>
      <c r="M82" s="216"/>
      <c r="N82" s="216"/>
      <c r="O82" s="217"/>
      <c r="P82" s="217"/>
      <c r="Q82" s="217"/>
      <c r="R82" s="217"/>
      <c r="S82" s="217"/>
      <c r="T82" s="217"/>
      <c r="U82" s="244" t="s">
        <v>68</v>
      </c>
      <c r="V82" s="245"/>
      <c r="W82" s="245">
        <f>SUM(W83:W83)</f>
        <v>13000</v>
      </c>
      <c r="X82" s="278" t="s">
        <v>57</v>
      </c>
      <c r="Y82" s="6"/>
    </row>
    <row r="83" spans="1:25" s="11" customFormat="1" ht="19.5" customHeight="1">
      <c r="A83" s="60"/>
      <c r="B83" s="90"/>
      <c r="C83" s="46" t="s">
        <v>217</v>
      </c>
      <c r="D83" s="48">
        <v>13</v>
      </c>
      <c r="E83" s="48">
        <f>ROUND(W83/1000,0)</f>
        <v>13</v>
      </c>
      <c r="F83" s="38">
        <f t="shared" si="40"/>
        <v>0</v>
      </c>
      <c r="G83" s="39">
        <f t="shared" si="41"/>
        <v>0</v>
      </c>
      <c r="H83" s="565" t="s">
        <v>344</v>
      </c>
      <c r="I83" s="186"/>
      <c r="J83" s="185"/>
      <c r="K83" s="185"/>
      <c r="L83" s="185"/>
      <c r="M83" s="185"/>
      <c r="N83" s="185"/>
      <c r="O83" s="185"/>
      <c r="P83" s="185" t="s">
        <v>342</v>
      </c>
      <c r="Q83" s="185"/>
      <c r="R83" s="185"/>
      <c r="S83" s="185"/>
      <c r="T83" s="185"/>
      <c r="U83" s="646" t="s">
        <v>68</v>
      </c>
      <c r="V83" s="646"/>
      <c r="W83" s="149">
        <f>SUM(W84:W88)</f>
        <v>13000</v>
      </c>
      <c r="X83" s="150" t="s">
        <v>57</v>
      </c>
      <c r="Y83" s="6"/>
    </row>
    <row r="84" spans="1:25" s="11" customFormat="1" ht="19.5" customHeight="1">
      <c r="A84" s="60"/>
      <c r="B84" s="90"/>
      <c r="C84" s="46" t="s">
        <v>177</v>
      </c>
      <c r="D84" s="48"/>
      <c r="E84" s="48"/>
      <c r="F84" s="49"/>
      <c r="G84" s="70"/>
      <c r="H84" s="534" t="s">
        <v>517</v>
      </c>
      <c r="I84" s="382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68"/>
      <c r="W84" s="68">
        <v>5000</v>
      </c>
      <c r="X84" s="57" t="s">
        <v>25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518</v>
      </c>
      <c r="I85" s="382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68"/>
      <c r="W85" s="68">
        <v>1000</v>
      </c>
      <c r="X85" s="57" t="s">
        <v>519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520</v>
      </c>
      <c r="I86" s="382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68"/>
      <c r="W86" s="68">
        <v>4000</v>
      </c>
      <c r="X86" s="57" t="s">
        <v>519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 t="s">
        <v>521</v>
      </c>
      <c r="I87" s="382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68"/>
      <c r="W87" s="68">
        <v>1000</v>
      </c>
      <c r="X87" s="57" t="s">
        <v>25</v>
      </c>
      <c r="Y87" s="6"/>
    </row>
    <row r="88" spans="1:25" s="11" customFormat="1" ht="19.5" customHeight="1">
      <c r="A88" s="60"/>
      <c r="B88" s="90"/>
      <c r="C88" s="46"/>
      <c r="D88" s="48"/>
      <c r="E88" s="48"/>
      <c r="F88" s="49"/>
      <c r="G88" s="70"/>
      <c r="H88" s="67" t="s">
        <v>522</v>
      </c>
      <c r="I88" s="381"/>
      <c r="J88" s="381"/>
      <c r="K88" s="381"/>
      <c r="L88" s="381"/>
      <c r="M88" s="381"/>
      <c r="N88" s="381"/>
      <c r="O88" s="381"/>
      <c r="P88" s="648"/>
      <c r="Q88" s="648"/>
      <c r="R88" s="381"/>
      <c r="S88" s="381"/>
      <c r="T88" s="381"/>
      <c r="U88" s="381"/>
      <c r="V88" s="381"/>
      <c r="W88" s="381">
        <v>2000</v>
      </c>
      <c r="X88" s="57" t="s">
        <v>25</v>
      </c>
      <c r="Y88" s="6"/>
    </row>
    <row r="89" spans="1:25" s="11" customFormat="1" ht="19.5" customHeight="1">
      <c r="A89" s="60"/>
      <c r="B89" s="90"/>
      <c r="C89" s="46"/>
      <c r="D89" s="48"/>
      <c r="E89" s="48"/>
      <c r="F89" s="49"/>
      <c r="G89" s="70"/>
      <c r="H89" s="67"/>
      <c r="I89" s="232"/>
      <c r="J89" s="231"/>
      <c r="K89" s="231"/>
      <c r="L89" s="231"/>
      <c r="M89" s="231"/>
      <c r="N89" s="231"/>
      <c r="O89" s="231"/>
      <c r="P89" s="54"/>
      <c r="Q89" s="54"/>
      <c r="R89" s="54"/>
      <c r="S89" s="231"/>
      <c r="T89" s="231"/>
      <c r="U89" s="231"/>
      <c r="V89" s="68"/>
      <c r="W89" s="68"/>
      <c r="X89" s="57"/>
      <c r="Y89" s="6"/>
    </row>
    <row r="90" spans="1:25" s="11" customFormat="1" ht="19.5" customHeight="1">
      <c r="A90" s="60"/>
      <c r="B90" s="90"/>
      <c r="C90" s="36" t="s">
        <v>189</v>
      </c>
      <c r="D90" s="226">
        <f>D91</f>
        <v>0</v>
      </c>
      <c r="E90" s="226">
        <f>E91</f>
        <v>0</v>
      </c>
      <c r="F90" s="227">
        <f t="shared" ref="F90:F91" si="42">E90-D90</f>
        <v>0</v>
      </c>
      <c r="G90" s="228">
        <f t="shared" ref="G90:G91" si="43">IF(D90=0,0,F90/D90)</f>
        <v>0</v>
      </c>
      <c r="H90" s="214" t="s">
        <v>238</v>
      </c>
      <c r="I90" s="215"/>
      <c r="J90" s="216"/>
      <c r="K90" s="216"/>
      <c r="L90" s="216"/>
      <c r="M90" s="216"/>
      <c r="N90" s="216"/>
      <c r="O90" s="217"/>
      <c r="P90" s="217"/>
      <c r="Q90" s="217"/>
      <c r="R90" s="217"/>
      <c r="S90" s="217"/>
      <c r="T90" s="217"/>
      <c r="U90" s="244" t="s">
        <v>240</v>
      </c>
      <c r="V90" s="245"/>
      <c r="W90" s="245">
        <f>SUM(W91:W91)</f>
        <v>0</v>
      </c>
      <c r="X90" s="278" t="s">
        <v>239</v>
      </c>
      <c r="Y90" s="6"/>
    </row>
    <row r="91" spans="1:25" s="11" customFormat="1" ht="19.5" customHeight="1">
      <c r="A91" s="60"/>
      <c r="B91" s="90"/>
      <c r="C91" s="46" t="s">
        <v>218</v>
      </c>
      <c r="D91" s="48">
        <v>0</v>
      </c>
      <c r="E91" s="48">
        <f>ROUND(W91/1000,0)</f>
        <v>0</v>
      </c>
      <c r="F91" s="38">
        <f t="shared" si="42"/>
        <v>0</v>
      </c>
      <c r="G91" s="39">
        <f t="shared" si="43"/>
        <v>0</v>
      </c>
      <c r="H91" s="97" t="s">
        <v>341</v>
      </c>
      <c r="I91" s="190"/>
      <c r="J91" s="189"/>
      <c r="K91" s="189"/>
      <c r="L91" s="189"/>
      <c r="M91" s="189"/>
      <c r="N91" s="189"/>
      <c r="O91" s="189"/>
      <c r="P91" s="189" t="s">
        <v>342</v>
      </c>
      <c r="Q91" s="189"/>
      <c r="R91" s="189"/>
      <c r="S91" s="189"/>
      <c r="T91" s="189"/>
      <c r="U91" s="646" t="s">
        <v>68</v>
      </c>
      <c r="V91" s="646"/>
      <c r="W91" s="149">
        <f>SUM(W92:W92)</f>
        <v>0</v>
      </c>
      <c r="X91" s="150" t="s">
        <v>57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534" t="s">
        <v>343</v>
      </c>
      <c r="I92" s="382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68"/>
      <c r="W92" s="68">
        <v>0</v>
      </c>
      <c r="X92" s="57" t="s">
        <v>25</v>
      </c>
      <c r="Y92" s="6"/>
    </row>
    <row r="93" spans="1:25" s="11" customFormat="1" ht="19.5" customHeight="1" thickBot="1">
      <c r="A93" s="100"/>
      <c r="B93" s="101"/>
      <c r="C93" s="101"/>
      <c r="D93" s="103"/>
      <c r="E93" s="103"/>
      <c r="F93" s="104"/>
      <c r="G93" s="105"/>
      <c r="H93" s="63"/>
      <c r="I93" s="65"/>
      <c r="J93" s="65"/>
      <c r="K93" s="65"/>
      <c r="L93" s="65"/>
      <c r="M93" s="65"/>
      <c r="N93" s="64"/>
      <c r="O93" s="65"/>
      <c r="P93" s="64"/>
      <c r="Q93" s="64"/>
      <c r="R93" s="65"/>
      <c r="S93" s="65"/>
      <c r="T93" s="106"/>
      <c r="U93" s="106"/>
      <c r="V93" s="64"/>
      <c r="W93" s="65"/>
      <c r="X93" s="66"/>
      <c r="Y93" s="6"/>
    </row>
    <row r="94" spans="1:25" s="11" customFormat="1" ht="19.5" customHeight="1">
      <c r="A94" s="7"/>
      <c r="B94" s="7"/>
      <c r="C94" s="7"/>
      <c r="D94" s="9"/>
      <c r="E94" s="9"/>
      <c r="F94" s="10"/>
      <c r="G94" s="12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6"/>
    </row>
    <row r="105" spans="25:25" ht="19.5" customHeight="1">
      <c r="Y105" s="6" t="s">
        <v>63</v>
      </c>
    </row>
  </sheetData>
  <mergeCells count="24">
    <mergeCell ref="A1:F1"/>
    <mergeCell ref="P88:Q88"/>
    <mergeCell ref="U91:V91"/>
    <mergeCell ref="U17:V17"/>
    <mergeCell ref="U18:V18"/>
    <mergeCell ref="A2:C2"/>
    <mergeCell ref="D2:D3"/>
    <mergeCell ref="A4:C4"/>
    <mergeCell ref="U56:V56"/>
    <mergeCell ref="U80:V80"/>
    <mergeCell ref="E2:E3"/>
    <mergeCell ref="U41:V41"/>
    <mergeCell ref="F2:G2"/>
    <mergeCell ref="H2:X3"/>
    <mergeCell ref="U31:V31"/>
    <mergeCell ref="U48:V48"/>
    <mergeCell ref="U83:V83"/>
    <mergeCell ref="U36:V36"/>
    <mergeCell ref="U33:V33"/>
    <mergeCell ref="U51:V51"/>
    <mergeCell ref="U59:V59"/>
    <mergeCell ref="U71:V71"/>
    <mergeCell ref="U62:V62"/>
    <mergeCell ref="U66:V66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228"/>
  <sheetViews>
    <sheetView zoomScale="75" zoomScaleNormal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4.55468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47" t="s">
        <v>615</v>
      </c>
      <c r="B1" s="647"/>
      <c r="C1" s="647"/>
      <c r="D1" s="647"/>
      <c r="E1" s="647"/>
      <c r="F1" s="107"/>
      <c r="G1" s="107"/>
      <c r="H1" s="107"/>
      <c r="I1" s="107"/>
      <c r="J1" s="107"/>
      <c r="K1" s="107"/>
      <c r="L1" s="107"/>
      <c r="M1" s="107"/>
      <c r="N1" s="172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649" t="s">
        <v>22</v>
      </c>
      <c r="B2" s="650"/>
      <c r="C2" s="650"/>
      <c r="D2" s="673" t="s">
        <v>616</v>
      </c>
      <c r="E2" s="673" t="s">
        <v>617</v>
      </c>
      <c r="F2" s="675"/>
      <c r="G2" s="675"/>
      <c r="H2" s="675"/>
      <c r="I2" s="675"/>
      <c r="J2" s="675"/>
      <c r="K2" s="675"/>
      <c r="L2" s="676"/>
      <c r="M2" s="655" t="s">
        <v>23</v>
      </c>
      <c r="N2" s="655"/>
      <c r="O2" s="659" t="s">
        <v>54</v>
      </c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1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74"/>
      <c r="E3" s="183" t="s">
        <v>540</v>
      </c>
      <c r="F3" s="183" t="s">
        <v>541</v>
      </c>
      <c r="G3" s="183" t="s">
        <v>542</v>
      </c>
      <c r="H3" s="183" t="s">
        <v>543</v>
      </c>
      <c r="I3" s="183" t="s">
        <v>544</v>
      </c>
      <c r="J3" s="183" t="s">
        <v>545</v>
      </c>
      <c r="K3" s="183" t="s">
        <v>546</v>
      </c>
      <c r="L3" s="183" t="s">
        <v>547</v>
      </c>
      <c r="M3" s="152" t="s">
        <v>128</v>
      </c>
      <c r="N3" s="108" t="s">
        <v>4</v>
      </c>
      <c r="O3" s="662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4"/>
    </row>
    <row r="4" spans="1:32" s="11" customFormat="1" ht="21" customHeight="1">
      <c r="A4" s="671" t="s">
        <v>31</v>
      </c>
      <c r="B4" s="672"/>
      <c r="C4" s="672"/>
      <c r="D4" s="399">
        <f t="shared" ref="D4:L4" si="0">SUM(D5,D116,D129,D198,D208,D211)</f>
        <v>73585</v>
      </c>
      <c r="E4" s="399">
        <f t="shared" si="0"/>
        <v>74345</v>
      </c>
      <c r="F4" s="399">
        <f t="shared" si="0"/>
        <v>55710</v>
      </c>
      <c r="G4" s="399">
        <f t="shared" si="0"/>
        <v>3800</v>
      </c>
      <c r="H4" s="399">
        <f t="shared" si="0"/>
        <v>460</v>
      </c>
      <c r="I4" s="399">
        <f t="shared" si="0"/>
        <v>1956</v>
      </c>
      <c r="J4" s="399">
        <f t="shared" si="0"/>
        <v>11932</v>
      </c>
      <c r="K4" s="399">
        <f t="shared" si="0"/>
        <v>486</v>
      </c>
      <c r="L4" s="399">
        <f t="shared" si="0"/>
        <v>1</v>
      </c>
      <c r="M4" s="400">
        <f>E4-D4</f>
        <v>760</v>
      </c>
      <c r="N4" s="401">
        <f>IF(D4=0,0,M4/D4)</f>
        <v>1.0328191886933479E-2</v>
      </c>
      <c r="O4" s="402" t="s">
        <v>281</v>
      </c>
      <c r="P4" s="403"/>
      <c r="Q4" s="403"/>
      <c r="R4" s="403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>
        <f>SUM(AD5,AD116,AD129,AD198,AD208,AD211)</f>
        <v>74345000</v>
      </c>
      <c r="AE4" s="405" t="s">
        <v>25</v>
      </c>
      <c r="AF4" s="2"/>
    </row>
    <row r="5" spans="1:32" s="11" customFormat="1" ht="21" customHeight="1">
      <c r="A5" s="112" t="s">
        <v>6</v>
      </c>
      <c r="B5" s="669" t="s">
        <v>7</v>
      </c>
      <c r="C5" s="670"/>
      <c r="D5" s="406">
        <f t="shared" ref="D5:L5" si="1">SUM(D6,D73,D84)</f>
        <v>52437</v>
      </c>
      <c r="E5" s="406">
        <f t="shared" si="1"/>
        <v>51253</v>
      </c>
      <c r="F5" s="406">
        <f t="shared" si="1"/>
        <v>44906</v>
      </c>
      <c r="G5" s="406">
        <f t="shared" si="1"/>
        <v>1800</v>
      </c>
      <c r="H5" s="406">
        <f t="shared" si="1"/>
        <v>460</v>
      </c>
      <c r="I5" s="406">
        <f t="shared" si="1"/>
        <v>720</v>
      </c>
      <c r="J5" s="406">
        <f t="shared" si="1"/>
        <v>3167</v>
      </c>
      <c r="K5" s="406">
        <f t="shared" si="1"/>
        <v>200</v>
      </c>
      <c r="L5" s="406">
        <f t="shared" si="1"/>
        <v>0</v>
      </c>
      <c r="M5" s="407">
        <f>E5-D5</f>
        <v>-1184</v>
      </c>
      <c r="N5" s="408">
        <f>IF(D5=0,0,M5/D5)</f>
        <v>-2.2579476323969717E-2</v>
      </c>
      <c r="O5" s="409" t="s">
        <v>282</v>
      </c>
      <c r="P5" s="409"/>
      <c r="Q5" s="409"/>
      <c r="R5" s="409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>
        <f>SUM(AD6,AD73,AD84)</f>
        <v>51253000</v>
      </c>
      <c r="AE5" s="411" t="s">
        <v>25</v>
      </c>
      <c r="AF5" s="2"/>
    </row>
    <row r="6" spans="1:32" s="11" customFormat="1" ht="21" customHeight="1">
      <c r="A6" s="45"/>
      <c r="B6" s="36" t="s">
        <v>8</v>
      </c>
      <c r="C6" s="412" t="s">
        <v>5</v>
      </c>
      <c r="D6" s="527">
        <f t="shared" ref="D6:L6" si="2">SUM(D7,D12,D15,D39,D43,D68)</f>
        <v>44215</v>
      </c>
      <c r="E6" s="413">
        <f t="shared" si="2"/>
        <v>43220</v>
      </c>
      <c r="F6" s="413">
        <f t="shared" si="2"/>
        <v>40170</v>
      </c>
      <c r="G6" s="413">
        <f t="shared" si="2"/>
        <v>1800</v>
      </c>
      <c r="H6" s="413">
        <f t="shared" si="2"/>
        <v>460</v>
      </c>
      <c r="I6" s="413">
        <f t="shared" si="2"/>
        <v>720</v>
      </c>
      <c r="J6" s="413">
        <f t="shared" si="2"/>
        <v>70</v>
      </c>
      <c r="K6" s="413">
        <f t="shared" si="2"/>
        <v>0</v>
      </c>
      <c r="L6" s="413">
        <f t="shared" si="2"/>
        <v>0</v>
      </c>
      <c r="M6" s="414">
        <f>E6-D6</f>
        <v>-995</v>
      </c>
      <c r="N6" s="415">
        <f>IF(D6=0,0,M6/D6)</f>
        <v>-2.2503675223340496E-2</v>
      </c>
      <c r="O6" s="416" t="s">
        <v>283</v>
      </c>
      <c r="P6" s="416"/>
      <c r="Q6" s="416"/>
      <c r="R6" s="416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>
        <f>SUM(AD7,AD12,AD15,AD39,AD43,AD68)</f>
        <v>43220000</v>
      </c>
      <c r="AE6" s="418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1">
        <v>26526</v>
      </c>
      <c r="E7" s="114">
        <f>SUM(F7:L7)</f>
        <v>26031</v>
      </c>
      <c r="F7" s="114">
        <f>SUMIF($AB$8:$AB$11,"보조",$AD$8:$AD$11)/1000</f>
        <v>26031</v>
      </c>
      <c r="G7" s="114">
        <f>SUMIF($AB$8:$AB$11,"7종",$AD$8:$AD$11)/1000</f>
        <v>0</v>
      </c>
      <c r="H7" s="114">
        <f>SUMIF($AB$8:$AB$11,"시비",$AD$8:$AD$11)/1000</f>
        <v>0</v>
      </c>
      <c r="I7" s="114">
        <f>SUMIF($AB$8:$AB$11,"후원",$AD$8:$AD$11)/1000</f>
        <v>0</v>
      </c>
      <c r="J7" s="114">
        <f>SUMIF($AB$8:$AB$11,"입소",$AD$8:$AD$11)/1000</f>
        <v>0</v>
      </c>
      <c r="K7" s="114">
        <f>SUMIF($AB$8:$AB$11,"법인",$AD$8:$AD$11)/1000</f>
        <v>0</v>
      </c>
      <c r="L7" s="114">
        <f>SUMIF($AB$8:$AB$11,"잡수",$AD$8:$AD$11)/1000</f>
        <v>0</v>
      </c>
      <c r="M7" s="113">
        <f>E7-D7</f>
        <v>-495</v>
      </c>
      <c r="N7" s="294">
        <f>IF(D7=0,0,M7/D7)</f>
        <v>-1.8660936439719521E-2</v>
      </c>
      <c r="O7" s="116" t="s">
        <v>76</v>
      </c>
      <c r="P7" s="116"/>
      <c r="Q7" s="158"/>
      <c r="R7" s="158"/>
      <c r="S7" s="158"/>
      <c r="T7" s="157"/>
      <c r="U7" s="157"/>
      <c r="V7" s="157"/>
      <c r="W7" s="99" t="s">
        <v>129</v>
      </c>
      <c r="X7" s="99"/>
      <c r="Y7" s="99"/>
      <c r="Z7" s="99"/>
      <c r="AA7" s="99"/>
      <c r="AB7" s="99"/>
      <c r="AC7" s="118"/>
      <c r="AD7" s="118">
        <f>SUM(AD8:AD10)</f>
        <v>26031000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59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382" t="s">
        <v>432</v>
      </c>
      <c r="P8" s="32"/>
      <c r="Q8" s="32"/>
      <c r="R8" s="382" t="s">
        <v>433</v>
      </c>
      <c r="S8" s="481">
        <v>2128000</v>
      </c>
      <c r="T8" s="288" t="s">
        <v>57</v>
      </c>
      <c r="U8" s="290" t="s">
        <v>58</v>
      </c>
      <c r="V8" s="288">
        <v>2</v>
      </c>
      <c r="W8" s="288" t="s">
        <v>0</v>
      </c>
      <c r="X8" s="288"/>
      <c r="Y8" s="381"/>
      <c r="Z8" s="381" t="s">
        <v>347</v>
      </c>
      <c r="AA8" s="381"/>
      <c r="AB8" s="381" t="s">
        <v>348</v>
      </c>
      <c r="AC8" s="68"/>
      <c r="AD8" s="68">
        <f>S8*V8</f>
        <v>4256000</v>
      </c>
      <c r="AE8" s="57" t="s">
        <v>345</v>
      </c>
      <c r="AF8" s="2"/>
    </row>
    <row r="9" spans="1:32" s="11" customFormat="1" ht="21" customHeight="1">
      <c r="A9" s="45"/>
      <c r="B9" s="46"/>
      <c r="C9" s="46"/>
      <c r="D9" s="159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382"/>
      <c r="P9" s="186"/>
      <c r="Q9" s="186"/>
      <c r="R9" s="382" t="s">
        <v>532</v>
      </c>
      <c r="S9" s="481">
        <v>2227000</v>
      </c>
      <c r="T9" s="288" t="s">
        <v>57</v>
      </c>
      <c r="U9" s="290" t="s">
        <v>58</v>
      </c>
      <c r="V9" s="288">
        <v>5</v>
      </c>
      <c r="W9" s="288" t="s">
        <v>0</v>
      </c>
      <c r="X9" s="288"/>
      <c r="Y9" s="288"/>
      <c r="Z9" s="288" t="s">
        <v>53</v>
      </c>
      <c r="AA9" s="288"/>
      <c r="AB9" s="288" t="s">
        <v>84</v>
      </c>
      <c r="AC9" s="291"/>
      <c r="AD9" s="291">
        <f>S9*V9</f>
        <v>11135000</v>
      </c>
      <c r="AE9" s="389" t="s">
        <v>57</v>
      </c>
      <c r="AF9" s="2"/>
    </row>
    <row r="10" spans="1:32" s="11" customFormat="1" ht="21" customHeight="1">
      <c r="A10" s="45"/>
      <c r="B10" s="46"/>
      <c r="C10" s="46"/>
      <c r="D10" s="159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382" t="s">
        <v>630</v>
      </c>
      <c r="P10" s="290"/>
      <c r="Q10" s="290"/>
      <c r="R10" s="382" t="s">
        <v>631</v>
      </c>
      <c r="S10" s="481">
        <v>2128000</v>
      </c>
      <c r="T10" s="288" t="s">
        <v>345</v>
      </c>
      <c r="U10" s="290" t="s">
        <v>58</v>
      </c>
      <c r="V10" s="288">
        <v>5</v>
      </c>
      <c r="W10" s="288" t="s">
        <v>346</v>
      </c>
      <c r="X10" s="288"/>
      <c r="Y10" s="288"/>
      <c r="Z10" s="288" t="s">
        <v>347</v>
      </c>
      <c r="AA10" s="288"/>
      <c r="AB10" s="288" t="s">
        <v>348</v>
      </c>
      <c r="AC10" s="291"/>
      <c r="AD10" s="291">
        <f>S10*V10</f>
        <v>10640000</v>
      </c>
      <c r="AE10" s="389" t="s">
        <v>345</v>
      </c>
      <c r="AF10" s="2"/>
    </row>
    <row r="11" spans="1:32" s="11" customFormat="1" ht="21" customHeight="1">
      <c r="A11" s="45"/>
      <c r="B11" s="46"/>
      <c r="C11" s="46"/>
      <c r="D11" s="159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50"/>
      <c r="P11" s="50"/>
      <c r="Q11" s="50"/>
      <c r="R11" s="50"/>
      <c r="S11" s="50"/>
      <c r="T11" s="51"/>
      <c r="U11" s="51"/>
      <c r="V11" s="153"/>
      <c r="W11" s="153"/>
      <c r="X11" s="153"/>
      <c r="Y11" s="153"/>
      <c r="Z11" s="153"/>
      <c r="AA11" s="153"/>
      <c r="AB11" s="153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75</v>
      </c>
      <c r="D12" s="161">
        <v>1600</v>
      </c>
      <c r="E12" s="114">
        <f>SUM(F12:L12)</f>
        <v>160</v>
      </c>
      <c r="F12" s="114">
        <f>SUMIF($AB$13:$AB$14,"보조",$AD$13:$AD$14)/1000</f>
        <v>0</v>
      </c>
      <c r="G12" s="114">
        <f>SUMIF($AB$13:$AB$14,"7종",$AD$13:$AD$14)/1000</f>
        <v>0</v>
      </c>
      <c r="H12" s="114">
        <f>SUMIF($AB$13:$AB$14,"시비",$AD$13:$AD$14)/1000</f>
        <v>160</v>
      </c>
      <c r="I12" s="114">
        <f>SUMIF($AB$13:$AB$14,"후원",$AD$13:$AD$14)/1000</f>
        <v>0</v>
      </c>
      <c r="J12" s="114">
        <f>SUMIF($AB$13:$AB$14,"입소",$AD$13:$AD$14)/1000</f>
        <v>0</v>
      </c>
      <c r="K12" s="114">
        <f>SUMIF($AB$13:$AB$14,"법인",$AD$13:$AD$14)/1000</f>
        <v>0</v>
      </c>
      <c r="L12" s="114">
        <f>SUMIF($AB$13:$AB$14,"잡수",$AD$13:$AD$14)/1000</f>
        <v>0</v>
      </c>
      <c r="M12" s="123">
        <f>E12-D12</f>
        <v>-1440</v>
      </c>
      <c r="N12" s="121">
        <f>IF(D12=0,0,M12/D12)</f>
        <v>-0.9</v>
      </c>
      <c r="O12" s="97" t="s">
        <v>78</v>
      </c>
      <c r="P12" s="176"/>
      <c r="Q12" s="93"/>
      <c r="R12" s="93"/>
      <c r="S12" s="93"/>
      <c r="T12" s="89"/>
      <c r="U12" s="89"/>
      <c r="V12" s="157"/>
      <c r="W12" s="99" t="s">
        <v>129</v>
      </c>
      <c r="X12" s="99"/>
      <c r="Y12" s="99"/>
      <c r="Z12" s="99"/>
      <c r="AA12" s="99"/>
      <c r="AB12" s="99"/>
      <c r="AC12" s="118"/>
      <c r="AD12" s="118">
        <f>SUM(AD13)</f>
        <v>160000</v>
      </c>
      <c r="AE12" s="119" t="s">
        <v>57</v>
      </c>
      <c r="AF12" s="1"/>
    </row>
    <row r="13" spans="1:32" s="11" customFormat="1" ht="21" customHeight="1">
      <c r="A13" s="45"/>
      <c r="B13" s="46"/>
      <c r="C13" s="46"/>
      <c r="D13" s="159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66" t="s">
        <v>350</v>
      </c>
      <c r="P13" s="81"/>
      <c r="Q13" s="50"/>
      <c r="R13" s="50"/>
      <c r="S13" s="125">
        <v>80000</v>
      </c>
      <c r="T13" s="125" t="s">
        <v>57</v>
      </c>
      <c r="U13" s="126" t="s">
        <v>58</v>
      </c>
      <c r="V13" s="125">
        <v>1</v>
      </c>
      <c r="W13" s="125" t="s">
        <v>56</v>
      </c>
      <c r="X13" s="126" t="s">
        <v>58</v>
      </c>
      <c r="Y13" s="384">
        <v>2</v>
      </c>
      <c r="Z13" s="91" t="s">
        <v>98</v>
      </c>
      <c r="AA13" s="91" t="s">
        <v>53</v>
      </c>
      <c r="AB13" s="381" t="s">
        <v>636</v>
      </c>
      <c r="AC13" s="68"/>
      <c r="AD13" s="135">
        <f>S13*V13*Y13</f>
        <v>160000</v>
      </c>
      <c r="AE13" s="57" t="s">
        <v>77</v>
      </c>
      <c r="AF13" s="1"/>
    </row>
    <row r="14" spans="1:32" s="11" customFormat="1" ht="21" customHeight="1">
      <c r="A14" s="45"/>
      <c r="B14" s="46"/>
      <c r="C14" s="46"/>
      <c r="D14" s="159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2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61">
        <v>9172</v>
      </c>
      <c r="E15" s="114">
        <f>SUM(F15:L15)</f>
        <v>10229</v>
      </c>
      <c r="F15" s="114">
        <f>SUMIF($AB$17:$AB$38,"보조",$AD$17:$AD$38)/1000</f>
        <v>8089</v>
      </c>
      <c r="G15" s="114">
        <f>SUMIF($AB$17:$AB$38,"7종",$AD$17:$AD$38)/1000</f>
        <v>1800</v>
      </c>
      <c r="H15" s="114">
        <f>SUMIF($AB$17:$AB$38,"시비",$AD$17:$AD$38)/1000</f>
        <v>0</v>
      </c>
      <c r="I15" s="114">
        <f>SUMIF($AB$17:$AB$38,"후원",$AD$17:$AD$38)/1000</f>
        <v>340</v>
      </c>
      <c r="J15" s="114">
        <f>SUMIF($AB$17:$AB$38,"입소",$AD$17:$AD$38)/1000</f>
        <v>0</v>
      </c>
      <c r="K15" s="114">
        <f>SUMIF($AB$17:$AB$38,"법인",$AD$17:$AD$38)/1000</f>
        <v>0</v>
      </c>
      <c r="L15" s="114">
        <f>SUMIF($AB$17:$AB$38,"잡수",$AD$17:$AD$38)/1000</f>
        <v>0</v>
      </c>
      <c r="M15" s="123">
        <f>E15-D15</f>
        <v>1057</v>
      </c>
      <c r="N15" s="121">
        <f>IF(D15=0,0,M15/D15)</f>
        <v>0.11524204099433057</v>
      </c>
      <c r="O15" s="97" t="s">
        <v>34</v>
      </c>
      <c r="P15" s="176"/>
      <c r="Q15" s="93"/>
      <c r="R15" s="93"/>
      <c r="S15" s="93"/>
      <c r="T15" s="89"/>
      <c r="U15" s="89"/>
      <c r="V15" s="89"/>
      <c r="W15" s="177" t="s">
        <v>129</v>
      </c>
      <c r="X15" s="177"/>
      <c r="Y15" s="177"/>
      <c r="Z15" s="177"/>
      <c r="AA15" s="177"/>
      <c r="AB15" s="177"/>
      <c r="AC15" s="179"/>
      <c r="AD15" s="179">
        <f>SUM(명절휴가비,가족수당,연장근로수당,AD29,AD33,AD36)</f>
        <v>10229000</v>
      </c>
      <c r="AE15" s="178" t="s">
        <v>57</v>
      </c>
      <c r="AF15" s="1"/>
    </row>
    <row r="16" spans="1:32" s="11" customFormat="1" ht="21" customHeight="1">
      <c r="A16" s="45"/>
      <c r="B16" s="46"/>
      <c r="C16" s="46"/>
      <c r="D16" s="159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468" t="s">
        <v>294</v>
      </c>
      <c r="P16" s="290"/>
      <c r="Q16" s="290"/>
      <c r="R16" s="290"/>
      <c r="S16" s="290"/>
      <c r="T16" s="288"/>
      <c r="U16" s="288"/>
      <c r="V16" s="288"/>
      <c r="W16" s="440" t="s">
        <v>293</v>
      </c>
      <c r="X16" s="440"/>
      <c r="Y16" s="440"/>
      <c r="Z16" s="440"/>
      <c r="AA16" s="440"/>
      <c r="AB16" s="440"/>
      <c r="AC16" s="441" t="s">
        <v>295</v>
      </c>
      <c r="AD16" s="441">
        <f>ROUND(SUM(AD17:AD19),-3)</f>
        <v>2554000</v>
      </c>
      <c r="AE16" s="442" t="s">
        <v>287</v>
      </c>
      <c r="AF16" s="17"/>
    </row>
    <row r="17" spans="1:32" s="11" customFormat="1" ht="21" customHeight="1">
      <c r="A17" s="45"/>
      <c r="B17" s="46"/>
      <c r="C17" s="46"/>
      <c r="D17" s="159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0" t="s">
        <v>634</v>
      </c>
      <c r="P17" s="290"/>
      <c r="Q17" s="290"/>
      <c r="R17" s="382" t="s">
        <v>433</v>
      </c>
      <c r="S17" s="481">
        <v>2128000</v>
      </c>
      <c r="T17" s="288" t="s">
        <v>345</v>
      </c>
      <c r="U17" s="382" t="s">
        <v>58</v>
      </c>
      <c r="V17" s="570">
        <v>0.6</v>
      </c>
      <c r="W17" s="382"/>
      <c r="X17" s="288"/>
      <c r="Y17" s="288"/>
      <c r="Z17" s="288" t="s">
        <v>347</v>
      </c>
      <c r="AA17" s="288"/>
      <c r="AB17" s="288" t="s">
        <v>348</v>
      </c>
      <c r="AC17" s="291"/>
      <c r="AD17" s="291">
        <f>ROUND(S17*V17,-3)</f>
        <v>1277000</v>
      </c>
      <c r="AE17" s="389" t="s">
        <v>287</v>
      </c>
      <c r="AF17" s="17"/>
    </row>
    <row r="18" spans="1:32" s="11" customFormat="1" ht="21" customHeight="1">
      <c r="A18" s="45"/>
      <c r="B18" s="46"/>
      <c r="C18" s="46"/>
      <c r="D18" s="159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0"/>
      <c r="P18" s="290"/>
      <c r="Q18" s="290"/>
      <c r="R18" s="382" t="s">
        <v>532</v>
      </c>
      <c r="S18" s="481">
        <v>2128000</v>
      </c>
      <c r="T18" s="288" t="s">
        <v>345</v>
      </c>
      <c r="U18" s="382" t="s">
        <v>58</v>
      </c>
      <c r="V18" s="570">
        <v>0.6</v>
      </c>
      <c r="W18" s="288"/>
      <c r="X18" s="288"/>
      <c r="Y18" s="288"/>
      <c r="Z18" s="288" t="s">
        <v>347</v>
      </c>
      <c r="AA18" s="288"/>
      <c r="AB18" s="288" t="s">
        <v>348</v>
      </c>
      <c r="AC18" s="291"/>
      <c r="AD18" s="291">
        <f>ROUND(S18*V18,-3)</f>
        <v>1277000</v>
      </c>
      <c r="AE18" s="389" t="s">
        <v>57</v>
      </c>
      <c r="AF18" s="17"/>
    </row>
    <row r="19" spans="1:32" s="11" customFormat="1" ht="21" customHeight="1">
      <c r="A19" s="45"/>
      <c r="B19" s="46"/>
      <c r="C19" s="46"/>
      <c r="D19" s="159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290"/>
      <c r="P19" s="290"/>
      <c r="Q19" s="290"/>
      <c r="R19" s="290"/>
      <c r="S19" s="290"/>
      <c r="T19" s="288"/>
      <c r="U19" s="288"/>
      <c r="V19" s="288"/>
      <c r="W19" s="288"/>
      <c r="X19" s="288"/>
      <c r="Y19" s="288"/>
      <c r="Z19" s="288"/>
      <c r="AA19" s="288"/>
      <c r="AB19" s="288"/>
      <c r="AC19" s="291"/>
      <c r="AD19" s="291"/>
      <c r="AE19" s="389"/>
      <c r="AF19" s="17"/>
    </row>
    <row r="20" spans="1:32" s="11" customFormat="1" ht="21" customHeight="1">
      <c r="A20" s="45"/>
      <c r="B20" s="46"/>
      <c r="C20" s="46"/>
      <c r="D20" s="159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468" t="s">
        <v>296</v>
      </c>
      <c r="P20" s="290"/>
      <c r="Q20" s="290"/>
      <c r="R20" s="290"/>
      <c r="S20" s="290"/>
      <c r="T20" s="288"/>
      <c r="U20" s="288"/>
      <c r="V20" s="288"/>
      <c r="W20" s="440" t="s">
        <v>293</v>
      </c>
      <c r="X20" s="440"/>
      <c r="Y20" s="440"/>
      <c r="Z20" s="440"/>
      <c r="AA20" s="440"/>
      <c r="AB20" s="440"/>
      <c r="AC20" s="441" t="s">
        <v>295</v>
      </c>
      <c r="AD20" s="441">
        <f>SUM(AD21:AD22)</f>
        <v>0</v>
      </c>
      <c r="AE20" s="442" t="s">
        <v>287</v>
      </c>
      <c r="AF20" s="17"/>
    </row>
    <row r="21" spans="1:32" s="11" customFormat="1" ht="21" customHeight="1">
      <c r="A21" s="45"/>
      <c r="B21" s="46"/>
      <c r="C21" s="46"/>
      <c r="D21" s="159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0" t="s">
        <v>434</v>
      </c>
      <c r="P21" s="290"/>
      <c r="Q21" s="290"/>
      <c r="R21" s="290"/>
      <c r="S21" s="569">
        <v>0</v>
      </c>
      <c r="T21" s="288" t="s">
        <v>345</v>
      </c>
      <c r="U21" s="382" t="s">
        <v>58</v>
      </c>
      <c r="V21" s="381">
        <v>6</v>
      </c>
      <c r="W21" s="381" t="s">
        <v>346</v>
      </c>
      <c r="X21" s="288"/>
      <c r="Y21" s="288"/>
      <c r="Z21" s="288" t="s">
        <v>347</v>
      </c>
      <c r="AA21" s="288"/>
      <c r="AB21" s="288" t="s">
        <v>348</v>
      </c>
      <c r="AC21" s="291"/>
      <c r="AD21" s="291">
        <f t="shared" ref="AD21" si="3">S21*V21</f>
        <v>0</v>
      </c>
      <c r="AE21" s="389" t="s">
        <v>57</v>
      </c>
      <c r="AF21" s="17"/>
    </row>
    <row r="22" spans="1:32" s="11" customFormat="1" ht="21" customHeight="1">
      <c r="A22" s="45"/>
      <c r="B22" s="46"/>
      <c r="C22" s="46"/>
      <c r="D22" s="159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0"/>
      <c r="P22" s="290"/>
      <c r="Q22" s="290"/>
      <c r="R22" s="290"/>
      <c r="S22" s="569">
        <v>0</v>
      </c>
      <c r="T22" s="288" t="s">
        <v>345</v>
      </c>
      <c r="U22" s="382" t="s">
        <v>58</v>
      </c>
      <c r="V22" s="381">
        <v>6</v>
      </c>
      <c r="W22" s="381" t="s">
        <v>346</v>
      </c>
      <c r="X22" s="288"/>
      <c r="Y22" s="288"/>
      <c r="Z22" s="288" t="s">
        <v>347</v>
      </c>
      <c r="AA22" s="288"/>
      <c r="AB22" s="288" t="s">
        <v>348</v>
      </c>
      <c r="AC22" s="291"/>
      <c r="AD22" s="291">
        <f t="shared" ref="AD22" si="4">S22*V22</f>
        <v>0</v>
      </c>
      <c r="AE22" s="389" t="s">
        <v>57</v>
      </c>
      <c r="AF22" s="17"/>
    </row>
    <row r="23" spans="1:32" s="11" customFormat="1" ht="21" customHeight="1">
      <c r="A23" s="45"/>
      <c r="B23" s="46"/>
      <c r="C23" s="46"/>
      <c r="D23" s="159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0"/>
      <c r="P23" s="290"/>
      <c r="Q23" s="290"/>
      <c r="R23" s="290"/>
      <c r="S23" s="290"/>
      <c r="T23" s="288"/>
      <c r="U23" s="288"/>
      <c r="V23" s="288"/>
      <c r="W23" s="288"/>
      <c r="X23" s="288"/>
      <c r="Y23" s="288"/>
      <c r="Z23" s="288"/>
      <c r="AA23" s="288"/>
      <c r="AB23" s="288"/>
      <c r="AC23" s="291"/>
      <c r="AD23" s="291"/>
      <c r="AE23" s="389"/>
      <c r="AF23" s="17"/>
    </row>
    <row r="24" spans="1:32" s="11" customFormat="1" ht="21" customHeight="1">
      <c r="A24" s="45"/>
      <c r="B24" s="46"/>
      <c r="C24" s="46"/>
      <c r="D24" s="159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468" t="s">
        <v>297</v>
      </c>
      <c r="P24" s="290"/>
      <c r="Q24" s="290"/>
      <c r="R24" s="290"/>
      <c r="S24" s="290"/>
      <c r="T24" s="288"/>
      <c r="U24" s="288"/>
      <c r="V24" s="288"/>
      <c r="W24" s="440" t="s">
        <v>293</v>
      </c>
      <c r="X24" s="440"/>
      <c r="Y24" s="440"/>
      <c r="Z24" s="440"/>
      <c r="AA24" s="440"/>
      <c r="AB24" s="440"/>
      <c r="AC24" s="441" t="s">
        <v>295</v>
      </c>
      <c r="AD24" s="441">
        <f>ROUND(SUM(AD25:AD27),-3)</f>
        <v>4675000</v>
      </c>
      <c r="AE24" s="442" t="s">
        <v>287</v>
      </c>
      <c r="AF24" s="17"/>
    </row>
    <row r="25" spans="1:32" s="11" customFormat="1" ht="21" customHeight="1">
      <c r="A25" s="45"/>
      <c r="B25" s="46"/>
      <c r="C25" s="46"/>
      <c r="D25" s="159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0" t="s">
        <v>634</v>
      </c>
      <c r="P25" s="290"/>
      <c r="Q25" s="290"/>
      <c r="R25" s="382" t="s">
        <v>433</v>
      </c>
      <c r="S25" s="481">
        <v>2128000</v>
      </c>
      <c r="T25" s="288" t="s">
        <v>345</v>
      </c>
      <c r="U25" s="420" t="s">
        <v>69</v>
      </c>
      <c r="V25" s="571">
        <v>209</v>
      </c>
      <c r="W25" s="572">
        <v>1.5</v>
      </c>
      <c r="X25" s="290" t="s">
        <v>58</v>
      </c>
      <c r="Y25" s="574">
        <v>25</v>
      </c>
      <c r="Z25" s="573">
        <v>7</v>
      </c>
      <c r="AA25" s="288" t="s">
        <v>347</v>
      </c>
      <c r="AB25" s="288" t="s">
        <v>348</v>
      </c>
      <c r="AC25" s="291"/>
      <c r="AD25" s="291">
        <f>ROUND(ROUNDDOWN(S25/V25*W25*Y25,-1)*Z25,-3)</f>
        <v>2673000</v>
      </c>
      <c r="AE25" s="389" t="s">
        <v>287</v>
      </c>
      <c r="AF25" s="17"/>
    </row>
    <row r="26" spans="1:32" s="11" customFormat="1" ht="21" customHeight="1">
      <c r="A26" s="45"/>
      <c r="B26" s="46"/>
      <c r="C26" s="46"/>
      <c r="D26" s="159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0"/>
      <c r="P26" s="290"/>
      <c r="Q26" s="290"/>
      <c r="R26" s="382" t="s">
        <v>532</v>
      </c>
      <c r="S26" s="481">
        <v>2227000</v>
      </c>
      <c r="T26" s="288" t="s">
        <v>345</v>
      </c>
      <c r="U26" s="420" t="s">
        <v>69</v>
      </c>
      <c r="V26" s="571">
        <v>209</v>
      </c>
      <c r="W26" s="572">
        <v>1.5</v>
      </c>
      <c r="X26" s="290" t="s">
        <v>58</v>
      </c>
      <c r="Y26" s="574">
        <v>25</v>
      </c>
      <c r="Z26" s="573">
        <v>4</v>
      </c>
      <c r="AA26" s="288" t="s">
        <v>347</v>
      </c>
      <c r="AB26" s="288" t="s">
        <v>348</v>
      </c>
      <c r="AC26" s="291"/>
      <c r="AD26" s="291">
        <f>ROUNDUP(ROUNDDOWN(S26/V26*W26*Y26,-1)*Z26+63620,-3)</f>
        <v>1662000</v>
      </c>
      <c r="AE26" s="389" t="s">
        <v>325</v>
      </c>
      <c r="AF26" s="17"/>
    </row>
    <row r="27" spans="1:32" s="11" customFormat="1" ht="21" customHeight="1">
      <c r="A27" s="45"/>
      <c r="B27" s="46"/>
      <c r="C27" s="46"/>
      <c r="D27" s="159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0"/>
      <c r="P27" s="290"/>
      <c r="Q27" s="290"/>
      <c r="R27" s="382" t="s">
        <v>532</v>
      </c>
      <c r="S27" s="481">
        <v>2227000</v>
      </c>
      <c r="T27" s="288" t="s">
        <v>345</v>
      </c>
      <c r="U27" s="420" t="s">
        <v>69</v>
      </c>
      <c r="V27" s="571">
        <v>209</v>
      </c>
      <c r="W27" s="572">
        <v>1.5</v>
      </c>
      <c r="X27" s="290" t="s">
        <v>58</v>
      </c>
      <c r="Y27" s="574">
        <v>25</v>
      </c>
      <c r="Z27" s="573">
        <v>1</v>
      </c>
      <c r="AA27" s="288" t="s">
        <v>347</v>
      </c>
      <c r="AB27" s="288" t="s">
        <v>554</v>
      </c>
      <c r="AC27" s="291"/>
      <c r="AD27" s="291">
        <f>ROUNDDOWN(ROUNDDOWN(S27/V27*W27*Y27,-1)*Z27,-3)-59000</f>
        <v>340000</v>
      </c>
      <c r="AE27" s="389" t="s">
        <v>65</v>
      </c>
      <c r="AF27" s="17"/>
    </row>
    <row r="28" spans="1:32" s="11" customFormat="1" ht="21" customHeight="1">
      <c r="A28" s="45"/>
      <c r="B28" s="46"/>
      <c r="C28" s="46"/>
      <c r="D28" s="159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0"/>
      <c r="P28" s="290"/>
      <c r="Q28" s="290"/>
      <c r="R28" s="290"/>
      <c r="S28" s="290"/>
      <c r="T28" s="288"/>
      <c r="U28" s="288"/>
      <c r="V28" s="288"/>
      <c r="W28" s="288"/>
      <c r="X28" s="288"/>
      <c r="Y28" s="288"/>
      <c r="Z28" s="288"/>
      <c r="AA28" s="288"/>
      <c r="AB28" s="288"/>
      <c r="AC28" s="291"/>
      <c r="AD28" s="291"/>
      <c r="AE28" s="389"/>
      <c r="AF28" s="17"/>
    </row>
    <row r="29" spans="1:32" s="11" customFormat="1" ht="21" customHeight="1">
      <c r="A29" s="45"/>
      <c r="B29" s="46"/>
      <c r="C29" s="46"/>
      <c r="D29" s="159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468" t="s">
        <v>632</v>
      </c>
      <c r="P29" s="290"/>
      <c r="Q29" s="290"/>
      <c r="R29" s="290"/>
      <c r="S29" s="290"/>
      <c r="T29" s="288"/>
      <c r="U29" s="288"/>
      <c r="V29" s="288"/>
      <c r="W29" s="440" t="s">
        <v>254</v>
      </c>
      <c r="X29" s="440"/>
      <c r="Y29" s="440"/>
      <c r="Z29" s="440"/>
      <c r="AA29" s="440"/>
      <c r="AB29" s="440"/>
      <c r="AC29" s="441" t="s">
        <v>255</v>
      </c>
      <c r="AD29" s="441">
        <f>SUM(AD30:AD30)</f>
        <v>1800000</v>
      </c>
      <c r="AE29" s="442" t="s">
        <v>57</v>
      </c>
      <c r="AF29" s="17"/>
    </row>
    <row r="30" spans="1:32" s="11" customFormat="1" ht="21" customHeight="1">
      <c r="A30" s="45"/>
      <c r="B30" s="46"/>
      <c r="C30" s="46"/>
      <c r="D30" s="159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0" t="s">
        <v>634</v>
      </c>
      <c r="P30" s="290"/>
      <c r="Q30" s="290"/>
      <c r="R30" s="290"/>
      <c r="S30" s="569">
        <v>200000</v>
      </c>
      <c r="T30" s="288" t="s">
        <v>57</v>
      </c>
      <c r="U30" s="382" t="s">
        <v>58</v>
      </c>
      <c r="V30" s="381">
        <v>9</v>
      </c>
      <c r="W30" s="381" t="s">
        <v>0</v>
      </c>
      <c r="X30" s="288"/>
      <c r="Y30" s="288"/>
      <c r="Z30" s="288" t="s">
        <v>53</v>
      </c>
      <c r="AA30" s="288"/>
      <c r="AB30" s="288" t="s">
        <v>637</v>
      </c>
      <c r="AC30" s="291"/>
      <c r="AD30" s="291">
        <f t="shared" ref="AD30" si="5">S30*V30</f>
        <v>1800000</v>
      </c>
      <c r="AE30" s="389" t="s">
        <v>57</v>
      </c>
      <c r="AF30" s="17"/>
    </row>
    <row r="31" spans="1:32" s="11" customFormat="1" ht="21" customHeight="1">
      <c r="A31" s="45"/>
      <c r="B31" s="46"/>
      <c r="C31" s="46"/>
      <c r="D31" s="159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0"/>
      <c r="P31" s="290"/>
      <c r="Q31" s="290"/>
      <c r="R31" s="290"/>
      <c r="S31" s="290"/>
      <c r="T31" s="288"/>
      <c r="U31" s="288"/>
      <c r="V31" s="288"/>
      <c r="W31" s="288"/>
      <c r="X31" s="288"/>
      <c r="Y31" s="288"/>
      <c r="Z31" s="288"/>
      <c r="AA31" s="288"/>
      <c r="AB31" s="288"/>
      <c r="AC31" s="291"/>
      <c r="AD31" s="291"/>
      <c r="AE31" s="389"/>
      <c r="AF31" s="17"/>
    </row>
    <row r="32" spans="1:32" s="11" customFormat="1" ht="21" customHeight="1">
      <c r="A32" s="45"/>
      <c r="B32" s="46"/>
      <c r="C32" s="46"/>
      <c r="D32" s="159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0"/>
      <c r="P32" s="290"/>
      <c r="Q32" s="290"/>
      <c r="R32" s="290"/>
      <c r="S32" s="290"/>
      <c r="T32" s="288"/>
      <c r="U32" s="288"/>
      <c r="V32" s="288"/>
      <c r="W32" s="288"/>
      <c r="X32" s="288"/>
      <c r="Y32" s="288"/>
      <c r="Z32" s="288"/>
      <c r="AA32" s="288"/>
      <c r="AB32" s="288"/>
      <c r="AC32" s="291"/>
      <c r="AD32" s="291"/>
      <c r="AE32" s="389"/>
      <c r="AF32" s="17"/>
    </row>
    <row r="33" spans="1:32" s="11" customFormat="1" ht="21" customHeight="1">
      <c r="A33" s="45"/>
      <c r="B33" s="46"/>
      <c r="C33" s="46"/>
      <c r="D33" s="159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468" t="s">
        <v>638</v>
      </c>
      <c r="P33" s="290"/>
      <c r="Q33" s="290"/>
      <c r="R33" s="290"/>
      <c r="S33" s="290"/>
      <c r="T33" s="288"/>
      <c r="U33" s="288"/>
      <c r="V33" s="288"/>
      <c r="W33" s="440" t="s">
        <v>293</v>
      </c>
      <c r="X33" s="440"/>
      <c r="Y33" s="440"/>
      <c r="Z33" s="440"/>
      <c r="AA33" s="440"/>
      <c r="AB33" s="440"/>
      <c r="AC33" s="441" t="s">
        <v>295</v>
      </c>
      <c r="AD33" s="441">
        <f>SUM(AD34:AD34)</f>
        <v>600000</v>
      </c>
      <c r="AE33" s="442" t="s">
        <v>287</v>
      </c>
      <c r="AF33" s="17"/>
    </row>
    <row r="34" spans="1:32" s="11" customFormat="1" ht="21" customHeight="1">
      <c r="A34" s="45"/>
      <c r="B34" s="46"/>
      <c r="C34" s="46"/>
      <c r="D34" s="159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90" t="s">
        <v>634</v>
      </c>
      <c r="P34" s="290"/>
      <c r="Q34" s="290"/>
      <c r="R34" s="290"/>
      <c r="S34" s="569">
        <v>100000</v>
      </c>
      <c r="T34" s="288" t="s">
        <v>345</v>
      </c>
      <c r="U34" s="382" t="s">
        <v>58</v>
      </c>
      <c r="V34" s="381">
        <v>6</v>
      </c>
      <c r="W34" s="381" t="s">
        <v>346</v>
      </c>
      <c r="X34" s="288"/>
      <c r="Y34" s="288"/>
      <c r="Z34" s="288" t="s">
        <v>347</v>
      </c>
      <c r="AA34" s="288"/>
      <c r="AB34" s="288" t="s">
        <v>348</v>
      </c>
      <c r="AC34" s="291"/>
      <c r="AD34" s="291">
        <f t="shared" ref="AD34" si="6">S34*V34</f>
        <v>600000</v>
      </c>
      <c r="AE34" s="389" t="s">
        <v>57</v>
      </c>
      <c r="AF34" s="17"/>
    </row>
    <row r="35" spans="1:32" s="11" customFormat="1" ht="21" customHeight="1">
      <c r="A35" s="45"/>
      <c r="B35" s="46"/>
      <c r="C35" s="46"/>
      <c r="D35" s="159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90"/>
      <c r="P35" s="290"/>
      <c r="Q35" s="290"/>
      <c r="R35" s="290"/>
      <c r="S35" s="569"/>
      <c r="T35" s="288"/>
      <c r="U35" s="382"/>
      <c r="V35" s="381"/>
      <c r="W35" s="381"/>
      <c r="X35" s="288"/>
      <c r="Y35" s="288"/>
      <c r="Z35" s="288"/>
      <c r="AA35" s="288"/>
      <c r="AB35" s="288"/>
      <c r="AC35" s="291"/>
      <c r="AD35" s="291"/>
      <c r="AE35" s="389"/>
      <c r="AF35" s="17"/>
    </row>
    <row r="36" spans="1:32" s="11" customFormat="1" ht="21" customHeight="1">
      <c r="A36" s="45"/>
      <c r="B36" s="46"/>
      <c r="C36" s="46"/>
      <c r="D36" s="159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68" t="s">
        <v>633</v>
      </c>
      <c r="P36" s="290"/>
      <c r="Q36" s="290"/>
      <c r="R36" s="290"/>
      <c r="S36" s="290"/>
      <c r="T36" s="288"/>
      <c r="U36" s="288"/>
      <c r="V36" s="288"/>
      <c r="W36" s="440" t="s">
        <v>555</v>
      </c>
      <c r="X36" s="440"/>
      <c r="Y36" s="440"/>
      <c r="Z36" s="440"/>
      <c r="AA36" s="440"/>
      <c r="AB36" s="440"/>
      <c r="AC36" s="441" t="s">
        <v>556</v>
      </c>
      <c r="AD36" s="441">
        <f>SUM(AD37:AD37)</f>
        <v>600000</v>
      </c>
      <c r="AE36" s="442" t="s">
        <v>550</v>
      </c>
      <c r="AF36" s="17"/>
    </row>
    <row r="37" spans="1:32" s="11" customFormat="1" ht="21" customHeight="1">
      <c r="A37" s="45"/>
      <c r="B37" s="46"/>
      <c r="C37" s="46"/>
      <c r="D37" s="159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290" t="s">
        <v>634</v>
      </c>
      <c r="P37" s="290"/>
      <c r="Q37" s="290"/>
      <c r="R37" s="290"/>
      <c r="S37" s="569">
        <v>50000</v>
      </c>
      <c r="T37" s="288" t="s">
        <v>550</v>
      </c>
      <c r="U37" s="382" t="s">
        <v>551</v>
      </c>
      <c r="V37" s="381">
        <v>12</v>
      </c>
      <c r="W37" s="381" t="s">
        <v>553</v>
      </c>
      <c r="X37" s="288"/>
      <c r="Y37" s="288"/>
      <c r="Z37" s="288" t="s">
        <v>557</v>
      </c>
      <c r="AA37" s="288"/>
      <c r="AB37" s="288" t="s">
        <v>558</v>
      </c>
      <c r="AC37" s="291"/>
      <c r="AD37" s="291">
        <f t="shared" ref="AD37" si="7">S37*V37</f>
        <v>600000</v>
      </c>
      <c r="AE37" s="389" t="s">
        <v>550</v>
      </c>
      <c r="AF37" s="17"/>
    </row>
    <row r="38" spans="1:32" s="11" customFormat="1" ht="21" customHeight="1">
      <c r="A38" s="45"/>
      <c r="B38" s="46"/>
      <c r="C38" s="46"/>
      <c r="D38" s="159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290"/>
      <c r="P38" s="290"/>
      <c r="Q38" s="290"/>
      <c r="R38" s="290"/>
      <c r="S38" s="288"/>
      <c r="T38" s="423"/>
      <c r="U38" s="474"/>
      <c r="V38" s="423"/>
      <c r="W38" s="475"/>
      <c r="X38" s="475"/>
      <c r="Y38" s="288"/>
      <c r="Z38" s="288"/>
      <c r="AA38" s="288"/>
      <c r="AB38" s="288"/>
      <c r="AC38" s="288"/>
      <c r="AD38" s="288"/>
      <c r="AE38" s="389"/>
      <c r="AF38" s="17"/>
    </row>
    <row r="39" spans="1:32" s="11" customFormat="1" ht="21" customHeight="1">
      <c r="A39" s="45"/>
      <c r="B39" s="46"/>
      <c r="C39" s="36" t="s">
        <v>9</v>
      </c>
      <c r="D39" s="161">
        <v>2976</v>
      </c>
      <c r="E39" s="114">
        <f>SUM(F39:L39)</f>
        <v>3034</v>
      </c>
      <c r="F39" s="114">
        <f>SUMIF($AB$40:$AB$42,"보조",$AD$40:$AD$42)/1000</f>
        <v>2955</v>
      </c>
      <c r="G39" s="114">
        <f>SUMIF($AB$40:$AB$42,"7종",$AD$40:$AD$42)/1000</f>
        <v>0</v>
      </c>
      <c r="H39" s="114">
        <f>SUMIF($AB$40:$AB$42,"시비",$AD$40:$AD$42)/1000</f>
        <v>0</v>
      </c>
      <c r="I39" s="114">
        <f>SUMIF($AB$40:$AB$42,"후원",$AD$40:$AD$42)/1000</f>
        <v>79</v>
      </c>
      <c r="J39" s="114">
        <f>SUMIF($AB$40:$AB$42,"입소",$AD$40:$AD$42)/1000</f>
        <v>0</v>
      </c>
      <c r="K39" s="114">
        <f>SUMIF($AB$40:$AB$42,"법인",$AD$40:$AD$42)/1000</f>
        <v>0</v>
      </c>
      <c r="L39" s="114">
        <f>SUMIF($AB$40:$AB$42,"잡수",$AD$40:$AD$42)/1000</f>
        <v>0</v>
      </c>
      <c r="M39" s="113">
        <f>E39-D39</f>
        <v>58</v>
      </c>
      <c r="N39" s="121">
        <f>IF(D39=0,0,M39/D39)</f>
        <v>1.9489247311827957E-2</v>
      </c>
      <c r="O39" s="97" t="s">
        <v>35</v>
      </c>
      <c r="P39" s="176"/>
      <c r="Q39" s="155"/>
      <c r="R39" s="93"/>
      <c r="S39" s="93"/>
      <c r="T39" s="89"/>
      <c r="U39" s="89"/>
      <c r="V39" s="89"/>
      <c r="W39" s="285" t="s">
        <v>254</v>
      </c>
      <c r="X39" s="285"/>
      <c r="Y39" s="285"/>
      <c r="Z39" s="285"/>
      <c r="AA39" s="285"/>
      <c r="AB39" s="285"/>
      <c r="AC39" s="179" t="s">
        <v>255</v>
      </c>
      <c r="AD39" s="179">
        <f>ROUND(SUM(AD40:AD41),-3)</f>
        <v>3034000</v>
      </c>
      <c r="AE39" s="178" t="s">
        <v>256</v>
      </c>
      <c r="AF39" s="2"/>
    </row>
    <row r="40" spans="1:32" s="11" customFormat="1" ht="21" customHeight="1">
      <c r="A40" s="45"/>
      <c r="B40" s="46"/>
      <c r="C40" s="46"/>
      <c r="D40" s="162"/>
      <c r="E40" s="109"/>
      <c r="F40" s="109"/>
      <c r="G40" s="109"/>
      <c r="H40" s="109"/>
      <c r="I40" s="109"/>
      <c r="J40" s="109"/>
      <c r="K40" s="109"/>
      <c r="L40" s="109"/>
      <c r="M40" s="115"/>
      <c r="N40" s="70"/>
      <c r="O40" s="290"/>
      <c r="P40" s="290"/>
      <c r="Q40" s="290"/>
      <c r="R40" s="290"/>
      <c r="S40" s="288">
        <f>SUM(AD7,AD15)-AD27</f>
        <v>35920000</v>
      </c>
      <c r="T40" s="420" t="s">
        <v>287</v>
      </c>
      <c r="U40" s="420" t="s">
        <v>298</v>
      </c>
      <c r="V40" s="476">
        <v>12</v>
      </c>
      <c r="W40" s="419" t="s">
        <v>288</v>
      </c>
      <c r="X40" s="288"/>
      <c r="Y40" s="288"/>
      <c r="Z40" s="288"/>
      <c r="AA40" s="288" t="s">
        <v>291</v>
      </c>
      <c r="AB40" s="288" t="s">
        <v>348</v>
      </c>
      <c r="AC40" s="291"/>
      <c r="AD40" s="291">
        <f>ROUNDUP(S40/V40,-3)-39000</f>
        <v>2955000</v>
      </c>
      <c r="AE40" s="389" t="s">
        <v>287</v>
      </c>
      <c r="AF40" s="2"/>
    </row>
    <row r="41" spans="1:32" s="11" customFormat="1" ht="21" customHeight="1">
      <c r="A41" s="45"/>
      <c r="B41" s="46"/>
      <c r="C41" s="46"/>
      <c r="D41" s="162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290"/>
      <c r="P41" s="290"/>
      <c r="Q41" s="290"/>
      <c r="R41" s="290"/>
      <c r="S41" s="288">
        <f>AD27+AD37</f>
        <v>940000</v>
      </c>
      <c r="T41" s="420" t="s">
        <v>65</v>
      </c>
      <c r="U41" s="420" t="s">
        <v>298</v>
      </c>
      <c r="V41" s="476">
        <v>12</v>
      </c>
      <c r="W41" s="419" t="s">
        <v>288</v>
      </c>
      <c r="X41" s="288"/>
      <c r="Y41" s="288"/>
      <c r="Z41" s="288"/>
      <c r="AA41" s="288" t="s">
        <v>291</v>
      </c>
      <c r="AB41" s="288" t="s">
        <v>554</v>
      </c>
      <c r="AC41" s="291"/>
      <c r="AD41" s="291">
        <f>ROUNDUP(S41/V41,-3)</f>
        <v>79000</v>
      </c>
      <c r="AE41" s="389" t="s">
        <v>65</v>
      </c>
      <c r="AF41" s="2"/>
    </row>
    <row r="42" spans="1:32" s="11" customFormat="1" ht="21" customHeight="1">
      <c r="A42" s="45"/>
      <c r="B42" s="46"/>
      <c r="C42" s="46"/>
      <c r="D42" s="163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32"/>
      <c r="P42" s="32"/>
      <c r="Q42" s="32"/>
      <c r="R42" s="32"/>
      <c r="S42" s="32"/>
      <c r="T42" s="33"/>
      <c r="U42" s="33"/>
      <c r="V42" s="33"/>
      <c r="W42" s="33"/>
      <c r="X42" s="33"/>
      <c r="Y42" s="33"/>
      <c r="Z42" s="33"/>
      <c r="AA42" s="33"/>
      <c r="AB42" s="33"/>
      <c r="AC42" s="52"/>
      <c r="AD42" s="52"/>
      <c r="AE42" s="34"/>
      <c r="AF42" s="2"/>
    </row>
    <row r="43" spans="1:32" s="11" customFormat="1" ht="21" customHeight="1">
      <c r="A43" s="45"/>
      <c r="B43" s="46"/>
      <c r="C43" s="122" t="s">
        <v>79</v>
      </c>
      <c r="D43" s="161">
        <v>3571</v>
      </c>
      <c r="E43" s="114">
        <f>SUM(F43:L43)</f>
        <v>3396</v>
      </c>
      <c r="F43" s="114">
        <f>SUMIF($AB$46:$AB$67,"보조",$AD$46:$AD$67)/1000</f>
        <v>3095</v>
      </c>
      <c r="G43" s="114">
        <f>SUMIF($AB$46:$AB$67,"7종",$AD$46:$AD$67)/1000</f>
        <v>0</v>
      </c>
      <c r="H43" s="114">
        <f>SUMIF($AB$46:$AB$67,"시비",$AD$46:$AD$67)/1000</f>
        <v>0</v>
      </c>
      <c r="I43" s="114">
        <f>SUMIF($AB$46:$AB$67,"후원",$AD$46:$AD$67)/1000</f>
        <v>301</v>
      </c>
      <c r="J43" s="114">
        <f>SUMIF($AB$46:$AB$67,"입소",$AD$46:$AD$67)/1000</f>
        <v>0</v>
      </c>
      <c r="K43" s="114">
        <f>SUMIF($AB$46:$AB$67,"법인",$AD$46:$AD$67)/1000</f>
        <v>0</v>
      </c>
      <c r="L43" s="114">
        <f>SUMIF($AB$46:$AB$67,"잡수",$AD$46:$AD$67)/1000</f>
        <v>0</v>
      </c>
      <c r="M43" s="123">
        <f>E43-D43</f>
        <v>-175</v>
      </c>
      <c r="N43" s="121">
        <f>IF(D43=0,0,M43/D43)</f>
        <v>-4.9005880705684679E-2</v>
      </c>
      <c r="O43" s="97" t="s">
        <v>36</v>
      </c>
      <c r="P43" s="176"/>
      <c r="Q43" s="93"/>
      <c r="R43" s="93"/>
      <c r="S43" s="93"/>
      <c r="T43" s="89"/>
      <c r="U43" s="89"/>
      <c r="V43" s="89"/>
      <c r="W43" s="177" t="s">
        <v>129</v>
      </c>
      <c r="X43" s="177"/>
      <c r="Y43" s="177"/>
      <c r="Z43" s="177"/>
      <c r="AA43" s="177"/>
      <c r="AB43" s="177"/>
      <c r="AC43" s="179"/>
      <c r="AD43" s="179">
        <f>SUM(AD45,AD49,AD53,AD57,AD61,AD65)</f>
        <v>3396000</v>
      </c>
      <c r="AE43" s="178" t="s">
        <v>25</v>
      </c>
    </row>
    <row r="44" spans="1:32" s="11" customFormat="1" ht="21" customHeight="1">
      <c r="A44" s="45"/>
      <c r="B44" s="46"/>
      <c r="C44" s="46" t="s">
        <v>130</v>
      </c>
      <c r="D44" s="159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158"/>
      <c r="P44" s="32"/>
      <c r="Q44" s="32"/>
      <c r="R44" s="32"/>
      <c r="S44" s="32"/>
      <c r="T44" s="33"/>
      <c r="U44" s="33"/>
      <c r="V44" s="33"/>
      <c r="W44" s="33"/>
      <c r="X44" s="33"/>
      <c r="Y44" s="33"/>
      <c r="Z44" s="33"/>
      <c r="AA44" s="33"/>
      <c r="AB44" s="33"/>
      <c r="AC44" s="52"/>
      <c r="AD44" s="52"/>
      <c r="AE44" s="34"/>
      <c r="AF44" s="2"/>
    </row>
    <row r="45" spans="1:32" s="11" customFormat="1" ht="21" customHeight="1">
      <c r="A45" s="45"/>
      <c r="B45" s="46"/>
      <c r="C45" s="46"/>
      <c r="D45" s="159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468" t="s">
        <v>302</v>
      </c>
      <c r="P45" s="290"/>
      <c r="Q45" s="290"/>
      <c r="R45" s="290"/>
      <c r="S45" s="290"/>
      <c r="T45" s="288"/>
      <c r="U45" s="288"/>
      <c r="V45" s="288"/>
      <c r="W45" s="440" t="s">
        <v>293</v>
      </c>
      <c r="X45" s="440"/>
      <c r="Y45" s="440"/>
      <c r="Z45" s="440"/>
      <c r="AA45" s="440"/>
      <c r="AB45" s="440"/>
      <c r="AC45" s="441"/>
      <c r="AD45" s="441">
        <f>ROUND(SUM(AD46:AD47),-3)</f>
        <v>1532000</v>
      </c>
      <c r="AE45" s="442" t="s">
        <v>287</v>
      </c>
      <c r="AF45" s="2"/>
    </row>
    <row r="46" spans="1:32" s="11" customFormat="1" ht="21" customHeight="1">
      <c r="A46" s="45"/>
      <c r="B46" s="46"/>
      <c r="C46" s="46"/>
      <c r="D46" s="159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0"/>
      <c r="P46" s="290"/>
      <c r="Q46" s="290"/>
      <c r="R46" s="290"/>
      <c r="S46" s="288">
        <f>S40</f>
        <v>35920000</v>
      </c>
      <c r="T46" s="420" t="s">
        <v>287</v>
      </c>
      <c r="U46" s="419" t="s">
        <v>290</v>
      </c>
      <c r="V46" s="477">
        <v>0.09</v>
      </c>
      <c r="W46" s="420" t="s">
        <v>298</v>
      </c>
      <c r="X46" s="478">
        <v>2</v>
      </c>
      <c r="Y46" s="422"/>
      <c r="Z46" s="422"/>
      <c r="AA46" s="420" t="s">
        <v>291</v>
      </c>
      <c r="AB46" s="288" t="s">
        <v>348</v>
      </c>
      <c r="AC46" s="291"/>
      <c r="AD46" s="291">
        <f>ROUND(S46*V46/X46,-3)-249000</f>
        <v>1367000</v>
      </c>
      <c r="AE46" s="389" t="s">
        <v>287</v>
      </c>
      <c r="AF46" s="2"/>
    </row>
    <row r="47" spans="1:32" s="11" customFormat="1" ht="21" customHeight="1">
      <c r="A47" s="45"/>
      <c r="B47" s="46"/>
      <c r="C47" s="46"/>
      <c r="D47" s="159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0"/>
      <c r="P47" s="290"/>
      <c r="Q47" s="290"/>
      <c r="R47" s="290"/>
      <c r="S47" s="288">
        <f>S41</f>
        <v>940000</v>
      </c>
      <c r="T47" s="420" t="s">
        <v>65</v>
      </c>
      <c r="U47" s="419" t="s">
        <v>58</v>
      </c>
      <c r="V47" s="477">
        <v>0.09</v>
      </c>
      <c r="W47" s="420" t="s">
        <v>298</v>
      </c>
      <c r="X47" s="478">
        <v>2</v>
      </c>
      <c r="Y47" s="422"/>
      <c r="Z47" s="422"/>
      <c r="AA47" s="420" t="s">
        <v>291</v>
      </c>
      <c r="AB47" s="288" t="s">
        <v>554</v>
      </c>
      <c r="AC47" s="291"/>
      <c r="AD47" s="291">
        <f>ROUND(S47*V47/X47,-3)+123000</f>
        <v>165000</v>
      </c>
      <c r="AE47" s="389" t="s">
        <v>65</v>
      </c>
      <c r="AF47" s="2"/>
    </row>
    <row r="48" spans="1:32" s="11" customFormat="1" ht="21" customHeight="1">
      <c r="A48" s="45"/>
      <c r="B48" s="46"/>
      <c r="C48" s="46"/>
      <c r="D48" s="159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290"/>
      <c r="P48" s="290"/>
      <c r="Q48" s="290"/>
      <c r="R48" s="290"/>
      <c r="S48" s="288"/>
      <c r="T48" s="420"/>
      <c r="U48" s="419"/>
      <c r="V48" s="477"/>
      <c r="W48" s="420"/>
      <c r="X48" s="478"/>
      <c r="Y48" s="422"/>
      <c r="Z48" s="422"/>
      <c r="AA48" s="420"/>
      <c r="AB48" s="288"/>
      <c r="AC48" s="291"/>
      <c r="AD48" s="291"/>
      <c r="AE48" s="389"/>
      <c r="AF48" s="2"/>
    </row>
    <row r="49" spans="1:32" s="11" customFormat="1" ht="21" customHeight="1">
      <c r="A49" s="45"/>
      <c r="B49" s="46"/>
      <c r="C49" s="46"/>
      <c r="D49" s="159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468" t="s">
        <v>304</v>
      </c>
      <c r="P49" s="290"/>
      <c r="Q49" s="290"/>
      <c r="R49" s="290"/>
      <c r="S49" s="290"/>
      <c r="T49" s="288"/>
      <c r="U49" s="288"/>
      <c r="V49" s="288"/>
      <c r="W49" s="440" t="s">
        <v>292</v>
      </c>
      <c r="X49" s="440"/>
      <c r="Y49" s="440"/>
      <c r="Z49" s="440"/>
      <c r="AA49" s="440"/>
      <c r="AB49" s="440"/>
      <c r="AC49" s="441" t="s">
        <v>301</v>
      </c>
      <c r="AD49" s="441">
        <f>ROUNDDOWN(SUM(AD50:AD51),-3)</f>
        <v>1153000</v>
      </c>
      <c r="AE49" s="442" t="s">
        <v>289</v>
      </c>
      <c r="AF49" s="2"/>
    </row>
    <row r="50" spans="1:32" s="11" customFormat="1" ht="21" customHeight="1">
      <c r="A50" s="45"/>
      <c r="B50" s="46"/>
      <c r="C50" s="46"/>
      <c r="D50" s="159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0"/>
      <c r="P50" s="290"/>
      <c r="Q50" s="290"/>
      <c r="R50" s="290"/>
      <c r="S50" s="288">
        <f>S46</f>
        <v>35920000</v>
      </c>
      <c r="T50" s="420" t="s">
        <v>289</v>
      </c>
      <c r="U50" s="419" t="s">
        <v>303</v>
      </c>
      <c r="V50" s="479">
        <v>6.1199999999999997E-2</v>
      </c>
      <c r="W50" s="420" t="s">
        <v>299</v>
      </c>
      <c r="X50" s="480">
        <v>2</v>
      </c>
      <c r="Y50" s="422"/>
      <c r="Z50" s="422"/>
      <c r="AA50" s="420" t="s">
        <v>300</v>
      </c>
      <c r="AB50" s="288" t="s">
        <v>348</v>
      </c>
      <c r="AC50" s="291"/>
      <c r="AD50" s="291">
        <f>ROUND(S50*V50/X50,-3)-40000</f>
        <v>1059000</v>
      </c>
      <c r="AE50" s="389" t="s">
        <v>289</v>
      </c>
      <c r="AF50" s="2"/>
    </row>
    <row r="51" spans="1:32" s="11" customFormat="1" ht="21" customHeight="1">
      <c r="A51" s="45"/>
      <c r="B51" s="46"/>
      <c r="C51" s="46"/>
      <c r="D51" s="159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0"/>
      <c r="P51" s="290"/>
      <c r="Q51" s="290"/>
      <c r="R51" s="290"/>
      <c r="S51" s="288">
        <f>S47</f>
        <v>940000</v>
      </c>
      <c r="T51" s="420" t="s">
        <v>289</v>
      </c>
      <c r="U51" s="419" t="s">
        <v>303</v>
      </c>
      <c r="V51" s="479">
        <v>6.1199999999999997E-2</v>
      </c>
      <c r="W51" s="420" t="s">
        <v>299</v>
      </c>
      <c r="X51" s="480">
        <v>2</v>
      </c>
      <c r="Y51" s="422"/>
      <c r="Z51" s="422"/>
      <c r="AA51" s="420" t="s">
        <v>230</v>
      </c>
      <c r="AB51" s="288" t="s">
        <v>554</v>
      </c>
      <c r="AC51" s="291"/>
      <c r="AD51" s="291">
        <f>ROUND(S51*V51/X51,-3)+65000</f>
        <v>94000</v>
      </c>
      <c r="AE51" s="389" t="s">
        <v>289</v>
      </c>
      <c r="AF51" s="2"/>
    </row>
    <row r="52" spans="1:32" s="11" customFormat="1" ht="21" customHeight="1">
      <c r="A52" s="45"/>
      <c r="B52" s="46"/>
      <c r="C52" s="46"/>
      <c r="D52" s="159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0"/>
      <c r="P52" s="290"/>
      <c r="Q52" s="290"/>
      <c r="R52" s="290"/>
      <c r="S52" s="290"/>
      <c r="T52" s="288"/>
      <c r="U52" s="288"/>
      <c r="V52" s="288"/>
      <c r="W52" s="288"/>
      <c r="X52" s="288"/>
      <c r="Y52" s="288"/>
      <c r="Z52" s="288"/>
      <c r="AA52" s="288"/>
      <c r="AB52" s="288"/>
      <c r="AC52" s="291"/>
      <c r="AD52" s="291"/>
      <c r="AE52" s="389"/>
      <c r="AF52" s="2"/>
    </row>
    <row r="53" spans="1:32" s="11" customFormat="1" ht="21" customHeight="1">
      <c r="A53" s="45"/>
      <c r="B53" s="46"/>
      <c r="C53" s="46"/>
      <c r="D53" s="159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468" t="s">
        <v>305</v>
      </c>
      <c r="P53" s="290"/>
      <c r="Q53" s="290"/>
      <c r="R53" s="290"/>
      <c r="S53" s="290"/>
      <c r="T53" s="288"/>
      <c r="U53" s="288"/>
      <c r="V53" s="288"/>
      <c r="W53" s="440" t="s">
        <v>292</v>
      </c>
      <c r="X53" s="440"/>
      <c r="Y53" s="440"/>
      <c r="Z53" s="440"/>
      <c r="AA53" s="440"/>
      <c r="AB53" s="440"/>
      <c r="AC53" s="441" t="s">
        <v>301</v>
      </c>
      <c r="AD53" s="441">
        <f>ROUND(SUM(AD54:AD55),-3)</f>
        <v>75000</v>
      </c>
      <c r="AE53" s="442" t="s">
        <v>289</v>
      </c>
      <c r="AF53" s="2"/>
    </row>
    <row r="54" spans="1:32" s="11" customFormat="1" ht="21" customHeight="1">
      <c r="A54" s="45"/>
      <c r="B54" s="46"/>
      <c r="C54" s="46"/>
      <c r="D54" s="159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0"/>
      <c r="P54" s="290"/>
      <c r="Q54" s="290"/>
      <c r="R54" s="290"/>
      <c r="S54" s="481">
        <f>AD50</f>
        <v>1059000</v>
      </c>
      <c r="T54" s="420" t="s">
        <v>289</v>
      </c>
      <c r="U54" s="419" t="s">
        <v>303</v>
      </c>
      <c r="V54" s="479">
        <v>6.5500000000000003E-2</v>
      </c>
      <c r="W54" s="419"/>
      <c r="X54" s="421"/>
      <c r="Y54" s="422"/>
      <c r="Z54" s="422"/>
      <c r="AA54" s="420" t="s">
        <v>300</v>
      </c>
      <c r="AB54" s="288" t="s">
        <v>348</v>
      </c>
      <c r="AC54" s="291"/>
      <c r="AD54" s="291">
        <f>ROUNDDOWN(S54*V54,-3)-1000</f>
        <v>68000</v>
      </c>
      <c r="AE54" s="389" t="s">
        <v>289</v>
      </c>
      <c r="AF54" s="2"/>
    </row>
    <row r="55" spans="1:32" s="11" customFormat="1" ht="21" customHeight="1">
      <c r="A55" s="45"/>
      <c r="B55" s="46"/>
      <c r="C55" s="46"/>
      <c r="D55" s="159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0"/>
      <c r="P55" s="290"/>
      <c r="Q55" s="290"/>
      <c r="R55" s="290"/>
      <c r="S55" s="481">
        <f>AD51</f>
        <v>94000</v>
      </c>
      <c r="T55" s="420" t="s">
        <v>289</v>
      </c>
      <c r="U55" s="419" t="s">
        <v>303</v>
      </c>
      <c r="V55" s="479">
        <v>6.5500000000000003E-2</v>
      </c>
      <c r="W55" s="419"/>
      <c r="X55" s="421"/>
      <c r="Y55" s="422"/>
      <c r="Z55" s="422"/>
      <c r="AA55" s="420" t="s">
        <v>230</v>
      </c>
      <c r="AB55" s="288" t="s">
        <v>554</v>
      </c>
      <c r="AC55" s="291"/>
      <c r="AD55" s="291">
        <f>ROUND(S55*V55,-3)+1000</f>
        <v>7000</v>
      </c>
      <c r="AE55" s="389" t="s">
        <v>289</v>
      </c>
      <c r="AF55" s="2"/>
    </row>
    <row r="56" spans="1:32" s="11" customFormat="1" ht="21" customHeight="1">
      <c r="A56" s="45"/>
      <c r="B56" s="46"/>
      <c r="C56" s="46"/>
      <c r="D56" s="159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90"/>
      <c r="P56" s="290"/>
      <c r="Q56" s="290"/>
      <c r="R56" s="290"/>
      <c r="S56" s="481"/>
      <c r="T56" s="420"/>
      <c r="U56" s="419"/>
      <c r="V56" s="479"/>
      <c r="W56" s="419"/>
      <c r="X56" s="421"/>
      <c r="Y56" s="422"/>
      <c r="Z56" s="422"/>
      <c r="AA56" s="420"/>
      <c r="AB56" s="288"/>
      <c r="AC56" s="291"/>
      <c r="AD56" s="291"/>
      <c r="AE56" s="389"/>
      <c r="AF56" s="2"/>
    </row>
    <row r="57" spans="1:32" s="11" customFormat="1" ht="21" customHeight="1">
      <c r="A57" s="45"/>
      <c r="B57" s="46"/>
      <c r="C57" s="46"/>
      <c r="D57" s="159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468" t="s">
        <v>306</v>
      </c>
      <c r="P57" s="290"/>
      <c r="Q57" s="290"/>
      <c r="R57" s="290"/>
      <c r="S57" s="290"/>
      <c r="T57" s="288"/>
      <c r="U57" s="288"/>
      <c r="V57" s="288"/>
      <c r="W57" s="440" t="s">
        <v>292</v>
      </c>
      <c r="X57" s="440"/>
      <c r="Y57" s="440"/>
      <c r="Z57" s="440"/>
      <c r="AA57" s="440"/>
      <c r="AB57" s="440"/>
      <c r="AC57" s="441" t="s">
        <v>301</v>
      </c>
      <c r="AD57" s="441">
        <f>ROUND(SUM(AD58:AD59),-3)</f>
        <v>344000</v>
      </c>
      <c r="AE57" s="442" t="s">
        <v>289</v>
      </c>
      <c r="AF57" s="2"/>
    </row>
    <row r="58" spans="1:32" s="11" customFormat="1" ht="21" customHeight="1">
      <c r="A58" s="45"/>
      <c r="B58" s="46"/>
      <c r="C58" s="46"/>
      <c r="D58" s="159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0"/>
      <c r="P58" s="290"/>
      <c r="Q58" s="290"/>
      <c r="R58" s="290"/>
      <c r="S58" s="288">
        <f>S50</f>
        <v>35920000</v>
      </c>
      <c r="T58" s="420" t="s">
        <v>289</v>
      </c>
      <c r="U58" s="419" t="s">
        <v>303</v>
      </c>
      <c r="V58" s="479">
        <v>8.9999999999999993E-3</v>
      </c>
      <c r="W58" s="419"/>
      <c r="X58" s="421"/>
      <c r="Y58" s="422"/>
      <c r="Z58" s="422"/>
      <c r="AA58" s="420" t="s">
        <v>300</v>
      </c>
      <c r="AB58" s="288" t="s">
        <v>348</v>
      </c>
      <c r="AC58" s="291"/>
      <c r="AD58" s="291">
        <f>ROUND(S58*V58,-3)+3000</f>
        <v>326000</v>
      </c>
      <c r="AE58" s="389" t="s">
        <v>289</v>
      </c>
      <c r="AF58" s="2"/>
    </row>
    <row r="59" spans="1:32" s="11" customFormat="1" ht="21" customHeight="1">
      <c r="A59" s="45"/>
      <c r="B59" s="46"/>
      <c r="C59" s="46"/>
      <c r="D59" s="159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290"/>
      <c r="P59" s="290"/>
      <c r="Q59" s="290"/>
      <c r="R59" s="290"/>
      <c r="S59" s="288">
        <f>S51</f>
        <v>940000</v>
      </c>
      <c r="T59" s="420" t="s">
        <v>289</v>
      </c>
      <c r="U59" s="419" t="s">
        <v>303</v>
      </c>
      <c r="V59" s="479">
        <v>8.9999999999999993E-3</v>
      </c>
      <c r="W59" s="419"/>
      <c r="X59" s="421"/>
      <c r="Y59" s="422"/>
      <c r="Z59" s="422"/>
      <c r="AA59" s="420" t="s">
        <v>230</v>
      </c>
      <c r="AB59" s="288" t="s">
        <v>554</v>
      </c>
      <c r="AC59" s="291"/>
      <c r="AD59" s="291">
        <f>ROUND(S59*V59,-3)+10000</f>
        <v>18000</v>
      </c>
      <c r="AE59" s="389" t="s">
        <v>289</v>
      </c>
      <c r="AF59" s="2"/>
    </row>
    <row r="60" spans="1:32" s="11" customFormat="1" ht="21" customHeight="1">
      <c r="A60" s="45"/>
      <c r="B60" s="46"/>
      <c r="C60" s="46"/>
      <c r="D60" s="159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90"/>
      <c r="P60" s="290"/>
      <c r="Q60" s="290"/>
      <c r="R60" s="290"/>
      <c r="S60" s="290"/>
      <c r="T60" s="288"/>
      <c r="U60" s="288"/>
      <c r="V60" s="288"/>
      <c r="W60" s="288"/>
      <c r="X60" s="288"/>
      <c r="Y60" s="288"/>
      <c r="Z60" s="288"/>
      <c r="AA60" s="288"/>
      <c r="AB60" s="288"/>
      <c r="AC60" s="291"/>
      <c r="AD60" s="291"/>
      <c r="AE60" s="389"/>
      <c r="AF60" s="2"/>
    </row>
    <row r="61" spans="1:32" s="11" customFormat="1" ht="21" customHeight="1">
      <c r="A61" s="45"/>
      <c r="B61" s="46"/>
      <c r="C61" s="46"/>
      <c r="D61" s="159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468" t="s">
        <v>307</v>
      </c>
      <c r="P61" s="290"/>
      <c r="Q61" s="290"/>
      <c r="R61" s="290"/>
      <c r="S61" s="290"/>
      <c r="T61" s="288"/>
      <c r="U61" s="288"/>
      <c r="V61" s="288"/>
      <c r="W61" s="440" t="s">
        <v>292</v>
      </c>
      <c r="X61" s="440"/>
      <c r="Y61" s="440"/>
      <c r="Z61" s="440"/>
      <c r="AA61" s="440"/>
      <c r="AB61" s="440"/>
      <c r="AC61" s="441" t="s">
        <v>301</v>
      </c>
      <c r="AD61" s="441">
        <f>ROUND(SUM(AD62:AD63),-3)</f>
        <v>292000</v>
      </c>
      <c r="AE61" s="442" t="s">
        <v>289</v>
      </c>
      <c r="AF61" s="2"/>
    </row>
    <row r="62" spans="1:32" s="11" customFormat="1" ht="21" customHeight="1">
      <c r="A62" s="45"/>
      <c r="B62" s="46"/>
      <c r="C62" s="46"/>
      <c r="D62" s="159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90"/>
      <c r="P62" s="290"/>
      <c r="Q62" s="290"/>
      <c r="R62" s="290"/>
      <c r="S62" s="288">
        <f>S58</f>
        <v>35920000</v>
      </c>
      <c r="T62" s="420" t="s">
        <v>289</v>
      </c>
      <c r="U62" s="419" t="s">
        <v>303</v>
      </c>
      <c r="V62" s="482">
        <v>7.6E-3</v>
      </c>
      <c r="W62" s="419"/>
      <c r="X62" s="421"/>
      <c r="Y62" s="422"/>
      <c r="Z62" s="422"/>
      <c r="AA62" s="420" t="s">
        <v>300</v>
      </c>
      <c r="AB62" s="288" t="s">
        <v>348</v>
      </c>
      <c r="AC62" s="291"/>
      <c r="AD62" s="291">
        <f>ROUNDDOWN(S62*V62,-3)+3000</f>
        <v>275000</v>
      </c>
      <c r="AE62" s="389" t="s">
        <v>289</v>
      </c>
      <c r="AF62" s="2"/>
    </row>
    <row r="63" spans="1:32" s="11" customFormat="1" ht="21" customHeight="1">
      <c r="A63" s="45"/>
      <c r="B63" s="46"/>
      <c r="C63" s="46"/>
      <c r="D63" s="159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290"/>
      <c r="P63" s="290"/>
      <c r="Q63" s="290"/>
      <c r="R63" s="290"/>
      <c r="S63" s="288">
        <f>S59</f>
        <v>940000</v>
      </c>
      <c r="T63" s="420" t="s">
        <v>289</v>
      </c>
      <c r="U63" s="419" t="s">
        <v>303</v>
      </c>
      <c r="V63" s="482">
        <v>7.6E-3</v>
      </c>
      <c r="W63" s="419"/>
      <c r="X63" s="421"/>
      <c r="Y63" s="422"/>
      <c r="Z63" s="422"/>
      <c r="AA63" s="420" t="s">
        <v>230</v>
      </c>
      <c r="AB63" s="288" t="s">
        <v>554</v>
      </c>
      <c r="AC63" s="291"/>
      <c r="AD63" s="291">
        <f>ROUNDDOWN(S63*V63,-3)+10000</f>
        <v>17000</v>
      </c>
      <c r="AE63" s="389" t="s">
        <v>289</v>
      </c>
      <c r="AF63" s="2"/>
    </row>
    <row r="64" spans="1:32" s="11" customFormat="1" ht="21" customHeight="1">
      <c r="A64" s="45"/>
      <c r="B64" s="46"/>
      <c r="C64" s="46"/>
      <c r="D64" s="159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90"/>
      <c r="P64" s="290"/>
      <c r="Q64" s="290"/>
      <c r="R64" s="290"/>
      <c r="S64" s="288"/>
      <c r="T64" s="420"/>
      <c r="U64" s="419"/>
      <c r="V64" s="482"/>
      <c r="W64" s="419"/>
      <c r="X64" s="421"/>
      <c r="Y64" s="422"/>
      <c r="Z64" s="422"/>
      <c r="AA64" s="420"/>
      <c r="AB64" s="288"/>
      <c r="AC64" s="291"/>
      <c r="AD64" s="291"/>
      <c r="AE64" s="389"/>
      <c r="AF64" s="2"/>
    </row>
    <row r="65" spans="1:32" s="11" customFormat="1" ht="21" customHeight="1">
      <c r="A65" s="45"/>
      <c r="B65" s="46"/>
      <c r="C65" s="46"/>
      <c r="D65" s="159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468" t="s">
        <v>559</v>
      </c>
      <c r="P65" s="290"/>
      <c r="Q65" s="290"/>
      <c r="R65" s="290"/>
      <c r="S65" s="290"/>
      <c r="T65" s="288"/>
      <c r="U65" s="288"/>
      <c r="V65" s="288"/>
      <c r="W65" s="440" t="s">
        <v>555</v>
      </c>
      <c r="X65" s="440"/>
      <c r="Y65" s="440"/>
      <c r="Z65" s="440"/>
      <c r="AA65" s="440"/>
      <c r="AB65" s="440" t="s">
        <v>560</v>
      </c>
      <c r="AC65" s="441" t="s">
        <v>556</v>
      </c>
      <c r="AD65" s="441">
        <v>0</v>
      </c>
      <c r="AE65" s="442" t="s">
        <v>550</v>
      </c>
      <c r="AF65" s="2"/>
    </row>
    <row r="66" spans="1:32" s="11" customFormat="1" ht="21" customHeight="1">
      <c r="A66" s="45"/>
      <c r="B66" s="46"/>
      <c r="C66" s="46"/>
      <c r="D66" s="159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90"/>
      <c r="P66" s="290"/>
      <c r="Q66" s="290"/>
      <c r="R66" s="290"/>
      <c r="S66" s="288"/>
      <c r="T66" s="420"/>
      <c r="U66" s="419"/>
      <c r="V66" s="482"/>
      <c r="W66" s="419"/>
      <c r="X66" s="421"/>
      <c r="Y66" s="422"/>
      <c r="Z66" s="422"/>
      <c r="AA66" s="420"/>
      <c r="AB66" s="288"/>
      <c r="AC66" s="291"/>
      <c r="AD66" s="291"/>
      <c r="AE66" s="389"/>
      <c r="AF66" s="2"/>
    </row>
    <row r="67" spans="1:32" s="11" customFormat="1" ht="21" customHeight="1">
      <c r="A67" s="45"/>
      <c r="B67" s="46"/>
      <c r="C67" s="46"/>
      <c r="D67" s="159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290"/>
      <c r="P67" s="290"/>
      <c r="Q67" s="290"/>
      <c r="R67" s="290"/>
      <c r="S67" s="290"/>
      <c r="T67" s="288"/>
      <c r="U67" s="288"/>
      <c r="V67" s="288"/>
      <c r="W67" s="288"/>
      <c r="X67" s="288"/>
      <c r="Y67" s="288"/>
      <c r="Z67" s="288"/>
      <c r="AA67" s="288"/>
      <c r="AB67" s="288"/>
      <c r="AC67" s="291"/>
      <c r="AD67" s="291"/>
      <c r="AE67" s="389"/>
      <c r="AF67" s="2"/>
    </row>
    <row r="68" spans="1:32" s="11" customFormat="1" ht="21" customHeight="1">
      <c r="A68" s="45"/>
      <c r="B68" s="46"/>
      <c r="C68" s="36" t="s">
        <v>80</v>
      </c>
      <c r="D68" s="161">
        <v>370</v>
      </c>
      <c r="E68" s="114">
        <f>SUM(F68:L68)</f>
        <v>370</v>
      </c>
      <c r="F68" s="114">
        <f>SUMIF($AB$69:$AB$72,"보조",$AD$69:$AD$72)/1000</f>
        <v>0</v>
      </c>
      <c r="G68" s="114">
        <f>SUMIF($AB$69:$AB$72,"7종",$AD$69:$AD$72)/1000</f>
        <v>0</v>
      </c>
      <c r="H68" s="114">
        <f>SUMIF($AB$69:$AB$72,"시비",$AD$69:$AD$72)/1000</f>
        <v>300</v>
      </c>
      <c r="I68" s="114">
        <f>SUMIF($AB$69:$AB$72,"후원",$AD$69:$AD$72)/1000</f>
        <v>0</v>
      </c>
      <c r="J68" s="114">
        <f>SUMIF($AB$69:$AB$72,"입소",$AD$69:$AD$72)/1000</f>
        <v>70</v>
      </c>
      <c r="K68" s="114">
        <f>SUMIF($AB$69:$AB$72,"법인",$AD$69:$AD$72)/1000</f>
        <v>0</v>
      </c>
      <c r="L68" s="114">
        <f>SUMIF($AB$69:$AB$72,"잡수",$AD$69:$AD$72)/1000</f>
        <v>0</v>
      </c>
      <c r="M68" s="113">
        <f>E68-D68</f>
        <v>0</v>
      </c>
      <c r="N68" s="121">
        <f>IF(D68=0,0,M68/D68)</f>
        <v>0</v>
      </c>
      <c r="O68" s="97" t="s">
        <v>81</v>
      </c>
      <c r="P68" s="176"/>
      <c r="Q68" s="93"/>
      <c r="R68" s="93"/>
      <c r="S68" s="93"/>
      <c r="T68" s="89"/>
      <c r="U68" s="89"/>
      <c r="V68" s="89"/>
      <c r="W68" s="177" t="s">
        <v>129</v>
      </c>
      <c r="X68" s="177"/>
      <c r="Y68" s="177"/>
      <c r="Z68" s="177"/>
      <c r="AA68" s="177"/>
      <c r="AB68" s="177"/>
      <c r="AC68" s="179"/>
      <c r="AD68" s="179">
        <f>SUM(AD69:AD71)</f>
        <v>370000</v>
      </c>
      <c r="AE68" s="178" t="s">
        <v>25</v>
      </c>
      <c r="AF68" s="21"/>
    </row>
    <row r="69" spans="1:32" s="11" customFormat="1" ht="21" customHeight="1">
      <c r="A69" s="45"/>
      <c r="B69" s="46"/>
      <c r="C69" s="46" t="s">
        <v>132</v>
      </c>
      <c r="D69" s="159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599" t="s">
        <v>612</v>
      </c>
      <c r="P69" s="599"/>
      <c r="Q69" s="599"/>
      <c r="R69" s="599"/>
      <c r="S69" s="598">
        <v>300000</v>
      </c>
      <c r="T69" s="617" t="s">
        <v>607</v>
      </c>
      <c r="U69" s="618" t="s">
        <v>608</v>
      </c>
      <c r="V69" s="619">
        <v>1</v>
      </c>
      <c r="W69" s="618" t="s">
        <v>613</v>
      </c>
      <c r="X69" s="620"/>
      <c r="Y69" s="621"/>
      <c r="Z69" s="621"/>
      <c r="AA69" s="617" t="s">
        <v>609</v>
      </c>
      <c r="AB69" s="598" t="s">
        <v>636</v>
      </c>
      <c r="AC69" s="597"/>
      <c r="AD69" s="597">
        <f>ROUNDUP(S69*V69,-3)</f>
        <v>300000</v>
      </c>
      <c r="AE69" s="600" t="s">
        <v>607</v>
      </c>
      <c r="AF69" s="2"/>
    </row>
    <row r="70" spans="1:32" s="11" customFormat="1" ht="21" customHeight="1">
      <c r="A70" s="45"/>
      <c r="B70" s="46"/>
      <c r="C70" s="46"/>
      <c r="D70" s="159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576" t="s">
        <v>512</v>
      </c>
      <c r="P70" s="576"/>
      <c r="Q70" s="576"/>
      <c r="R70" s="576"/>
      <c r="S70" s="575">
        <v>50000</v>
      </c>
      <c r="T70" s="377" t="s">
        <v>513</v>
      </c>
      <c r="U70" s="483" t="s">
        <v>514</v>
      </c>
      <c r="V70" s="485">
        <v>1</v>
      </c>
      <c r="W70" s="483" t="s">
        <v>515</v>
      </c>
      <c r="X70" s="486"/>
      <c r="Y70" s="76"/>
      <c r="Z70" s="76"/>
      <c r="AA70" s="377"/>
      <c r="AB70" s="575" t="s">
        <v>516</v>
      </c>
      <c r="AC70" s="136"/>
      <c r="AD70" s="136">
        <f>ROUNDUP(S70*V70,-3)</f>
        <v>50000</v>
      </c>
      <c r="AE70" s="137" t="s">
        <v>513</v>
      </c>
      <c r="AF70" s="2"/>
    </row>
    <row r="71" spans="1:32" s="11" customFormat="1" ht="21" customHeight="1">
      <c r="A71" s="45"/>
      <c r="B71" s="46"/>
      <c r="C71" s="46"/>
      <c r="D71" s="159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568" t="s">
        <v>349</v>
      </c>
      <c r="P71" s="568"/>
      <c r="Q71" s="568"/>
      <c r="R71" s="568"/>
      <c r="S71" s="567">
        <v>20000</v>
      </c>
      <c r="T71" s="377" t="s">
        <v>57</v>
      </c>
      <c r="U71" s="483" t="s">
        <v>58</v>
      </c>
      <c r="V71" s="485">
        <v>1</v>
      </c>
      <c r="W71" s="483" t="s">
        <v>56</v>
      </c>
      <c r="X71" s="486"/>
      <c r="Y71" s="76"/>
      <c r="Z71" s="76"/>
      <c r="AA71" s="377" t="s">
        <v>53</v>
      </c>
      <c r="AB71" s="575" t="s">
        <v>533</v>
      </c>
      <c r="AC71" s="136"/>
      <c r="AD71" s="136">
        <f>ROUNDUP(S71*V71,-3)</f>
        <v>20000</v>
      </c>
      <c r="AE71" s="137" t="s">
        <v>57</v>
      </c>
      <c r="AF71" s="2"/>
    </row>
    <row r="72" spans="1:32" s="11" customFormat="1" ht="21" customHeight="1">
      <c r="A72" s="45"/>
      <c r="B72" s="59"/>
      <c r="C72" s="59"/>
      <c r="D72" s="160"/>
      <c r="E72" s="111"/>
      <c r="F72" s="111"/>
      <c r="G72" s="111"/>
      <c r="H72" s="111"/>
      <c r="I72" s="111"/>
      <c r="J72" s="111"/>
      <c r="K72" s="111"/>
      <c r="L72" s="111"/>
      <c r="M72" s="111"/>
      <c r="N72" s="84"/>
      <c r="O72" s="375"/>
      <c r="P72" s="375"/>
      <c r="Q72" s="375"/>
      <c r="R72" s="375"/>
      <c r="S72" s="487"/>
      <c r="T72" s="488"/>
      <c r="U72" s="488"/>
      <c r="V72" s="488"/>
      <c r="W72" s="487"/>
      <c r="X72" s="488"/>
      <c r="Y72" s="488"/>
      <c r="Z72" s="488"/>
      <c r="AA72" s="487"/>
      <c r="AB72" s="488"/>
      <c r="AC72" s="488"/>
      <c r="AD72" s="487"/>
      <c r="AE72" s="489"/>
      <c r="AF72" s="2"/>
    </row>
    <row r="73" spans="1:32" s="11" customFormat="1" ht="21" customHeight="1">
      <c r="A73" s="45"/>
      <c r="B73" s="46" t="s">
        <v>131</v>
      </c>
      <c r="C73" s="46" t="s">
        <v>5</v>
      </c>
      <c r="D73" s="109">
        <f>SUM(D74,D77,D79)</f>
        <v>350</v>
      </c>
      <c r="E73" s="109">
        <f>SUM(E74,E77,E79)</f>
        <v>350</v>
      </c>
      <c r="F73" s="109">
        <f t="shared" ref="F73:L73" si="8">SUM(F74,F77,F79)</f>
        <v>100</v>
      </c>
      <c r="G73" s="109">
        <f t="shared" si="8"/>
        <v>0</v>
      </c>
      <c r="H73" s="109">
        <f t="shared" si="8"/>
        <v>0</v>
      </c>
      <c r="I73" s="109">
        <f t="shared" si="8"/>
        <v>0</v>
      </c>
      <c r="J73" s="109">
        <f t="shared" si="8"/>
        <v>50</v>
      </c>
      <c r="K73" s="109">
        <f t="shared" si="8"/>
        <v>200</v>
      </c>
      <c r="L73" s="109">
        <f t="shared" si="8"/>
        <v>0</v>
      </c>
      <c r="M73" s="109">
        <f>E73-D73</f>
        <v>0</v>
      </c>
      <c r="N73" s="70">
        <f>IF(D73=0,0,M73/D73)</f>
        <v>0</v>
      </c>
      <c r="O73" s="186" t="s">
        <v>139</v>
      </c>
      <c r="P73" s="32"/>
      <c r="Q73" s="32"/>
      <c r="R73" s="32"/>
      <c r="S73" s="33"/>
      <c r="T73" s="33"/>
      <c r="U73" s="33"/>
      <c r="V73" s="33"/>
      <c r="W73" s="189"/>
      <c r="X73" s="189"/>
      <c r="Y73" s="189"/>
      <c r="Z73" s="189"/>
      <c r="AA73" s="189"/>
      <c r="AB73" s="189"/>
      <c r="AC73" s="94"/>
      <c r="AD73" s="94">
        <f>SUM(AD74,AD77,AD79)</f>
        <v>350000</v>
      </c>
      <c r="AE73" s="95" t="s">
        <v>25</v>
      </c>
      <c r="AF73" s="5"/>
    </row>
    <row r="74" spans="1:32" s="11" customFormat="1" ht="21" customHeight="1">
      <c r="A74" s="45"/>
      <c r="B74" s="46" t="s">
        <v>138</v>
      </c>
      <c r="C74" s="36" t="s">
        <v>10</v>
      </c>
      <c r="D74" s="161">
        <v>50</v>
      </c>
      <c r="E74" s="114">
        <f>SUM(F74:L74)</f>
        <v>50</v>
      </c>
      <c r="F74" s="114">
        <f>SUMIF($AB$75:$AB$76,"보조",$AD$75:$AD$76)/1000</f>
        <v>0</v>
      </c>
      <c r="G74" s="114">
        <f>SUMIF($AB$75:$AB$76,"7종",$AD$75:$AD$76)/1000</f>
        <v>0</v>
      </c>
      <c r="H74" s="114">
        <f>SUMIF($AB$75:$AB$76,"시비",$AD$75:$AD$76)/1000</f>
        <v>0</v>
      </c>
      <c r="I74" s="114">
        <f>SUMIF($AB$75:$AB$76,"후원",$AD$75:$AD$76)/1000</f>
        <v>0</v>
      </c>
      <c r="J74" s="114">
        <f>SUMIF($AB$75:$AB$76,"입소",$AD$75:$AD$76)/1000</f>
        <v>50</v>
      </c>
      <c r="K74" s="114">
        <f>SUMIF($AB$75:$AB$76,"법인",$AD$75:$AD$76)/1000</f>
        <v>0</v>
      </c>
      <c r="L74" s="114">
        <f>SUMIF($AB$75:$AB$76,"잡수",$AD$75:$AD$76)/1000</f>
        <v>0</v>
      </c>
      <c r="M74" s="113">
        <f>E74-D74</f>
        <v>0</v>
      </c>
      <c r="N74" s="121">
        <f>IF(D74=0,0,M74/D74)</f>
        <v>0</v>
      </c>
      <c r="O74" s="97" t="s">
        <v>37</v>
      </c>
      <c r="P74" s="151"/>
      <c r="Q74" s="165"/>
      <c r="R74" s="165"/>
      <c r="S74" s="165"/>
      <c r="T74" s="88"/>
      <c r="U74" s="88"/>
      <c r="V74" s="88"/>
      <c r="W74" s="88"/>
      <c r="X74" s="88"/>
      <c r="Y74" s="177" t="s">
        <v>141</v>
      </c>
      <c r="Z74" s="177"/>
      <c r="AA74" s="177"/>
      <c r="AB74" s="177"/>
      <c r="AC74" s="179"/>
      <c r="AD74" s="179">
        <f>AD75</f>
        <v>50000</v>
      </c>
      <c r="AE74" s="178" t="s">
        <v>25</v>
      </c>
    </row>
    <row r="75" spans="1:32" s="11" customFormat="1" ht="21" customHeight="1">
      <c r="A75" s="45"/>
      <c r="B75" s="46"/>
      <c r="C75" s="46"/>
      <c r="D75" s="159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576" t="s">
        <v>358</v>
      </c>
      <c r="P75" s="470"/>
      <c r="Q75" s="470"/>
      <c r="R75" s="470"/>
      <c r="S75" s="469"/>
      <c r="T75" s="383"/>
      <c r="U75" s="383"/>
      <c r="V75" s="469"/>
      <c r="W75" s="470"/>
      <c r="X75" s="469"/>
      <c r="Y75" s="469"/>
      <c r="Z75" s="469"/>
      <c r="AA75" s="469"/>
      <c r="AB75" s="575" t="s">
        <v>359</v>
      </c>
      <c r="AC75" s="469"/>
      <c r="AD75" s="526">
        <v>50000</v>
      </c>
      <c r="AE75" s="137" t="s">
        <v>311</v>
      </c>
      <c r="AF75" s="2"/>
    </row>
    <row r="76" spans="1:32" s="11" customFormat="1" ht="21" customHeight="1">
      <c r="A76" s="45"/>
      <c r="B76" s="46"/>
      <c r="C76" s="59"/>
      <c r="D76" s="160"/>
      <c r="E76" s="111"/>
      <c r="F76" s="111"/>
      <c r="G76" s="111"/>
      <c r="H76" s="111"/>
      <c r="I76" s="111"/>
      <c r="J76" s="111"/>
      <c r="K76" s="111"/>
      <c r="L76" s="111"/>
      <c r="M76" s="111"/>
      <c r="N76" s="84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124"/>
      <c r="AF76" s="1"/>
    </row>
    <row r="77" spans="1:32" s="11" customFormat="1" ht="21" customHeight="1">
      <c r="A77" s="45"/>
      <c r="B77" s="46"/>
      <c r="C77" s="46" t="s">
        <v>11</v>
      </c>
      <c r="D77" s="159">
        <v>0</v>
      </c>
      <c r="E77" s="114">
        <f>SUM(F77:L77)</f>
        <v>0</v>
      </c>
      <c r="F77" s="114">
        <f>SUMIF($AB$78:$AB$78,"보조",$AD$78:$AD$78)/1000</f>
        <v>0</v>
      </c>
      <c r="G77" s="114">
        <f>SUMIF($AB$78:$AB$78,"7종",$AD$78:$AD$78)/1000</f>
        <v>0</v>
      </c>
      <c r="H77" s="114">
        <f>SUMIF($AB$78:$AB$78,"시비",$AD$78:$AD$78)/1000</f>
        <v>0</v>
      </c>
      <c r="I77" s="114">
        <f>SUMIF($AB$78:$AB$78,"후원",$AD$78:$AD$78)/1000</f>
        <v>0</v>
      </c>
      <c r="J77" s="114">
        <f>SUMIF($AB$78:$AB$78,"입소",$AD$78:$AD$78)/1000</f>
        <v>0</v>
      </c>
      <c r="K77" s="114">
        <f>SUMIF($AB$78:$AB$78,"법인",$AD$78:$AD$78)/1000</f>
        <v>0</v>
      </c>
      <c r="L77" s="114">
        <f>SUMIF($AB$78:$AB$78,"잡수",$AD$78:$AD$78)/1000</f>
        <v>0</v>
      </c>
      <c r="M77" s="109">
        <f>E77-D77</f>
        <v>0</v>
      </c>
      <c r="N77" s="70">
        <f>IF(D77=0,0,M77/D77)</f>
        <v>0</v>
      </c>
      <c r="O77" s="97" t="s">
        <v>140</v>
      </c>
      <c r="P77" s="176"/>
      <c r="Q77" s="32"/>
      <c r="R77" s="32"/>
      <c r="S77" s="32"/>
      <c r="T77" s="33"/>
      <c r="U77" s="33"/>
      <c r="V77" s="33"/>
      <c r="W77" s="33"/>
      <c r="X77" s="33"/>
      <c r="Y77" s="177" t="s">
        <v>141</v>
      </c>
      <c r="Z77" s="177"/>
      <c r="AA77" s="177"/>
      <c r="AB77" s="177"/>
      <c r="AC77" s="179"/>
      <c r="AD77" s="179">
        <v>0</v>
      </c>
      <c r="AE77" s="178" t="s">
        <v>25</v>
      </c>
      <c r="AF77" s="1"/>
    </row>
    <row r="78" spans="1:32" s="11" customFormat="1" ht="21" customHeight="1">
      <c r="A78" s="45"/>
      <c r="B78" s="46"/>
      <c r="C78" s="59"/>
      <c r="D78" s="160"/>
      <c r="E78" s="111"/>
      <c r="F78" s="111"/>
      <c r="G78" s="111"/>
      <c r="H78" s="111"/>
      <c r="I78" s="111"/>
      <c r="J78" s="111"/>
      <c r="K78" s="111"/>
      <c r="L78" s="111"/>
      <c r="M78" s="111"/>
      <c r="N78" s="84"/>
      <c r="O78" s="154"/>
      <c r="P78" s="81"/>
      <c r="Q78" s="81"/>
      <c r="R78" s="81"/>
      <c r="S78" s="80"/>
      <c r="T78" s="85"/>
      <c r="U78" s="85"/>
      <c r="V78" s="80"/>
      <c r="W78" s="81"/>
      <c r="X78" s="80"/>
      <c r="Y78" s="80"/>
      <c r="Z78" s="80"/>
      <c r="AA78" s="80"/>
      <c r="AB78" s="80"/>
      <c r="AC78" s="80"/>
      <c r="AD78" s="80"/>
      <c r="AE78" s="73"/>
      <c r="AF78" s="1"/>
    </row>
    <row r="79" spans="1:32" s="11" customFormat="1" ht="21" customHeight="1">
      <c r="A79" s="45"/>
      <c r="B79" s="46"/>
      <c r="C79" s="46" t="s">
        <v>82</v>
      </c>
      <c r="D79" s="159">
        <v>300</v>
      </c>
      <c r="E79" s="114">
        <f>SUM(F79:L79)</f>
        <v>300</v>
      </c>
      <c r="F79" s="114">
        <f>SUMIF($AB$80:$AB$83,"보조",$AD$80:$AD$83)/1000</f>
        <v>100</v>
      </c>
      <c r="G79" s="114">
        <f>SUMIF($AB$80:$AB$83,"7종",$AD$80:$AD$83)/1000</f>
        <v>0</v>
      </c>
      <c r="H79" s="114">
        <f>SUMIF($AB$80:$AB$83,"시비",$AD$80:$AD$83)/1000</f>
        <v>0</v>
      </c>
      <c r="I79" s="114">
        <f>SUMIF($AB$80:$AB$83,"후원",$AD$80:$AD$83)/1000</f>
        <v>0</v>
      </c>
      <c r="J79" s="114">
        <f>SUMIF($AB$80:$AB$83,"입소",$AD$80:$AD$83)/1000</f>
        <v>0</v>
      </c>
      <c r="K79" s="114">
        <f>SUMIF($AB$80:$AB$83,"법인",$AD$80:$AD$83)/1000</f>
        <v>200</v>
      </c>
      <c r="L79" s="114">
        <f>SUMIF($AB$80:$AB$83,"잡수",$AD$80:$AD$83)/1000</f>
        <v>0</v>
      </c>
      <c r="M79" s="109">
        <f>E79-D79</f>
        <v>0</v>
      </c>
      <c r="N79" s="70">
        <f>IF(D79=0,0,M79/D79)</f>
        <v>0</v>
      </c>
      <c r="O79" s="116" t="s">
        <v>38</v>
      </c>
      <c r="P79" s="32"/>
      <c r="Q79" s="32"/>
      <c r="R79" s="32"/>
      <c r="S79" s="32"/>
      <c r="T79" s="33"/>
      <c r="U79" s="33"/>
      <c r="V79" s="33"/>
      <c r="W79" s="33"/>
      <c r="X79" s="33"/>
      <c r="Y79" s="177" t="s">
        <v>141</v>
      </c>
      <c r="Z79" s="177"/>
      <c r="AA79" s="177"/>
      <c r="AB79" s="177"/>
      <c r="AC79" s="179"/>
      <c r="AD79" s="179">
        <f>SUM(AD80:AD82)</f>
        <v>300000</v>
      </c>
      <c r="AE79" s="178" t="s">
        <v>25</v>
      </c>
      <c r="AF79" s="1"/>
    </row>
    <row r="80" spans="1:32" s="11" customFormat="1" ht="21" customHeight="1">
      <c r="A80" s="45"/>
      <c r="B80" s="46"/>
      <c r="C80" s="46"/>
      <c r="D80" s="159"/>
      <c r="E80" s="611"/>
      <c r="F80" s="109"/>
      <c r="G80" s="109"/>
      <c r="H80" s="109"/>
      <c r="I80" s="109"/>
      <c r="J80" s="109"/>
      <c r="K80" s="109"/>
      <c r="L80" s="109"/>
      <c r="M80" s="109"/>
      <c r="N80" s="70"/>
      <c r="O80" s="290" t="s">
        <v>599</v>
      </c>
      <c r="P80" s="290"/>
      <c r="Q80" s="290"/>
      <c r="R80" s="290"/>
      <c r="S80" s="575">
        <v>50000</v>
      </c>
      <c r="T80" s="575" t="s">
        <v>600</v>
      </c>
      <c r="U80" s="576" t="s">
        <v>601</v>
      </c>
      <c r="V80" s="612">
        <v>2</v>
      </c>
      <c r="W80" s="576" t="s">
        <v>601</v>
      </c>
      <c r="X80" s="613">
        <v>1</v>
      </c>
      <c r="Y80" s="384"/>
      <c r="Z80" s="377"/>
      <c r="AA80" s="377" t="s">
        <v>602</v>
      </c>
      <c r="AB80" s="377" t="s">
        <v>603</v>
      </c>
      <c r="AC80" s="575"/>
      <c r="AD80" s="575">
        <f>S80*V80*X80</f>
        <v>100000</v>
      </c>
      <c r="AE80" s="137" t="s">
        <v>600</v>
      </c>
      <c r="AF80" s="1"/>
    </row>
    <row r="81" spans="1:34" s="11" customFormat="1" ht="21" customHeight="1">
      <c r="A81" s="45"/>
      <c r="B81" s="46"/>
      <c r="C81" s="46"/>
      <c r="D81" s="159"/>
      <c r="E81" s="611"/>
      <c r="F81" s="109"/>
      <c r="G81" s="109"/>
      <c r="H81" s="109"/>
      <c r="I81" s="109"/>
      <c r="J81" s="109"/>
      <c r="K81" s="109"/>
      <c r="L81" s="109"/>
      <c r="M81" s="109"/>
      <c r="N81" s="70"/>
      <c r="O81" s="599"/>
      <c r="P81" s="599"/>
      <c r="Q81" s="599"/>
      <c r="R81" s="599"/>
      <c r="S81" s="598">
        <v>50000</v>
      </c>
      <c r="T81" s="598" t="s">
        <v>607</v>
      </c>
      <c r="U81" s="599" t="s">
        <v>608</v>
      </c>
      <c r="V81" s="614">
        <v>2</v>
      </c>
      <c r="W81" s="599" t="s">
        <v>608</v>
      </c>
      <c r="X81" s="615">
        <v>1</v>
      </c>
      <c r="Y81" s="616"/>
      <c r="Z81" s="617"/>
      <c r="AA81" s="617" t="s">
        <v>609</v>
      </c>
      <c r="AB81" s="617" t="s">
        <v>635</v>
      </c>
      <c r="AC81" s="598"/>
      <c r="AD81" s="598">
        <f>S81*V81*X81</f>
        <v>100000</v>
      </c>
      <c r="AE81" s="600" t="s">
        <v>607</v>
      </c>
      <c r="AF81" s="1"/>
    </row>
    <row r="82" spans="1:34" s="14" customFormat="1" ht="21" customHeight="1">
      <c r="A82" s="45"/>
      <c r="B82" s="46"/>
      <c r="C82" s="46"/>
      <c r="D82" s="159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599" t="s">
        <v>610</v>
      </c>
      <c r="P82" s="599"/>
      <c r="Q82" s="599"/>
      <c r="R82" s="599"/>
      <c r="S82" s="598">
        <v>25000</v>
      </c>
      <c r="T82" s="598" t="s">
        <v>607</v>
      </c>
      <c r="U82" s="599" t="s">
        <v>608</v>
      </c>
      <c r="V82" s="598">
        <v>4</v>
      </c>
      <c r="W82" s="598" t="s">
        <v>611</v>
      </c>
      <c r="X82" s="599"/>
      <c r="Y82" s="616"/>
      <c r="Z82" s="617"/>
      <c r="AA82" s="617" t="s">
        <v>609</v>
      </c>
      <c r="AB82" s="617" t="s">
        <v>635</v>
      </c>
      <c r="AC82" s="598"/>
      <c r="AD82" s="598">
        <f>S82*V82</f>
        <v>100000</v>
      </c>
      <c r="AE82" s="600" t="s">
        <v>607</v>
      </c>
      <c r="AF82" s="4"/>
    </row>
    <row r="83" spans="1:34" s="14" customFormat="1" ht="21" customHeight="1">
      <c r="A83" s="45"/>
      <c r="B83" s="46"/>
      <c r="C83" s="46"/>
      <c r="D83" s="159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470"/>
      <c r="P83" s="470"/>
      <c r="Q83" s="470"/>
      <c r="R83" s="470"/>
      <c r="S83" s="469"/>
      <c r="T83" s="383"/>
      <c r="U83" s="383"/>
      <c r="V83" s="469"/>
      <c r="W83" s="470"/>
      <c r="X83" s="469"/>
      <c r="Y83" s="469"/>
      <c r="Z83" s="469"/>
      <c r="AA83" s="469"/>
      <c r="AB83" s="469"/>
      <c r="AC83" s="469"/>
      <c r="AD83" s="469"/>
      <c r="AE83" s="137"/>
      <c r="AF83" s="4"/>
    </row>
    <row r="84" spans="1:34" s="11" customFormat="1" ht="21" customHeight="1">
      <c r="A84" s="45"/>
      <c r="B84" s="36" t="s">
        <v>12</v>
      </c>
      <c r="C84" s="173" t="s">
        <v>5</v>
      </c>
      <c r="D84" s="174">
        <f t="shared" ref="D84:L84" si="9">SUM(D85,D88,D95,D100,D108,D112)</f>
        <v>7872</v>
      </c>
      <c r="E84" s="174">
        <f t="shared" si="9"/>
        <v>7683</v>
      </c>
      <c r="F84" s="174">
        <f t="shared" si="9"/>
        <v>4636</v>
      </c>
      <c r="G84" s="174">
        <f t="shared" si="9"/>
        <v>0</v>
      </c>
      <c r="H84" s="174">
        <f t="shared" si="9"/>
        <v>0</v>
      </c>
      <c r="I84" s="174">
        <f t="shared" si="9"/>
        <v>0</v>
      </c>
      <c r="J84" s="174">
        <f t="shared" si="9"/>
        <v>3047</v>
      </c>
      <c r="K84" s="174">
        <f t="shared" si="9"/>
        <v>0</v>
      </c>
      <c r="L84" s="174">
        <f t="shared" si="9"/>
        <v>0</v>
      </c>
      <c r="M84" s="174">
        <f>E84-D84</f>
        <v>-189</v>
      </c>
      <c r="N84" s="175">
        <f>IF(D84=0,0,M84/D84)</f>
        <v>-2.4009146341463415E-2</v>
      </c>
      <c r="O84" s="176" t="s">
        <v>143</v>
      </c>
      <c r="P84" s="176"/>
      <c r="Q84" s="176"/>
      <c r="R84" s="176"/>
      <c r="S84" s="177"/>
      <c r="T84" s="191"/>
      <c r="U84" s="177"/>
      <c r="V84" s="667"/>
      <c r="W84" s="668"/>
      <c r="X84" s="177"/>
      <c r="Y84" s="177"/>
      <c r="Z84" s="177"/>
      <c r="AA84" s="177"/>
      <c r="AB84" s="177"/>
      <c r="AC84" s="177"/>
      <c r="AD84" s="177">
        <f>SUM(AD85,AD88,AD95,AD100,AD108,AD112)</f>
        <v>7683000</v>
      </c>
      <c r="AE84" s="178" t="s">
        <v>25</v>
      </c>
      <c r="AF84" s="1"/>
    </row>
    <row r="85" spans="1:34" s="11" customFormat="1" ht="21" customHeight="1">
      <c r="A85" s="45"/>
      <c r="B85" s="46"/>
      <c r="C85" s="46" t="s">
        <v>83</v>
      </c>
      <c r="D85" s="159">
        <v>100</v>
      </c>
      <c r="E85" s="114">
        <f>SUM(F85:L85)</f>
        <v>100</v>
      </c>
      <c r="F85" s="114">
        <f>SUMIF($AB$86:$AB$87,"보조",$AD$86:$AD$87)/1000</f>
        <v>0</v>
      </c>
      <c r="G85" s="114">
        <f>SUMIF($AB$86:$AB$87,"7종",$AD$86:$AD$87)/1000</f>
        <v>0</v>
      </c>
      <c r="H85" s="114">
        <f>SUMIF($AB$86:$AB$87,"시비",$AD$86:$AD$87)/1000</f>
        <v>0</v>
      </c>
      <c r="I85" s="114">
        <f>SUMIF($AB$86:$AB$87,"후원",$AD$86:$AD$87)/1000</f>
        <v>0</v>
      </c>
      <c r="J85" s="114">
        <f>SUMIF($AB$86:$AB$87,"입소",$AD$86:$AD$87)/1000</f>
        <v>100</v>
      </c>
      <c r="K85" s="114">
        <f>SUMIF($AB$86:$AB$87,"법인",$AD$86:$AD$87)/1000</f>
        <v>0</v>
      </c>
      <c r="L85" s="114">
        <f>SUMIF($AB$86:$AB$87,"잡수",$AD$86:$AD$87)/1000</f>
        <v>0</v>
      </c>
      <c r="M85" s="109">
        <f>E85-D85</f>
        <v>0</v>
      </c>
      <c r="N85" s="70">
        <f>IF(D85=0,0,M85/D85)</f>
        <v>0</v>
      </c>
      <c r="O85" s="116" t="s">
        <v>40</v>
      </c>
      <c r="P85" s="32"/>
      <c r="Q85" s="32"/>
      <c r="R85" s="32"/>
      <c r="S85" s="32"/>
      <c r="T85" s="33"/>
      <c r="U85" s="33"/>
      <c r="V85" s="33"/>
      <c r="W85" s="33"/>
      <c r="X85" s="33"/>
      <c r="Y85" s="456" t="s">
        <v>141</v>
      </c>
      <c r="Z85" s="456"/>
      <c r="AA85" s="456"/>
      <c r="AB85" s="456"/>
      <c r="AC85" s="179"/>
      <c r="AD85" s="179">
        <f>SUM(AD86:AD86)</f>
        <v>100000</v>
      </c>
      <c r="AE85" s="178" t="s">
        <v>25</v>
      </c>
      <c r="AF85" s="20"/>
      <c r="AG85" s="19"/>
      <c r="AH85" s="19"/>
    </row>
    <row r="86" spans="1:34" s="11" customFormat="1" ht="21" customHeight="1">
      <c r="A86" s="45"/>
      <c r="B86" s="46"/>
      <c r="C86" s="46"/>
      <c r="D86" s="159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0" t="s">
        <v>284</v>
      </c>
      <c r="P86" s="290"/>
      <c r="Q86" s="290"/>
      <c r="R86" s="290"/>
      <c r="S86" s="288">
        <v>50000</v>
      </c>
      <c r="T86" s="423" t="s">
        <v>25</v>
      </c>
      <c r="U86" s="423" t="s">
        <v>26</v>
      </c>
      <c r="V86" s="288">
        <v>1</v>
      </c>
      <c r="W86" s="423" t="s">
        <v>144</v>
      </c>
      <c r="X86" s="288" t="s">
        <v>26</v>
      </c>
      <c r="Y86" s="288">
        <v>2</v>
      </c>
      <c r="Z86" s="288" t="s">
        <v>273</v>
      </c>
      <c r="AA86" s="288" t="s">
        <v>27</v>
      </c>
      <c r="AB86" s="288" t="s">
        <v>531</v>
      </c>
      <c r="AC86" s="288"/>
      <c r="AD86" s="288">
        <f>S86*V86*Y86</f>
        <v>100000</v>
      </c>
      <c r="AE86" s="389" t="s">
        <v>272</v>
      </c>
      <c r="AF86" s="2"/>
    </row>
    <row r="87" spans="1:34" s="11" customFormat="1" ht="21" customHeight="1">
      <c r="A87" s="45"/>
      <c r="B87" s="46"/>
      <c r="C87" s="46"/>
      <c r="D87" s="159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188"/>
      <c r="P87" s="50"/>
      <c r="Q87" s="50"/>
      <c r="R87" s="50"/>
      <c r="S87" s="51"/>
      <c r="T87" s="55"/>
      <c r="U87" s="55"/>
      <c r="V87" s="51"/>
      <c r="W87" s="55"/>
      <c r="X87" s="51"/>
      <c r="Y87" s="51"/>
      <c r="Z87" s="187"/>
      <c r="AA87" s="51"/>
      <c r="AB87" s="187"/>
      <c r="AC87" s="51"/>
      <c r="AD87" s="51"/>
      <c r="AE87" s="57" t="s">
        <v>65</v>
      </c>
      <c r="AF87" s="2"/>
    </row>
    <row r="88" spans="1:34" s="11" customFormat="1" ht="21" customHeight="1">
      <c r="A88" s="45"/>
      <c r="B88" s="46"/>
      <c r="C88" s="36" t="s">
        <v>41</v>
      </c>
      <c r="D88" s="161">
        <v>2784</v>
      </c>
      <c r="E88" s="114">
        <f>SUM(F88:L88)</f>
        <v>2356</v>
      </c>
      <c r="F88" s="114">
        <f>SUMIF($AB$89:$AB$94,"보조",$AD$89:$AD$94)/1000</f>
        <v>1072</v>
      </c>
      <c r="G88" s="114">
        <f>SUMIF($AB$89:$AB$94,"7종",$AD$89:$AD$94)/1000</f>
        <v>0</v>
      </c>
      <c r="H88" s="114">
        <f>SUMIF($AB$89:$AB$94,"시비",$AD$89:$AD$94)/1000</f>
        <v>0</v>
      </c>
      <c r="I88" s="114">
        <f>SUMIF($AB$89:$AB$94,"후원",$AD$89:$AD$94)/1000</f>
        <v>0</v>
      </c>
      <c r="J88" s="114">
        <f>SUMIF($AB$89:$AB$94,"입소",$AD$89:$AD$94)/1000</f>
        <v>1284</v>
      </c>
      <c r="K88" s="114">
        <f>SUMIF($AB$89:$AB$94,"법인",$AD$89:$AD$94)/1000</f>
        <v>0</v>
      </c>
      <c r="L88" s="114">
        <f>SUMIF($AB$89:$AB$94,"잡수",$AD$89:$AD$94)/1000</f>
        <v>0</v>
      </c>
      <c r="M88" s="113">
        <f>E88-D88</f>
        <v>-428</v>
      </c>
      <c r="N88" s="121">
        <f>IF(D88=0,0,M88/D88)</f>
        <v>-0.15373563218390804</v>
      </c>
      <c r="O88" s="390" t="s">
        <v>42</v>
      </c>
      <c r="P88" s="391"/>
      <c r="Q88" s="391"/>
      <c r="R88" s="391"/>
      <c r="S88" s="391"/>
      <c r="T88" s="392"/>
      <c r="U88" s="392"/>
      <c r="V88" s="392"/>
      <c r="W88" s="392"/>
      <c r="X88" s="392"/>
      <c r="Y88" s="393" t="s">
        <v>28</v>
      </c>
      <c r="Z88" s="393"/>
      <c r="AA88" s="393"/>
      <c r="AB88" s="393"/>
      <c r="AC88" s="394"/>
      <c r="AD88" s="394">
        <f>ROUNDDOWN(SUM(AD89:AD93),-3)</f>
        <v>2356000</v>
      </c>
      <c r="AE88" s="178" t="s">
        <v>25</v>
      </c>
      <c r="AF88" s="1"/>
    </row>
    <row r="89" spans="1:34" s="11" customFormat="1" ht="21" customHeight="1">
      <c r="A89" s="45"/>
      <c r="B89" s="46"/>
      <c r="C89" s="46" t="s">
        <v>148</v>
      </c>
      <c r="D89" s="159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395" t="s">
        <v>360</v>
      </c>
      <c r="P89" s="470"/>
      <c r="Q89" s="470"/>
      <c r="R89" s="470"/>
      <c r="S89" s="469"/>
      <c r="T89" s="383"/>
      <c r="U89" s="469"/>
      <c r="V89" s="396">
        <v>35000</v>
      </c>
      <c r="W89" s="397" t="s">
        <v>57</v>
      </c>
      <c r="X89" s="397" t="s">
        <v>26</v>
      </c>
      <c r="Y89" s="396">
        <v>12</v>
      </c>
      <c r="Z89" s="398" t="s">
        <v>29</v>
      </c>
      <c r="AA89" s="396" t="s">
        <v>27</v>
      </c>
      <c r="AB89" s="379" t="s">
        <v>317</v>
      </c>
      <c r="AC89" s="379"/>
      <c r="AD89" s="524">
        <f>V89*Y89</f>
        <v>420000</v>
      </c>
      <c r="AE89" s="490" t="s">
        <v>25</v>
      </c>
      <c r="AF89" s="1"/>
    </row>
    <row r="90" spans="1:34" s="11" customFormat="1" ht="21" customHeight="1">
      <c r="A90" s="45"/>
      <c r="B90" s="46"/>
      <c r="C90" s="46"/>
      <c r="D90" s="159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576" t="s">
        <v>534</v>
      </c>
      <c r="P90" s="470"/>
      <c r="Q90" s="470"/>
      <c r="R90" s="470"/>
      <c r="S90" s="469"/>
      <c r="T90" s="383"/>
      <c r="U90" s="383"/>
      <c r="V90" s="396">
        <v>34000</v>
      </c>
      <c r="W90" s="397" t="s">
        <v>57</v>
      </c>
      <c r="X90" s="397" t="s">
        <v>26</v>
      </c>
      <c r="Y90" s="396">
        <v>8</v>
      </c>
      <c r="Z90" s="398" t="s">
        <v>29</v>
      </c>
      <c r="AA90" s="396" t="s">
        <v>27</v>
      </c>
      <c r="AB90" s="524" t="s">
        <v>323</v>
      </c>
      <c r="AC90" s="524"/>
      <c r="AD90" s="524">
        <f>V90*Y90+20000</f>
        <v>292000</v>
      </c>
      <c r="AE90" s="137" t="s">
        <v>57</v>
      </c>
      <c r="AF90" s="20"/>
    </row>
    <row r="91" spans="1:34" s="11" customFormat="1" ht="21" customHeight="1">
      <c r="A91" s="45"/>
      <c r="B91" s="46"/>
      <c r="C91" s="46"/>
      <c r="D91" s="159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576" t="s">
        <v>385</v>
      </c>
      <c r="P91" s="576"/>
      <c r="Q91" s="576"/>
      <c r="R91" s="576"/>
      <c r="S91" s="575">
        <v>30000</v>
      </c>
      <c r="T91" s="383" t="s">
        <v>57</v>
      </c>
      <c r="U91" s="383" t="s">
        <v>26</v>
      </c>
      <c r="V91" s="575">
        <v>12</v>
      </c>
      <c r="W91" s="576" t="s">
        <v>0</v>
      </c>
      <c r="X91" s="575"/>
      <c r="Y91" s="575"/>
      <c r="Z91" s="575"/>
      <c r="AA91" s="575" t="s">
        <v>53</v>
      </c>
      <c r="AB91" s="575" t="s">
        <v>84</v>
      </c>
      <c r="AC91" s="575"/>
      <c r="AD91" s="575">
        <f>S91*V91</f>
        <v>360000</v>
      </c>
      <c r="AE91" s="137" t="s">
        <v>25</v>
      </c>
      <c r="AF91" s="20"/>
    </row>
    <row r="92" spans="1:34" s="11" customFormat="1" ht="21" customHeight="1">
      <c r="A92" s="45"/>
      <c r="B92" s="46"/>
      <c r="C92" s="46"/>
      <c r="D92" s="159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576" t="s">
        <v>386</v>
      </c>
      <c r="P92" s="576"/>
      <c r="Q92" s="576"/>
      <c r="R92" s="576"/>
      <c r="S92" s="575"/>
      <c r="T92" s="383"/>
      <c r="U92" s="383"/>
      <c r="V92" s="575"/>
      <c r="W92" s="575"/>
      <c r="X92" s="575"/>
      <c r="Y92" s="575"/>
      <c r="Z92" s="575"/>
      <c r="AA92" s="575"/>
      <c r="AB92" s="575" t="s">
        <v>533</v>
      </c>
      <c r="AC92" s="575"/>
      <c r="AD92" s="575">
        <v>150000</v>
      </c>
      <c r="AE92" s="137" t="s">
        <v>289</v>
      </c>
      <c r="AF92" s="20"/>
    </row>
    <row r="93" spans="1:34" s="11" customFormat="1" ht="21" customHeight="1">
      <c r="A93" s="45"/>
      <c r="B93" s="46"/>
      <c r="C93" s="46"/>
      <c r="D93" s="159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576" t="s">
        <v>361</v>
      </c>
      <c r="P93" s="470"/>
      <c r="Q93" s="470"/>
      <c r="R93" s="470"/>
      <c r="S93" s="469"/>
      <c r="T93" s="383"/>
      <c r="U93" s="383"/>
      <c r="V93" s="469"/>
      <c r="W93" s="470"/>
      <c r="X93" s="469"/>
      <c r="Y93" s="469"/>
      <c r="Z93" s="469"/>
      <c r="AA93" s="469"/>
      <c r="AB93" s="575" t="s">
        <v>359</v>
      </c>
      <c r="AC93" s="469"/>
      <c r="AD93" s="469">
        <v>1134000</v>
      </c>
      <c r="AE93" s="137" t="s">
        <v>308</v>
      </c>
      <c r="AF93" s="20"/>
    </row>
    <row r="94" spans="1:34" s="11" customFormat="1" ht="21" customHeight="1">
      <c r="A94" s="45"/>
      <c r="B94" s="46"/>
      <c r="C94" s="59"/>
      <c r="D94" s="160"/>
      <c r="E94" s="111"/>
      <c r="F94" s="111"/>
      <c r="G94" s="111"/>
      <c r="H94" s="111"/>
      <c r="I94" s="111"/>
      <c r="J94" s="111"/>
      <c r="K94" s="111"/>
      <c r="L94" s="111"/>
      <c r="M94" s="111"/>
      <c r="N94" s="84"/>
      <c r="O94" s="471"/>
      <c r="P94" s="471"/>
      <c r="Q94" s="471"/>
      <c r="R94" s="471"/>
      <c r="S94" s="471"/>
      <c r="T94" s="471"/>
      <c r="U94" s="471"/>
      <c r="V94" s="471"/>
      <c r="W94" s="471"/>
      <c r="X94" s="471"/>
      <c r="Y94" s="471"/>
      <c r="Z94" s="471"/>
      <c r="AA94" s="471"/>
      <c r="AB94" s="471"/>
      <c r="AC94" s="471"/>
      <c r="AD94" s="472"/>
      <c r="AE94" s="473"/>
      <c r="AF94" s="1"/>
    </row>
    <row r="95" spans="1:34" s="11" customFormat="1" ht="21" customHeight="1">
      <c r="A95" s="45"/>
      <c r="B95" s="46"/>
      <c r="C95" s="46" t="s">
        <v>39</v>
      </c>
      <c r="D95" s="159">
        <v>3610</v>
      </c>
      <c r="E95" s="114">
        <f>SUM(F95:L95)</f>
        <v>3814</v>
      </c>
      <c r="F95" s="114">
        <f>SUMIF($AB$96:$AB$99,"보조",$AD$96:$AD$99)/1000</f>
        <v>2964</v>
      </c>
      <c r="G95" s="114">
        <f>SUMIF($AB$96:$AB$99,"7종",$AD$96:$AD$99)/1000</f>
        <v>0</v>
      </c>
      <c r="H95" s="114">
        <f>SUMIF($AB$96:$AB$99,"시비",$AD$96:$AD$99)/1000</f>
        <v>0</v>
      </c>
      <c r="I95" s="114">
        <f>SUMIF($AB$96:$AB$99,"후원",$AD$96:$AD$99)/1000</f>
        <v>0</v>
      </c>
      <c r="J95" s="114">
        <f>SUMIF($AB$96:$AB$99,"입소",$AD$96:$AD$99)/1000</f>
        <v>850</v>
      </c>
      <c r="K95" s="114">
        <f>SUMIF($AB$96:$AB$99,"법인",$AD$96:$AD$99)/1000</f>
        <v>0</v>
      </c>
      <c r="L95" s="114">
        <f>SUMIF($AB$96:$AB$99,"잡수",$AD$96:$AD$99)/1000</f>
        <v>0</v>
      </c>
      <c r="M95" s="109">
        <f>E95-D95</f>
        <v>204</v>
      </c>
      <c r="N95" s="70">
        <f>IF(D95=0,0,M95/D95)</f>
        <v>5.6509695290858725E-2</v>
      </c>
      <c r="O95" s="424" t="s">
        <v>43</v>
      </c>
      <c r="P95" s="425"/>
      <c r="Q95" s="425"/>
      <c r="R95" s="425"/>
      <c r="S95" s="425"/>
      <c r="T95" s="426"/>
      <c r="U95" s="426"/>
      <c r="V95" s="426"/>
      <c r="W95" s="426"/>
      <c r="X95" s="426"/>
      <c r="Y95" s="427" t="s">
        <v>276</v>
      </c>
      <c r="Z95" s="427"/>
      <c r="AA95" s="427"/>
      <c r="AB95" s="427"/>
      <c r="AC95" s="428"/>
      <c r="AD95" s="428">
        <f>ROUND(SUM(AD96:AD98),-3)</f>
        <v>3814000</v>
      </c>
      <c r="AE95" s="429" t="s">
        <v>25</v>
      </c>
      <c r="AF95" s="1"/>
    </row>
    <row r="96" spans="1:34" s="11" customFormat="1" ht="21" customHeight="1">
      <c r="A96" s="45"/>
      <c r="B96" s="46"/>
      <c r="C96" s="46"/>
      <c r="D96" s="159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430" t="s">
        <v>362</v>
      </c>
      <c r="P96" s="290"/>
      <c r="Q96" s="290"/>
      <c r="R96" s="290"/>
      <c r="S96" s="288">
        <v>40000</v>
      </c>
      <c r="T96" s="432" t="s">
        <v>25</v>
      </c>
      <c r="U96" s="432" t="s">
        <v>26</v>
      </c>
      <c r="V96" s="431">
        <v>12</v>
      </c>
      <c r="W96" s="433" t="s">
        <v>29</v>
      </c>
      <c r="X96" s="431" t="s">
        <v>27</v>
      </c>
      <c r="Y96" s="288"/>
      <c r="Z96" s="288"/>
      <c r="AA96" s="288"/>
      <c r="AB96" s="288" t="s">
        <v>280</v>
      </c>
      <c r="AC96" s="288"/>
      <c r="AD96" s="288">
        <f>S96*V96</f>
        <v>480000</v>
      </c>
      <c r="AE96" s="389" t="s">
        <v>25</v>
      </c>
      <c r="AF96" s="1"/>
    </row>
    <row r="97" spans="1:32" s="11" customFormat="1" ht="21" customHeight="1">
      <c r="A97" s="45"/>
      <c r="B97" s="46"/>
      <c r="C97" s="46"/>
      <c r="D97" s="159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0" t="s">
        <v>364</v>
      </c>
      <c r="P97" s="290"/>
      <c r="Q97" s="290"/>
      <c r="R97" s="290"/>
      <c r="S97" s="288">
        <v>207000</v>
      </c>
      <c r="T97" s="423" t="s">
        <v>272</v>
      </c>
      <c r="U97" s="423" t="s">
        <v>26</v>
      </c>
      <c r="V97" s="288">
        <v>12</v>
      </c>
      <c r="W97" s="290" t="s">
        <v>274</v>
      </c>
      <c r="X97" s="288" t="s">
        <v>27</v>
      </c>
      <c r="Y97" s="288"/>
      <c r="Z97" s="288"/>
      <c r="AA97" s="288"/>
      <c r="AB97" s="288" t="s">
        <v>280</v>
      </c>
      <c r="AC97" s="288"/>
      <c r="AD97" s="288">
        <f>S97*V97</f>
        <v>2484000</v>
      </c>
      <c r="AE97" s="389" t="s">
        <v>25</v>
      </c>
      <c r="AF97" s="1"/>
    </row>
    <row r="98" spans="1:32" s="14" customFormat="1" ht="21" customHeight="1">
      <c r="A98" s="45"/>
      <c r="B98" s="46"/>
      <c r="C98" s="46"/>
      <c r="D98" s="159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0" t="s">
        <v>614</v>
      </c>
      <c r="P98" s="470"/>
      <c r="Q98" s="470"/>
      <c r="R98" s="470"/>
      <c r="S98" s="288"/>
      <c r="T98" s="423"/>
      <c r="U98" s="423"/>
      <c r="V98" s="288"/>
      <c r="W98" s="290"/>
      <c r="X98" s="288"/>
      <c r="Y98" s="288"/>
      <c r="Z98" s="288"/>
      <c r="AA98" s="288"/>
      <c r="AB98" s="288" t="s">
        <v>278</v>
      </c>
      <c r="AC98" s="288"/>
      <c r="AD98" s="288">
        <v>850000</v>
      </c>
      <c r="AE98" s="389" t="s">
        <v>25</v>
      </c>
      <c r="AF98" s="4"/>
    </row>
    <row r="99" spans="1:32" s="14" customFormat="1" ht="21" customHeight="1">
      <c r="A99" s="45"/>
      <c r="B99" s="46"/>
      <c r="C99" s="46"/>
      <c r="D99" s="159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120"/>
      <c r="P99" s="50"/>
      <c r="Q99" s="50"/>
      <c r="R99" s="50"/>
      <c r="S99" s="51"/>
      <c r="T99" s="55"/>
      <c r="U99" s="55"/>
      <c r="V99" s="51"/>
      <c r="W99" s="50"/>
      <c r="X99" s="51"/>
      <c r="Y99" s="51"/>
      <c r="Z99" s="51"/>
      <c r="AA99" s="51"/>
      <c r="AB99" s="142"/>
      <c r="AC99" s="51"/>
      <c r="AD99" s="51"/>
      <c r="AE99" s="57"/>
      <c r="AF99" s="4"/>
    </row>
    <row r="100" spans="1:32" ht="21" customHeight="1">
      <c r="A100" s="45"/>
      <c r="B100" s="46"/>
      <c r="C100" s="36" t="s">
        <v>15</v>
      </c>
      <c r="D100" s="161">
        <v>678</v>
      </c>
      <c r="E100" s="114">
        <f>SUM(F100:L100)</f>
        <v>613</v>
      </c>
      <c r="F100" s="114">
        <f>SUMIF($AB$101:$AB$107,"보조",$AD$101:$AD$107)/1000</f>
        <v>400</v>
      </c>
      <c r="G100" s="114">
        <f>SUMIF($AB$101:$AB$107,"7종",$AD$101:$AD$107)/1000</f>
        <v>0</v>
      </c>
      <c r="H100" s="114">
        <f>SUMIF($AB$101:$AB$107,"시비",$AD$101:$AD$107)/1000</f>
        <v>0</v>
      </c>
      <c r="I100" s="114">
        <f>SUMIF($AB$101:$AB$107,"후원",$AD$101:$AD$107)/1000</f>
        <v>0</v>
      </c>
      <c r="J100" s="114">
        <f>SUMIF($AB$101:$AB$107,"입소",$AD$101:$AD$107)/1000</f>
        <v>213</v>
      </c>
      <c r="K100" s="114">
        <f>SUMIF($AB$101:$AB$107,"법인",$AD$101:$AD$107)/1000</f>
        <v>0</v>
      </c>
      <c r="L100" s="114">
        <f>SUMIF($AB$101:$AB$107,"잡수",$AD$101:$AD$107)/1000</f>
        <v>0</v>
      </c>
      <c r="M100" s="192">
        <f>E100-D100</f>
        <v>-65</v>
      </c>
      <c r="N100" s="121">
        <f>IF(D100=0,0,M100/D100)</f>
        <v>-9.5870206489675522E-2</v>
      </c>
      <c r="O100" s="434" t="s">
        <v>44</v>
      </c>
      <c r="P100" s="435"/>
      <c r="Q100" s="435"/>
      <c r="R100" s="435"/>
      <c r="S100" s="435"/>
      <c r="T100" s="436"/>
      <c r="U100" s="436"/>
      <c r="V100" s="436"/>
      <c r="W100" s="436"/>
      <c r="X100" s="436"/>
      <c r="Y100" s="427" t="s">
        <v>276</v>
      </c>
      <c r="Z100" s="427"/>
      <c r="AA100" s="427"/>
      <c r="AB100" s="427"/>
      <c r="AC100" s="428"/>
      <c r="AD100" s="428">
        <f>SUM(AD101:AD107)</f>
        <v>613000</v>
      </c>
      <c r="AE100" s="429" t="s">
        <v>25</v>
      </c>
    </row>
    <row r="101" spans="1:32" s="11" customFormat="1" ht="21" customHeight="1">
      <c r="A101" s="45"/>
      <c r="B101" s="46"/>
      <c r="C101" s="46"/>
      <c r="D101" s="159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576" t="s">
        <v>365</v>
      </c>
      <c r="P101" s="491"/>
      <c r="Q101" s="491"/>
      <c r="R101" s="491"/>
      <c r="S101" s="470"/>
      <c r="T101" s="136"/>
      <c r="U101" s="492"/>
      <c r="V101" s="396">
        <v>100000</v>
      </c>
      <c r="W101" s="397" t="s">
        <v>57</v>
      </c>
      <c r="X101" s="397" t="s">
        <v>26</v>
      </c>
      <c r="Y101" s="396">
        <v>1</v>
      </c>
      <c r="Z101" s="398" t="s">
        <v>370</v>
      </c>
      <c r="AA101" s="396" t="s">
        <v>27</v>
      </c>
      <c r="AB101" s="575" t="s">
        <v>536</v>
      </c>
      <c r="AC101" s="575"/>
      <c r="AD101" s="575">
        <f t="shared" ref="AD101" si="10">V101*Y101</f>
        <v>100000</v>
      </c>
      <c r="AE101" s="137" t="s">
        <v>57</v>
      </c>
      <c r="AF101" s="1"/>
    </row>
    <row r="102" spans="1:32" s="11" customFormat="1" ht="21" customHeight="1">
      <c r="A102" s="45"/>
      <c r="B102" s="46"/>
      <c r="C102" s="46"/>
      <c r="D102" s="159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90" t="s">
        <v>366</v>
      </c>
      <c r="P102" s="438"/>
      <c r="Q102" s="438"/>
      <c r="R102" s="438"/>
      <c r="S102" s="290"/>
      <c r="T102" s="291"/>
      <c r="U102" s="437"/>
      <c r="V102" s="396">
        <v>20000</v>
      </c>
      <c r="W102" s="397" t="s">
        <v>57</v>
      </c>
      <c r="X102" s="397" t="s">
        <v>26</v>
      </c>
      <c r="Y102" s="396">
        <v>1</v>
      </c>
      <c r="Z102" s="398" t="s">
        <v>370</v>
      </c>
      <c r="AA102" s="396" t="s">
        <v>27</v>
      </c>
      <c r="AB102" s="575" t="s">
        <v>536</v>
      </c>
      <c r="AC102" s="575"/>
      <c r="AD102" s="575">
        <f t="shared" ref="AD102" si="11">V102*Y102</f>
        <v>20000</v>
      </c>
      <c r="AE102" s="137" t="s">
        <v>57</v>
      </c>
      <c r="AF102" s="1"/>
    </row>
    <row r="103" spans="1:32" s="11" customFormat="1" ht="21" customHeight="1">
      <c r="A103" s="45"/>
      <c r="B103" s="46"/>
      <c r="C103" s="46"/>
      <c r="D103" s="159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290" t="s">
        <v>367</v>
      </c>
      <c r="P103" s="438"/>
      <c r="Q103" s="438"/>
      <c r="R103" s="438"/>
      <c r="S103" s="290"/>
      <c r="T103" s="291"/>
      <c r="U103" s="437"/>
      <c r="V103" s="396">
        <v>30000</v>
      </c>
      <c r="W103" s="397" t="s">
        <v>57</v>
      </c>
      <c r="X103" s="397" t="s">
        <v>26</v>
      </c>
      <c r="Y103" s="396">
        <v>1</v>
      </c>
      <c r="Z103" s="398" t="s">
        <v>370</v>
      </c>
      <c r="AA103" s="396" t="s">
        <v>27</v>
      </c>
      <c r="AB103" s="575" t="s">
        <v>536</v>
      </c>
      <c r="AC103" s="575"/>
      <c r="AD103" s="575">
        <f t="shared" ref="AD103" si="12">V103*Y103</f>
        <v>30000</v>
      </c>
      <c r="AE103" s="137" t="s">
        <v>57</v>
      </c>
      <c r="AF103" s="1"/>
    </row>
    <row r="104" spans="1:32" s="11" customFormat="1" ht="21" customHeight="1">
      <c r="A104" s="45"/>
      <c r="B104" s="46"/>
      <c r="C104" s="46"/>
      <c r="D104" s="159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290" t="s">
        <v>368</v>
      </c>
      <c r="P104" s="438"/>
      <c r="Q104" s="438"/>
      <c r="R104" s="438"/>
      <c r="S104" s="290"/>
      <c r="T104" s="291"/>
      <c r="U104" s="437"/>
      <c r="V104" s="396">
        <v>30000</v>
      </c>
      <c r="W104" s="397" t="s">
        <v>57</v>
      </c>
      <c r="X104" s="397" t="s">
        <v>26</v>
      </c>
      <c r="Y104" s="396">
        <v>0</v>
      </c>
      <c r="Z104" s="398" t="s">
        <v>370</v>
      </c>
      <c r="AA104" s="396" t="s">
        <v>27</v>
      </c>
      <c r="AB104" s="575" t="s">
        <v>84</v>
      </c>
      <c r="AC104" s="575"/>
      <c r="AD104" s="575">
        <f t="shared" ref="AD104" si="13">V104*Y104</f>
        <v>0</v>
      </c>
      <c r="AE104" s="137" t="s">
        <v>57</v>
      </c>
      <c r="AF104" s="1"/>
    </row>
    <row r="105" spans="1:32" s="11" customFormat="1" ht="21" customHeight="1">
      <c r="A105" s="45"/>
      <c r="B105" s="46"/>
      <c r="C105" s="46"/>
      <c r="D105" s="159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90" t="s">
        <v>369</v>
      </c>
      <c r="P105" s="438"/>
      <c r="Q105" s="438"/>
      <c r="R105" s="438"/>
      <c r="S105" s="575">
        <v>755710</v>
      </c>
      <c r="T105" s="383" t="s">
        <v>57</v>
      </c>
      <c r="U105" s="383" t="s">
        <v>26</v>
      </c>
      <c r="V105" s="575">
        <v>1</v>
      </c>
      <c r="W105" s="576" t="s">
        <v>70</v>
      </c>
      <c r="X105" s="420" t="s">
        <v>69</v>
      </c>
      <c r="Y105" s="480">
        <v>3</v>
      </c>
      <c r="Z105" s="575"/>
      <c r="AA105" s="575" t="s">
        <v>27</v>
      </c>
      <c r="AB105" s="575" t="s">
        <v>84</v>
      </c>
      <c r="AC105" s="575"/>
      <c r="AD105" s="575">
        <f>ROUNDDOWN(S105*V105/Y105,-4)</f>
        <v>250000</v>
      </c>
      <c r="AE105" s="137" t="s">
        <v>57</v>
      </c>
      <c r="AF105" s="1"/>
    </row>
    <row r="106" spans="1:32" s="11" customFormat="1" ht="21" customHeight="1">
      <c r="A106" s="45"/>
      <c r="B106" s="46"/>
      <c r="C106" s="46"/>
      <c r="D106" s="159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90" t="s">
        <v>431</v>
      </c>
      <c r="P106" s="438"/>
      <c r="Q106" s="438"/>
      <c r="R106" s="438"/>
      <c r="S106" s="290"/>
      <c r="T106" s="291"/>
      <c r="U106" s="437"/>
      <c r="V106" s="396"/>
      <c r="W106" s="397"/>
      <c r="X106" s="397"/>
      <c r="Y106" s="396"/>
      <c r="Z106" s="398"/>
      <c r="AA106" s="396" t="s">
        <v>27</v>
      </c>
      <c r="AB106" s="575" t="s">
        <v>363</v>
      </c>
      <c r="AC106" s="575"/>
      <c r="AD106" s="575">
        <v>213000</v>
      </c>
      <c r="AE106" s="137" t="s">
        <v>57</v>
      </c>
      <c r="AF106" s="1"/>
    </row>
    <row r="107" spans="1:32" s="11" customFormat="1" ht="21" customHeight="1">
      <c r="A107" s="45"/>
      <c r="B107" s="46"/>
      <c r="C107" s="46"/>
      <c r="D107" s="159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126"/>
      <c r="P107" s="127"/>
      <c r="Q107" s="127"/>
      <c r="R107" s="127"/>
      <c r="S107" s="127"/>
      <c r="T107" s="127"/>
      <c r="U107" s="127"/>
      <c r="V107" s="127"/>
      <c r="W107" s="127"/>
      <c r="X107" s="127"/>
      <c r="Y107" s="75"/>
      <c r="Z107" s="75"/>
      <c r="AA107" s="75"/>
      <c r="AB107" s="75"/>
      <c r="AC107" s="75"/>
      <c r="AD107" s="51"/>
      <c r="AE107" s="57"/>
      <c r="AF107" s="1"/>
    </row>
    <row r="108" spans="1:32" s="11" customFormat="1" ht="21" customHeight="1">
      <c r="A108" s="45"/>
      <c r="B108" s="46"/>
      <c r="C108" s="36" t="s">
        <v>45</v>
      </c>
      <c r="D108" s="161">
        <v>600</v>
      </c>
      <c r="E108" s="114">
        <f>SUM(F108:L108)</f>
        <v>700</v>
      </c>
      <c r="F108" s="114">
        <f>SUMIF($AB$109:$AB$111,"보조",$AD$109:$AD$111)/1000</f>
        <v>200</v>
      </c>
      <c r="G108" s="114">
        <f>SUMIF($AB$109:$AB$111,"7종",$AD$109:$AD$111)/1000</f>
        <v>0</v>
      </c>
      <c r="H108" s="114">
        <f>SUMIF($AB$109:$AB$111,"시비",$AD$109:$AD$111)/1000</f>
        <v>0</v>
      </c>
      <c r="I108" s="114">
        <f>SUMIF($AB$109:$AB$111,"후원",$AD$109:$AD$111)/1000</f>
        <v>0</v>
      </c>
      <c r="J108" s="114">
        <f>SUMIF($AB$109:$AB$111,"입소",$AD$109:$AD$111)/1000</f>
        <v>500</v>
      </c>
      <c r="K108" s="114">
        <f>SUMIF($AB$109:$AB$111,"법인",$AD$109:$AD$111)/1000</f>
        <v>0</v>
      </c>
      <c r="L108" s="114">
        <f>SUMIF($AB$109:$AB$111,"잡수",$AD$109:$AD$111)/1000</f>
        <v>0</v>
      </c>
      <c r="M108" s="113">
        <f>E108-D108</f>
        <v>100</v>
      </c>
      <c r="N108" s="121">
        <f>IF(D108=0,0,M108/D108)</f>
        <v>0.16666666666666666</v>
      </c>
      <c r="O108" s="97" t="s">
        <v>46</v>
      </c>
      <c r="P108" s="93"/>
      <c r="Q108" s="93"/>
      <c r="R108" s="93"/>
      <c r="S108" s="93"/>
      <c r="T108" s="89"/>
      <c r="U108" s="89"/>
      <c r="V108" s="89"/>
      <c r="W108" s="89"/>
      <c r="X108" s="89"/>
      <c r="Y108" s="177" t="s">
        <v>141</v>
      </c>
      <c r="Z108" s="177"/>
      <c r="AA108" s="177"/>
      <c r="AB108" s="177"/>
      <c r="AC108" s="179"/>
      <c r="AD108" s="179">
        <f>SUM(AD109:AD110)</f>
        <v>700000</v>
      </c>
      <c r="AE108" s="178" t="s">
        <v>25</v>
      </c>
      <c r="AF108" s="1"/>
    </row>
    <row r="109" spans="1:32" s="11" customFormat="1" ht="21" customHeight="1">
      <c r="A109" s="45"/>
      <c r="B109" s="46"/>
      <c r="C109" s="46"/>
      <c r="D109" s="11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576" t="s">
        <v>372</v>
      </c>
      <c r="P109" s="470"/>
      <c r="Q109" s="470"/>
      <c r="R109" s="470"/>
      <c r="S109" s="469">
        <v>50000</v>
      </c>
      <c r="T109" s="383" t="s">
        <v>311</v>
      </c>
      <c r="U109" s="383" t="s">
        <v>26</v>
      </c>
      <c r="V109" s="469">
        <v>4</v>
      </c>
      <c r="W109" s="470" t="s">
        <v>314</v>
      </c>
      <c r="X109" s="469" t="s">
        <v>27</v>
      </c>
      <c r="Y109" s="469"/>
      <c r="Z109" s="469"/>
      <c r="AA109" s="469"/>
      <c r="AB109" s="469" t="s">
        <v>317</v>
      </c>
      <c r="AC109" s="469"/>
      <c r="AD109" s="469">
        <f>S109*V109</f>
        <v>200000</v>
      </c>
      <c r="AE109" s="137" t="s">
        <v>25</v>
      </c>
      <c r="AF109" s="1"/>
    </row>
    <row r="110" spans="1:32" s="11" customFormat="1" ht="21" customHeight="1">
      <c r="A110" s="45"/>
      <c r="B110" s="46"/>
      <c r="C110" s="46"/>
      <c r="D110" s="11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576" t="s">
        <v>373</v>
      </c>
      <c r="P110" s="470"/>
      <c r="Q110" s="470"/>
      <c r="R110" s="470"/>
      <c r="S110" s="469">
        <v>50000</v>
      </c>
      <c r="T110" s="383" t="s">
        <v>308</v>
      </c>
      <c r="U110" s="383" t="s">
        <v>26</v>
      </c>
      <c r="V110" s="469">
        <v>10</v>
      </c>
      <c r="W110" s="470" t="s">
        <v>319</v>
      </c>
      <c r="X110" s="469" t="s">
        <v>27</v>
      </c>
      <c r="Y110" s="469"/>
      <c r="Z110" s="469"/>
      <c r="AA110" s="469"/>
      <c r="AB110" s="575" t="s">
        <v>363</v>
      </c>
      <c r="AC110" s="469"/>
      <c r="AD110" s="469">
        <f>S110*V110</f>
        <v>500000</v>
      </c>
      <c r="AE110" s="137" t="s">
        <v>25</v>
      </c>
      <c r="AF110" s="1"/>
    </row>
    <row r="111" spans="1:32" s="11" customFormat="1" ht="21" customHeight="1">
      <c r="A111" s="45"/>
      <c r="B111" s="46"/>
      <c r="C111" s="59"/>
      <c r="D111" s="128"/>
      <c r="E111" s="111"/>
      <c r="F111" s="111"/>
      <c r="G111" s="111"/>
      <c r="H111" s="111"/>
      <c r="I111" s="111"/>
      <c r="J111" s="111"/>
      <c r="K111" s="111"/>
      <c r="L111" s="111"/>
      <c r="M111" s="111"/>
      <c r="N111" s="84"/>
      <c r="O111" s="375"/>
      <c r="P111" s="375"/>
      <c r="Q111" s="375"/>
      <c r="R111" s="375"/>
      <c r="S111" s="487"/>
      <c r="T111" s="493"/>
      <c r="U111" s="487"/>
      <c r="V111" s="665"/>
      <c r="W111" s="666"/>
      <c r="X111" s="487"/>
      <c r="Y111" s="487"/>
      <c r="Z111" s="487"/>
      <c r="AA111" s="487"/>
      <c r="AB111" s="487"/>
      <c r="AC111" s="487"/>
      <c r="AD111" s="487"/>
      <c r="AE111" s="494"/>
      <c r="AF111" s="1"/>
    </row>
    <row r="112" spans="1:32" s="11" customFormat="1" ht="21" customHeight="1">
      <c r="A112" s="45"/>
      <c r="B112" s="46"/>
      <c r="C112" s="36" t="s">
        <v>85</v>
      </c>
      <c r="D112" s="129">
        <v>100</v>
      </c>
      <c r="E112" s="114">
        <f>SUM(F112:L112)</f>
        <v>100</v>
      </c>
      <c r="F112" s="114">
        <f>SUMIF($AB$113:$AB$115,"보조",$AD$113:$AD$115)/1000</f>
        <v>0</v>
      </c>
      <c r="G112" s="114">
        <f>SUMIF($AB$113:$AB$115,"7종",$AD$113:$AD$115)/1000</f>
        <v>0</v>
      </c>
      <c r="H112" s="114">
        <f>SUMIF($AB$113:$AB$115,"시비",$AD$113:$AD$115)/1000</f>
        <v>0</v>
      </c>
      <c r="I112" s="114">
        <f>SUMIF($AB$113:$AB$115,"후원",$AD$113:$AD$115)/1000</f>
        <v>0</v>
      </c>
      <c r="J112" s="114">
        <f>SUMIF($AB$113:$AB$115,"입소",$AD$113:$AD$115)/1000</f>
        <v>100</v>
      </c>
      <c r="K112" s="114">
        <f>SUMIF($AB$113:$AB$115,"법인",$AD$113:$AD$115)/1000</f>
        <v>0</v>
      </c>
      <c r="L112" s="114">
        <f>SUMIF($AB$113:$AB$115,"잡수",$AD$113:$AD$115)/1000</f>
        <v>0</v>
      </c>
      <c r="M112" s="113">
        <f>E112-D112</f>
        <v>0</v>
      </c>
      <c r="N112" s="121">
        <f>IF(D112=0,0,M112/D112)</f>
        <v>0</v>
      </c>
      <c r="O112" s="116" t="s">
        <v>86</v>
      </c>
      <c r="P112" s="93"/>
      <c r="Q112" s="93"/>
      <c r="R112" s="93"/>
      <c r="S112" s="93"/>
      <c r="T112" s="89"/>
      <c r="U112" s="89"/>
      <c r="V112" s="89"/>
      <c r="W112" s="89"/>
      <c r="X112" s="89"/>
      <c r="Y112" s="177" t="s">
        <v>141</v>
      </c>
      <c r="Z112" s="177"/>
      <c r="AA112" s="177"/>
      <c r="AB112" s="177"/>
      <c r="AC112" s="179"/>
      <c r="AD112" s="179">
        <f>SUM(AD113:AD114)</f>
        <v>100000</v>
      </c>
      <c r="AE112" s="178" t="s">
        <v>25</v>
      </c>
      <c r="AF112" s="1"/>
    </row>
    <row r="113" spans="1:32" s="11" customFormat="1" ht="20.25" customHeight="1">
      <c r="A113" s="45"/>
      <c r="B113" s="46"/>
      <c r="C113" s="46"/>
      <c r="D113" s="13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290" t="s">
        <v>371</v>
      </c>
      <c r="P113" s="290"/>
      <c r="Q113" s="290"/>
      <c r="R113" s="290"/>
      <c r="S113" s="288">
        <v>0</v>
      </c>
      <c r="T113" s="288" t="s">
        <v>272</v>
      </c>
      <c r="U113" s="419" t="s">
        <v>279</v>
      </c>
      <c r="V113" s="288">
        <v>1</v>
      </c>
      <c r="W113" s="288" t="s">
        <v>277</v>
      </c>
      <c r="X113" s="419"/>
      <c r="Y113" s="288"/>
      <c r="Z113" s="288"/>
      <c r="AA113" s="288" t="s">
        <v>275</v>
      </c>
      <c r="AB113" s="288" t="s">
        <v>324</v>
      </c>
      <c r="AC113" s="291"/>
      <c r="AD113" s="136">
        <f>S113*V113</f>
        <v>0</v>
      </c>
      <c r="AE113" s="389" t="s">
        <v>272</v>
      </c>
      <c r="AF113" s="2"/>
    </row>
    <row r="114" spans="1:32" s="11" customFormat="1" ht="20.25" customHeight="1">
      <c r="A114" s="45"/>
      <c r="B114" s="46"/>
      <c r="C114" s="46"/>
      <c r="D114" s="13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290"/>
      <c r="P114" s="290"/>
      <c r="Q114" s="290"/>
      <c r="R114" s="290"/>
      <c r="S114" s="288">
        <v>50000</v>
      </c>
      <c r="T114" s="288" t="s">
        <v>57</v>
      </c>
      <c r="U114" s="419" t="s">
        <v>58</v>
      </c>
      <c r="V114" s="288">
        <v>2</v>
      </c>
      <c r="W114" s="288" t="s">
        <v>56</v>
      </c>
      <c r="X114" s="419"/>
      <c r="Y114" s="288"/>
      <c r="Z114" s="288"/>
      <c r="AA114" s="288" t="s">
        <v>230</v>
      </c>
      <c r="AB114" s="288" t="s">
        <v>363</v>
      </c>
      <c r="AC114" s="291"/>
      <c r="AD114" s="136">
        <f>S114*V114</f>
        <v>100000</v>
      </c>
      <c r="AE114" s="389" t="s">
        <v>57</v>
      </c>
      <c r="AF114" s="2"/>
    </row>
    <row r="115" spans="1:32" s="11" customFormat="1" ht="21" customHeight="1">
      <c r="A115" s="45"/>
      <c r="B115" s="46"/>
      <c r="C115" s="47"/>
      <c r="D115" s="159"/>
      <c r="E115" s="109"/>
      <c r="F115" s="109"/>
      <c r="G115" s="109"/>
      <c r="H115" s="109"/>
      <c r="I115" s="109"/>
      <c r="J115" s="109"/>
      <c r="K115" s="109"/>
      <c r="L115" s="109"/>
      <c r="M115" s="109"/>
      <c r="N115" s="84"/>
      <c r="O115" s="154"/>
      <c r="P115" s="81"/>
      <c r="Q115" s="81"/>
      <c r="R115" s="81"/>
      <c r="S115" s="80"/>
      <c r="T115" s="81"/>
      <c r="U115" s="80"/>
      <c r="V115" s="131"/>
      <c r="W115" s="131"/>
      <c r="X115" s="80"/>
      <c r="Y115" s="80"/>
      <c r="Z115" s="80"/>
      <c r="AA115" s="80"/>
      <c r="AB115" s="80"/>
      <c r="AC115" s="80"/>
      <c r="AD115" s="80"/>
      <c r="AE115" s="73"/>
      <c r="AF115" s="2"/>
    </row>
    <row r="116" spans="1:32" s="11" customFormat="1" ht="21" customHeight="1">
      <c r="A116" s="112" t="s">
        <v>47</v>
      </c>
      <c r="B116" s="683" t="s">
        <v>20</v>
      </c>
      <c r="C116" s="683"/>
      <c r="D116" s="195">
        <f>D117</f>
        <v>1500</v>
      </c>
      <c r="E116" s="195">
        <f>E117</f>
        <v>2500</v>
      </c>
      <c r="F116" s="195">
        <f t="shared" ref="F116:L116" si="14">F117</f>
        <v>0</v>
      </c>
      <c r="G116" s="195">
        <f t="shared" si="14"/>
        <v>2000</v>
      </c>
      <c r="H116" s="195">
        <f t="shared" si="14"/>
        <v>0</v>
      </c>
      <c r="I116" s="195">
        <f t="shared" si="14"/>
        <v>0</v>
      </c>
      <c r="J116" s="195">
        <f t="shared" si="14"/>
        <v>500</v>
      </c>
      <c r="K116" s="195">
        <f t="shared" si="14"/>
        <v>0</v>
      </c>
      <c r="L116" s="195">
        <f t="shared" si="14"/>
        <v>0</v>
      </c>
      <c r="M116" s="195">
        <f>E116-D116</f>
        <v>1000</v>
      </c>
      <c r="N116" s="171">
        <f>IF(D116=0,0,M116/D116)</f>
        <v>0.66666666666666663</v>
      </c>
      <c r="O116" s="186" t="s">
        <v>145</v>
      </c>
      <c r="P116" s="32"/>
      <c r="Q116" s="32"/>
      <c r="R116" s="32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>
        <f>AD117</f>
        <v>2500000</v>
      </c>
      <c r="AE116" s="34" t="s">
        <v>25</v>
      </c>
      <c r="AF116" s="2"/>
    </row>
    <row r="117" spans="1:32" s="11" customFormat="1" ht="21" customHeight="1">
      <c r="A117" s="194" t="s">
        <v>152</v>
      </c>
      <c r="B117" s="46" t="s">
        <v>17</v>
      </c>
      <c r="C117" s="46" t="s">
        <v>146</v>
      </c>
      <c r="D117" s="109">
        <f t="shared" ref="D117:L117" si="15">SUM(D118,D121,D125)</f>
        <v>1500</v>
      </c>
      <c r="E117" s="109">
        <f t="shared" si="15"/>
        <v>2500</v>
      </c>
      <c r="F117" s="109">
        <f t="shared" si="15"/>
        <v>0</v>
      </c>
      <c r="G117" s="109">
        <f t="shared" si="15"/>
        <v>2000</v>
      </c>
      <c r="H117" s="109">
        <f t="shared" si="15"/>
        <v>0</v>
      </c>
      <c r="I117" s="109">
        <f t="shared" si="15"/>
        <v>0</v>
      </c>
      <c r="J117" s="109">
        <f t="shared" si="15"/>
        <v>500</v>
      </c>
      <c r="K117" s="109">
        <f t="shared" si="15"/>
        <v>0</v>
      </c>
      <c r="L117" s="109">
        <f t="shared" si="15"/>
        <v>0</v>
      </c>
      <c r="M117" s="109">
        <f>E117-D117</f>
        <v>1000</v>
      </c>
      <c r="N117" s="70">
        <f>IF(D117=0,0,M117/D117)</f>
        <v>0.66666666666666663</v>
      </c>
      <c r="O117" s="190" t="s">
        <v>147</v>
      </c>
      <c r="P117" s="93"/>
      <c r="Q117" s="93"/>
      <c r="R117" s="93"/>
      <c r="S117" s="93"/>
      <c r="T117" s="89"/>
      <c r="U117" s="89"/>
      <c r="V117" s="89"/>
      <c r="W117" s="89"/>
      <c r="X117" s="89"/>
      <c r="Y117" s="89"/>
      <c r="Z117" s="89"/>
      <c r="AA117" s="89"/>
      <c r="AB117" s="89"/>
      <c r="AC117" s="94"/>
      <c r="AD117" s="94">
        <f>SUM(AD118,AD121,AD125)</f>
        <v>2500000</v>
      </c>
      <c r="AE117" s="95" t="s">
        <v>25</v>
      </c>
      <c r="AF117" s="1"/>
    </row>
    <row r="118" spans="1:32" s="11" customFormat="1" ht="21" customHeight="1">
      <c r="A118" s="45"/>
      <c r="B118" s="46"/>
      <c r="C118" s="36" t="s">
        <v>147</v>
      </c>
      <c r="D118" s="192">
        <v>0</v>
      </c>
      <c r="E118" s="114">
        <f>SUM(F118:L118)</f>
        <v>0</v>
      </c>
      <c r="F118" s="114">
        <f>SUMIF($AB$119:$AB$120,"보조",$AD$119:$AD$120)/1000</f>
        <v>0</v>
      </c>
      <c r="G118" s="114">
        <f>SUMIF($AB$119:$AB$120,"7종",$AD$119:$AD$120)/1000</f>
        <v>0</v>
      </c>
      <c r="H118" s="114">
        <f>SUMIF($AB$119:$AB$120,"시비",$AD$119:$AD$120)/1000</f>
        <v>0</v>
      </c>
      <c r="I118" s="114">
        <f>SUMIF($AB$119:$AB$120,"후원",$AD$119:$AD$120)/1000</f>
        <v>0</v>
      </c>
      <c r="J118" s="114">
        <f>SUMIF($AB$119:$AB$120,"입소",$AD$119:$AD$120)/1000</f>
        <v>0</v>
      </c>
      <c r="K118" s="114">
        <f>SUMIF($AB$119:$AB$120,"법인",$AD$119:$AD$120)/1000</f>
        <v>0</v>
      </c>
      <c r="L118" s="114">
        <f>SUMIF($AB$119:$AB$120,"잡수",$AD$119:$AD$120)/1000</f>
        <v>0</v>
      </c>
      <c r="M118" s="192">
        <f>E118-D118</f>
        <v>0</v>
      </c>
      <c r="N118" s="193">
        <f>IF(D118=0,0,M118/D118)</f>
        <v>0</v>
      </c>
      <c r="O118" s="97" t="s">
        <v>48</v>
      </c>
      <c r="P118" s="190"/>
      <c r="Q118" s="190"/>
      <c r="R118" s="190"/>
      <c r="S118" s="190"/>
      <c r="T118" s="189"/>
      <c r="U118" s="189"/>
      <c r="V118" s="189"/>
      <c r="W118" s="189"/>
      <c r="X118" s="189"/>
      <c r="Y118" s="177" t="s">
        <v>141</v>
      </c>
      <c r="Z118" s="177"/>
      <c r="AA118" s="177"/>
      <c r="AB118" s="177"/>
      <c r="AC118" s="179"/>
      <c r="AD118" s="179">
        <f>SUM(AD119:AD119)</f>
        <v>0</v>
      </c>
      <c r="AE118" s="178" t="s">
        <v>25</v>
      </c>
      <c r="AF118" s="1"/>
    </row>
    <row r="119" spans="1:32" s="11" customFormat="1" ht="21" customHeight="1">
      <c r="A119" s="45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184" t="s">
        <v>374</v>
      </c>
      <c r="P119" s="144"/>
      <c r="Q119" s="144"/>
      <c r="R119" s="144"/>
      <c r="S119" s="144"/>
      <c r="T119" s="143"/>
      <c r="U119" s="143"/>
      <c r="V119" s="143"/>
      <c r="W119" s="143"/>
      <c r="X119" s="143"/>
      <c r="Y119" s="143"/>
      <c r="Z119" s="143"/>
      <c r="AA119" s="143"/>
      <c r="AB119" s="145"/>
      <c r="AC119" s="52"/>
      <c r="AD119" s="291">
        <v>0</v>
      </c>
      <c r="AE119" s="57" t="s">
        <v>125</v>
      </c>
      <c r="AF119" s="2"/>
    </row>
    <row r="120" spans="1:32" s="11" customFormat="1" ht="21" customHeight="1">
      <c r="A120" s="45"/>
      <c r="B120" s="46"/>
      <c r="C120" s="46"/>
      <c r="D120" s="159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32"/>
      <c r="AE120" s="124"/>
      <c r="AF120" s="2"/>
    </row>
    <row r="121" spans="1:32" s="11" customFormat="1" ht="21" customHeight="1">
      <c r="A121" s="45"/>
      <c r="B121" s="46"/>
      <c r="C121" s="36" t="s">
        <v>18</v>
      </c>
      <c r="D121" s="161">
        <v>1100</v>
      </c>
      <c r="E121" s="114">
        <f>SUM(F121:L121)</f>
        <v>2100</v>
      </c>
      <c r="F121" s="114">
        <f>SUMIF($AB$122:$AB$124,"보조",$AD$122:$AD$124)/1000</f>
        <v>0</v>
      </c>
      <c r="G121" s="114">
        <f>SUMIF($AB$122:$AB$124,"7종",$AD$122:$AD$124)/1000</f>
        <v>2000</v>
      </c>
      <c r="H121" s="114">
        <f>SUMIF($AB$122:$AB$124,"시비",$AD$122:$AD$124)/1000</f>
        <v>0</v>
      </c>
      <c r="I121" s="114">
        <f>SUMIF($AB$122:$AB$124,"후원",$AD$122:$AD$124)/1000</f>
        <v>0</v>
      </c>
      <c r="J121" s="114">
        <f>SUMIF($AB$122:$AB$124,"입소",$AD$122:$AD$124)/1000</f>
        <v>100</v>
      </c>
      <c r="K121" s="114">
        <f>SUMIF($AB$122:$AB$124,"법인",$AD$122:$AD$124)/1000</f>
        <v>0</v>
      </c>
      <c r="L121" s="114">
        <f>SUMIF($AB$122:$AB$124,"잡수",$AD$122:$AD$124)/1000</f>
        <v>0</v>
      </c>
      <c r="M121" s="113">
        <f>E121-D121</f>
        <v>1000</v>
      </c>
      <c r="N121" s="121">
        <f>IF(D121=0,0,M121/D121)</f>
        <v>0.90909090909090906</v>
      </c>
      <c r="O121" s="97" t="s">
        <v>49</v>
      </c>
      <c r="P121" s="93"/>
      <c r="Q121" s="93"/>
      <c r="R121" s="93"/>
      <c r="S121" s="93"/>
      <c r="T121" s="89"/>
      <c r="U121" s="89"/>
      <c r="V121" s="89"/>
      <c r="W121" s="89"/>
      <c r="X121" s="89"/>
      <c r="Y121" s="177" t="s">
        <v>141</v>
      </c>
      <c r="Z121" s="177"/>
      <c r="AA121" s="177"/>
      <c r="AB121" s="177"/>
      <c r="AC121" s="179"/>
      <c r="AD121" s="179">
        <f>SUM(AD122:AD123)</f>
        <v>2100000</v>
      </c>
      <c r="AE121" s="178" t="s">
        <v>25</v>
      </c>
      <c r="AF121" s="1"/>
    </row>
    <row r="122" spans="1:32" s="11" customFormat="1" ht="21" customHeight="1">
      <c r="A122" s="45"/>
      <c r="B122" s="46"/>
      <c r="C122" s="46"/>
      <c r="D122" s="11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76" t="s">
        <v>537</v>
      </c>
      <c r="P122" s="576"/>
      <c r="Q122" s="576"/>
      <c r="R122" s="576"/>
      <c r="S122" s="575"/>
      <c r="T122" s="383"/>
      <c r="U122" s="383"/>
      <c r="V122" s="575"/>
      <c r="W122" s="576"/>
      <c r="X122" s="575"/>
      <c r="Y122" s="575"/>
      <c r="Z122" s="575"/>
      <c r="AA122" s="575"/>
      <c r="AB122" s="575" t="s">
        <v>618</v>
      </c>
      <c r="AC122" s="575"/>
      <c r="AD122" s="575">
        <v>2000000</v>
      </c>
      <c r="AE122" s="137" t="s">
        <v>25</v>
      </c>
      <c r="AF122" s="2"/>
    </row>
    <row r="123" spans="1:32" s="11" customFormat="1" ht="21" customHeight="1">
      <c r="A123" s="45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576" t="s">
        <v>375</v>
      </c>
      <c r="P123" s="576"/>
      <c r="Q123" s="576"/>
      <c r="R123" s="576"/>
      <c r="S123" s="575"/>
      <c r="T123" s="383"/>
      <c r="U123" s="383"/>
      <c r="V123" s="575"/>
      <c r="W123" s="576"/>
      <c r="X123" s="575"/>
      <c r="Y123" s="575"/>
      <c r="Z123" s="575"/>
      <c r="AA123" s="575"/>
      <c r="AB123" s="575" t="s">
        <v>278</v>
      </c>
      <c r="AC123" s="575"/>
      <c r="AD123" s="575">
        <v>100000</v>
      </c>
      <c r="AE123" s="137" t="s">
        <v>57</v>
      </c>
      <c r="AF123" s="2"/>
    </row>
    <row r="124" spans="1:32" s="11" customFormat="1" ht="21" customHeight="1">
      <c r="A124" s="45"/>
      <c r="B124" s="46"/>
      <c r="C124" s="46"/>
      <c r="D124" s="11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156"/>
      <c r="P124" s="50"/>
      <c r="Q124" s="50"/>
      <c r="R124" s="50"/>
      <c r="S124" s="51"/>
      <c r="T124" s="117"/>
      <c r="U124" s="55"/>
      <c r="V124" s="68"/>
      <c r="W124" s="68"/>
      <c r="X124" s="51"/>
      <c r="Y124" s="51"/>
      <c r="Z124" s="51"/>
      <c r="AA124" s="51"/>
      <c r="AB124" s="51"/>
      <c r="AC124" s="51"/>
      <c r="AD124" s="51"/>
      <c r="AE124" s="57"/>
      <c r="AF124" s="2"/>
    </row>
    <row r="125" spans="1:32" s="11" customFormat="1" ht="21" customHeight="1">
      <c r="A125" s="45"/>
      <c r="B125" s="46"/>
      <c r="C125" s="36" t="s">
        <v>50</v>
      </c>
      <c r="D125" s="161">
        <v>400</v>
      </c>
      <c r="E125" s="114">
        <f>SUM(F125:L125)</f>
        <v>400</v>
      </c>
      <c r="F125" s="114">
        <f>SUMIF($AB$126:$AB$128,"보조",$AD$126:$AD$128)/1000</f>
        <v>0</v>
      </c>
      <c r="G125" s="114">
        <f>SUMIF($AB$126:$AB$128,"7종",$AD$126:$AD$128)/1000</f>
        <v>0</v>
      </c>
      <c r="H125" s="114">
        <f>SUMIF($AB$126:$AB$128,"시비",$AD$126:$AD$128)/1000</f>
        <v>0</v>
      </c>
      <c r="I125" s="114">
        <f>SUMIF($AB$126:$AB$128,"후원",$AD$126:$AD$128)/1000</f>
        <v>0</v>
      </c>
      <c r="J125" s="114">
        <f>SUMIF($AB$126:$AB$128,"입소",$AD$126:$AD$128)/1000</f>
        <v>400</v>
      </c>
      <c r="K125" s="114">
        <f>SUMIF($AB$126:$AB$128,"법인",$AD$126:$AD$128)/1000</f>
        <v>0</v>
      </c>
      <c r="L125" s="114">
        <f>SUMIF($AB$126:$AB$128,"잡수",$AD$126:$AD$128)/1000</f>
        <v>0</v>
      </c>
      <c r="M125" s="113">
        <f>E125-D125</f>
        <v>0</v>
      </c>
      <c r="N125" s="121">
        <f>IF(D125=0,0,M125/D125)</f>
        <v>0</v>
      </c>
      <c r="O125" s="97" t="s">
        <v>51</v>
      </c>
      <c r="P125" s="93"/>
      <c r="Q125" s="93"/>
      <c r="R125" s="93"/>
      <c r="S125" s="93"/>
      <c r="T125" s="89"/>
      <c r="U125" s="89"/>
      <c r="V125" s="89"/>
      <c r="W125" s="89"/>
      <c r="X125" s="89"/>
      <c r="Y125" s="177" t="s">
        <v>141</v>
      </c>
      <c r="Z125" s="177"/>
      <c r="AA125" s="177"/>
      <c r="AB125" s="177"/>
      <c r="AC125" s="179"/>
      <c r="AD125" s="179">
        <f>SUM(AD126:AD127)</f>
        <v>400000</v>
      </c>
      <c r="AE125" s="178" t="s">
        <v>25</v>
      </c>
      <c r="AF125" s="1"/>
    </row>
    <row r="126" spans="1:32" s="1" customFormat="1" ht="21" customHeight="1">
      <c r="A126" s="45"/>
      <c r="B126" s="46"/>
      <c r="C126" s="46" t="s">
        <v>157</v>
      </c>
      <c r="D126" s="159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576" t="s">
        <v>537</v>
      </c>
      <c r="P126" s="470"/>
      <c r="Q126" s="470"/>
      <c r="R126" s="470"/>
      <c r="S126" s="469"/>
      <c r="T126" s="383"/>
      <c r="U126" s="383"/>
      <c r="V126" s="469"/>
      <c r="W126" s="470"/>
      <c r="X126" s="469"/>
      <c r="Y126" s="469"/>
      <c r="Z126" s="469"/>
      <c r="AA126" s="469"/>
      <c r="AB126" s="469" t="s">
        <v>317</v>
      </c>
      <c r="AC126" s="469"/>
      <c r="AD126" s="469">
        <v>0</v>
      </c>
      <c r="AE126" s="137" t="s">
        <v>25</v>
      </c>
      <c r="AF126" s="2"/>
    </row>
    <row r="127" spans="1:32" s="1" customFormat="1" ht="21" customHeight="1">
      <c r="A127" s="45"/>
      <c r="B127" s="46"/>
      <c r="C127" s="46"/>
      <c r="D127" s="159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576" t="s">
        <v>375</v>
      </c>
      <c r="P127" s="470"/>
      <c r="Q127" s="470"/>
      <c r="R127" s="470"/>
      <c r="S127" s="469"/>
      <c r="T127" s="383"/>
      <c r="U127" s="383"/>
      <c r="V127" s="469"/>
      <c r="W127" s="470"/>
      <c r="X127" s="469"/>
      <c r="Y127" s="469"/>
      <c r="Z127" s="469"/>
      <c r="AA127" s="469"/>
      <c r="AB127" s="575" t="s">
        <v>561</v>
      </c>
      <c r="AC127" s="469"/>
      <c r="AD127" s="469">
        <v>400000</v>
      </c>
      <c r="AE127" s="137" t="s">
        <v>308</v>
      </c>
      <c r="AF127" s="2"/>
    </row>
    <row r="128" spans="1:32" s="1" customFormat="1" ht="21" customHeight="1">
      <c r="A128" s="45"/>
      <c r="B128" s="46"/>
      <c r="C128" s="46"/>
      <c r="D128" s="159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156"/>
      <c r="P128" s="50"/>
      <c r="Q128" s="50"/>
      <c r="R128" s="50"/>
      <c r="S128" s="51"/>
      <c r="T128" s="55"/>
      <c r="U128" s="55"/>
      <c r="V128" s="51"/>
      <c r="W128" s="50"/>
      <c r="X128" s="51"/>
      <c r="Y128" s="51"/>
      <c r="Z128" s="51"/>
      <c r="AA128" s="51"/>
      <c r="AB128" s="125"/>
      <c r="AC128" s="51"/>
      <c r="AD128" s="51"/>
      <c r="AE128" s="57"/>
      <c r="AF128" s="2"/>
    </row>
    <row r="129" spans="1:32" s="11" customFormat="1" ht="21" customHeight="1">
      <c r="A129" s="196" t="s">
        <v>19</v>
      </c>
      <c r="B129" s="681" t="s">
        <v>20</v>
      </c>
      <c r="C129" s="682"/>
      <c r="D129" s="197">
        <f t="shared" ref="D129:L129" si="16">SUM(D130,D158)</f>
        <v>19635</v>
      </c>
      <c r="E129" s="197">
        <f t="shared" si="16"/>
        <v>20583</v>
      </c>
      <c r="F129" s="197">
        <f t="shared" si="16"/>
        <v>10803</v>
      </c>
      <c r="G129" s="197">
        <f t="shared" si="16"/>
        <v>0</v>
      </c>
      <c r="H129" s="197">
        <f t="shared" si="16"/>
        <v>0</v>
      </c>
      <c r="I129" s="197">
        <f t="shared" si="16"/>
        <v>1234</v>
      </c>
      <c r="J129" s="197">
        <f t="shared" si="16"/>
        <v>8261</v>
      </c>
      <c r="K129" s="197">
        <f t="shared" si="16"/>
        <v>285</v>
      </c>
      <c r="L129" s="197">
        <f t="shared" si="16"/>
        <v>0</v>
      </c>
      <c r="M129" s="197">
        <f>SUM(M130,M140,M144,M148,M154)</f>
        <v>1013</v>
      </c>
      <c r="N129" s="198">
        <f>IF(D129=0,0,M129/D129)</f>
        <v>5.159154570919277E-2</v>
      </c>
      <c r="O129" s="190" t="s">
        <v>149</v>
      </c>
      <c r="P129" s="93"/>
      <c r="Q129" s="93"/>
      <c r="R129" s="93"/>
      <c r="S129" s="93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>
        <f>SUM(AD130,AD158)</f>
        <v>20583000</v>
      </c>
      <c r="AE129" s="95" t="s">
        <v>25</v>
      </c>
      <c r="AF129" s="13"/>
    </row>
    <row r="130" spans="1:32" s="11" customFormat="1" ht="21" customHeight="1">
      <c r="A130" s="46"/>
      <c r="B130" s="36" t="s">
        <v>90</v>
      </c>
      <c r="C130" s="36" t="s">
        <v>150</v>
      </c>
      <c r="D130" s="113">
        <f t="shared" ref="D130:L130" si="17">SUM(D131,D140,D144,D148,D154)</f>
        <v>13885</v>
      </c>
      <c r="E130" s="113">
        <f t="shared" si="17"/>
        <v>14833</v>
      </c>
      <c r="F130" s="113">
        <f t="shared" si="17"/>
        <v>10803</v>
      </c>
      <c r="G130" s="113">
        <f t="shared" si="17"/>
        <v>0</v>
      </c>
      <c r="H130" s="113">
        <f t="shared" si="17"/>
        <v>0</v>
      </c>
      <c r="I130" s="113">
        <f t="shared" si="17"/>
        <v>634</v>
      </c>
      <c r="J130" s="113">
        <f t="shared" si="17"/>
        <v>3111</v>
      </c>
      <c r="K130" s="113">
        <f t="shared" si="17"/>
        <v>285</v>
      </c>
      <c r="L130" s="113">
        <f t="shared" si="17"/>
        <v>0</v>
      </c>
      <c r="M130" s="113">
        <f>E130-D130</f>
        <v>948</v>
      </c>
      <c r="N130" s="121">
        <f>IF(D130=0,0,M130/D130)</f>
        <v>6.8275117032769173E-2</v>
      </c>
      <c r="O130" s="93"/>
      <c r="P130" s="93"/>
      <c r="Q130" s="93"/>
      <c r="R130" s="93"/>
      <c r="S130" s="93"/>
      <c r="T130" s="89"/>
      <c r="U130" s="89"/>
      <c r="V130" s="89"/>
      <c r="W130" s="89"/>
      <c r="X130" s="89"/>
      <c r="Y130" s="89" t="s">
        <v>28</v>
      </c>
      <c r="Z130" s="89"/>
      <c r="AA130" s="89"/>
      <c r="AB130" s="89"/>
      <c r="AC130" s="94"/>
      <c r="AD130" s="94">
        <f>SUM(AD131,AD140,AD144,AD148,AD154)</f>
        <v>14833000</v>
      </c>
      <c r="AE130" s="95" t="s">
        <v>25</v>
      </c>
      <c r="AF130" s="1"/>
    </row>
    <row r="131" spans="1:32" s="11" customFormat="1" ht="21" customHeight="1">
      <c r="A131" s="46"/>
      <c r="B131" s="46"/>
      <c r="C131" s="36" t="s">
        <v>59</v>
      </c>
      <c r="D131" s="161">
        <v>10763</v>
      </c>
      <c r="E131" s="114">
        <f>SUM(F131:L131)</f>
        <v>11646</v>
      </c>
      <c r="F131" s="114">
        <f>SUMIF($AB$132:$AB$139,"보조",$AD$132:$AD$139)/1000</f>
        <v>9628</v>
      </c>
      <c r="G131" s="114">
        <f>SUMIF($AB$132:$AB$139,"7종",$AD$132:$AD$139)/1000</f>
        <v>0</v>
      </c>
      <c r="H131" s="114">
        <f>SUMIF($AB$132:$AB$139,"시비",$AD$132:$AD$139)/1000</f>
        <v>0</v>
      </c>
      <c r="I131" s="114">
        <f>SUMIF($AB$132:$AB$139,"후원",$AD$132:$AD$139)/1000</f>
        <v>634</v>
      </c>
      <c r="J131" s="114">
        <f>SUMIF($AB$132:$AB$139,"입소",$AD$132:$AD$139)/1000</f>
        <v>1099</v>
      </c>
      <c r="K131" s="114">
        <f>SUMIF($AB$132:$AB$139,"법인",$AD$132:$AD$139)/1000</f>
        <v>285</v>
      </c>
      <c r="L131" s="114">
        <f>SUMIF($AB$132:$AB$139,"잡수",$AD$132:$AD$139)/1000</f>
        <v>0</v>
      </c>
      <c r="M131" s="113">
        <f>E131-D131</f>
        <v>883</v>
      </c>
      <c r="N131" s="121">
        <f>IF(D131=0,0,M131/D131)</f>
        <v>8.2040323329926598E-2</v>
      </c>
      <c r="O131" s="97" t="s">
        <v>91</v>
      </c>
      <c r="P131" s="190"/>
      <c r="Q131" s="190"/>
      <c r="R131" s="190"/>
      <c r="S131" s="190"/>
      <c r="T131" s="189"/>
      <c r="U131" s="189"/>
      <c r="V131" s="189"/>
      <c r="W131" s="189"/>
      <c r="X131" s="189"/>
      <c r="Y131" s="177" t="s">
        <v>141</v>
      </c>
      <c r="Z131" s="177"/>
      <c r="AA131" s="177"/>
      <c r="AB131" s="177"/>
      <c r="AC131" s="179"/>
      <c r="AD131" s="179">
        <f>ROUND(SUM(AD132:AD138),-3)</f>
        <v>11646000</v>
      </c>
      <c r="AE131" s="178" t="s">
        <v>25</v>
      </c>
      <c r="AF131" s="1"/>
    </row>
    <row r="132" spans="1:32" s="11" customFormat="1" ht="21" customHeight="1">
      <c r="A132" s="46"/>
      <c r="B132" s="46"/>
      <c r="C132" s="46"/>
      <c r="D132" s="11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576" t="s">
        <v>376</v>
      </c>
      <c r="P132" s="470"/>
      <c r="Q132" s="469"/>
      <c r="R132" s="469"/>
      <c r="S132" s="469">
        <v>182000</v>
      </c>
      <c r="T132" s="469" t="s">
        <v>311</v>
      </c>
      <c r="U132" s="383" t="s">
        <v>312</v>
      </c>
      <c r="V132" s="469">
        <v>12</v>
      </c>
      <c r="W132" s="469" t="s">
        <v>314</v>
      </c>
      <c r="X132" s="383" t="s">
        <v>312</v>
      </c>
      <c r="Y132" s="469">
        <v>4</v>
      </c>
      <c r="Z132" s="469" t="s">
        <v>313</v>
      </c>
      <c r="AA132" s="377" t="s">
        <v>315</v>
      </c>
      <c r="AB132" s="469" t="s">
        <v>317</v>
      </c>
      <c r="AC132" s="136"/>
      <c r="AD132" s="136">
        <f>S132*V132*Y132</f>
        <v>8736000</v>
      </c>
      <c r="AE132" s="137" t="s">
        <v>25</v>
      </c>
      <c r="AF132" s="2"/>
    </row>
    <row r="133" spans="1:32" s="11" customFormat="1" ht="21" customHeight="1">
      <c r="A133" s="46"/>
      <c r="B133" s="46"/>
      <c r="C133" s="46"/>
      <c r="D133" s="11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76" t="s">
        <v>430</v>
      </c>
      <c r="P133" s="576"/>
      <c r="Q133" s="575"/>
      <c r="R133" s="575"/>
      <c r="S133" s="575">
        <v>100000</v>
      </c>
      <c r="T133" s="383" t="s">
        <v>57</v>
      </c>
      <c r="U133" s="383" t="s">
        <v>26</v>
      </c>
      <c r="V133" s="575">
        <v>9</v>
      </c>
      <c r="W133" s="576" t="s">
        <v>0</v>
      </c>
      <c r="X133" s="575"/>
      <c r="Y133" s="575"/>
      <c r="Z133" s="575"/>
      <c r="AA133" s="575" t="s">
        <v>435</v>
      </c>
      <c r="AB133" s="575" t="s">
        <v>84</v>
      </c>
      <c r="AC133" s="575"/>
      <c r="AD133" s="575">
        <f>S133*V133-8000</f>
        <v>892000</v>
      </c>
      <c r="AE133" s="137" t="s">
        <v>25</v>
      </c>
      <c r="AF133" s="2"/>
    </row>
    <row r="134" spans="1:32" s="11" customFormat="1" ht="21" customHeight="1">
      <c r="A134" s="46"/>
      <c r="B134" s="46"/>
      <c r="C134" s="46"/>
      <c r="D134" s="11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76" t="s">
        <v>377</v>
      </c>
      <c r="P134" s="470"/>
      <c r="Q134" s="470"/>
      <c r="R134" s="470"/>
      <c r="S134" s="469"/>
      <c r="T134" s="469"/>
      <c r="U134" s="383"/>
      <c r="V134" s="469"/>
      <c r="W134" s="469"/>
      <c r="X134" s="383"/>
      <c r="Y134" s="469"/>
      <c r="Z134" s="469"/>
      <c r="AA134" s="377"/>
      <c r="AB134" s="469" t="s">
        <v>318</v>
      </c>
      <c r="AC134" s="136"/>
      <c r="AD134" s="136">
        <v>1099000</v>
      </c>
      <c r="AE134" s="137" t="s">
        <v>25</v>
      </c>
      <c r="AF134" s="2"/>
    </row>
    <row r="135" spans="1:32" s="11" customFormat="1" ht="21" customHeight="1">
      <c r="A135" s="46"/>
      <c r="B135" s="46"/>
      <c r="C135" s="46"/>
      <c r="D135" s="11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576" t="s">
        <v>377</v>
      </c>
      <c r="P135" s="576"/>
      <c r="Q135" s="576"/>
      <c r="R135" s="576"/>
      <c r="S135" s="575"/>
      <c r="T135" s="575"/>
      <c r="U135" s="383"/>
      <c r="V135" s="575"/>
      <c r="W135" s="575"/>
      <c r="X135" s="383"/>
      <c r="Y135" s="575"/>
      <c r="Z135" s="575"/>
      <c r="AA135" s="377"/>
      <c r="AB135" s="575" t="s">
        <v>380</v>
      </c>
      <c r="AC135" s="136"/>
      <c r="AD135" s="136">
        <v>334000</v>
      </c>
      <c r="AE135" s="137" t="s">
        <v>381</v>
      </c>
      <c r="AF135" s="2"/>
    </row>
    <row r="136" spans="1:32" s="11" customFormat="1" ht="21" customHeight="1">
      <c r="A136" s="46"/>
      <c r="B136" s="46"/>
      <c r="C136" s="46"/>
      <c r="D136" s="11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576" t="s">
        <v>377</v>
      </c>
      <c r="P136" s="576"/>
      <c r="Q136" s="576"/>
      <c r="R136" s="576"/>
      <c r="S136" s="575"/>
      <c r="T136" s="575"/>
      <c r="U136" s="383"/>
      <c r="V136" s="575"/>
      <c r="W136" s="575"/>
      <c r="X136" s="383"/>
      <c r="Y136" s="575"/>
      <c r="Z136" s="575"/>
      <c r="AA136" s="377"/>
      <c r="AB136" s="575" t="s">
        <v>382</v>
      </c>
      <c r="AC136" s="136"/>
      <c r="AD136" s="136">
        <v>0</v>
      </c>
      <c r="AE136" s="137" t="s">
        <v>381</v>
      </c>
      <c r="AF136" s="2"/>
    </row>
    <row r="137" spans="1:32" s="11" customFormat="1" ht="21" customHeight="1">
      <c r="A137" s="46"/>
      <c r="B137" s="46"/>
      <c r="C137" s="46"/>
      <c r="D137" s="11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576" t="s">
        <v>377</v>
      </c>
      <c r="P137" s="576"/>
      <c r="Q137" s="576"/>
      <c r="R137" s="576"/>
      <c r="S137" s="575"/>
      <c r="T137" s="575"/>
      <c r="U137" s="383"/>
      <c r="V137" s="575"/>
      <c r="W137" s="575"/>
      <c r="X137" s="383"/>
      <c r="Y137" s="575"/>
      <c r="Z137" s="575"/>
      <c r="AA137" s="377"/>
      <c r="AB137" s="575" t="s">
        <v>383</v>
      </c>
      <c r="AC137" s="136"/>
      <c r="AD137" s="136">
        <v>285000</v>
      </c>
      <c r="AE137" s="137" t="s">
        <v>381</v>
      </c>
      <c r="AF137" s="2"/>
    </row>
    <row r="138" spans="1:32" s="11" customFormat="1" ht="21" customHeight="1">
      <c r="A138" s="46"/>
      <c r="B138" s="46"/>
      <c r="C138" s="46"/>
      <c r="D138" s="11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576" t="s">
        <v>378</v>
      </c>
      <c r="P138" s="470"/>
      <c r="Q138" s="469"/>
      <c r="R138" s="469"/>
      <c r="S138" s="469"/>
      <c r="T138" s="469"/>
      <c r="U138" s="383"/>
      <c r="V138" s="469"/>
      <c r="W138" s="469"/>
      <c r="X138" s="383"/>
      <c r="Y138" s="469"/>
      <c r="Z138" s="469"/>
      <c r="AA138" s="377" t="s">
        <v>309</v>
      </c>
      <c r="AB138" s="575" t="s">
        <v>379</v>
      </c>
      <c r="AC138" s="136"/>
      <c r="AD138" s="136">
        <v>300000</v>
      </c>
      <c r="AE138" s="137" t="s">
        <v>25</v>
      </c>
      <c r="AF138" s="2"/>
    </row>
    <row r="139" spans="1:32" s="11" customFormat="1" ht="21" customHeight="1">
      <c r="A139" s="46"/>
      <c r="B139" s="46"/>
      <c r="C139" s="59"/>
      <c r="D139" s="160"/>
      <c r="E139" s="111"/>
      <c r="F139" s="111"/>
      <c r="G139" s="111"/>
      <c r="H139" s="111"/>
      <c r="I139" s="111"/>
      <c r="J139" s="111"/>
      <c r="K139" s="111"/>
      <c r="L139" s="111"/>
      <c r="M139" s="111"/>
      <c r="N139" s="84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32"/>
      <c r="AE139" s="124"/>
      <c r="AF139" s="2"/>
    </row>
    <row r="140" spans="1:32" s="11" customFormat="1" ht="21" customHeight="1">
      <c r="A140" s="46"/>
      <c r="B140" s="46"/>
      <c r="C140" s="46" t="s">
        <v>92</v>
      </c>
      <c r="D140" s="159">
        <v>1252</v>
      </c>
      <c r="E140" s="114">
        <f>SUM(F140:L140)</f>
        <v>1317</v>
      </c>
      <c r="F140" s="114">
        <f>SUMIF($AB$141:$AB$143,"보조",$AD$141:$AD$143)/1000</f>
        <v>565</v>
      </c>
      <c r="G140" s="114">
        <f>SUMIF($AB$141:$AB$143,"7종",$AD$141:$AD$143)/1000</f>
        <v>0</v>
      </c>
      <c r="H140" s="114">
        <f>SUMIF($AB$141:$AB$143,"시비",$AD$141:$AD$143)/1000</f>
        <v>0</v>
      </c>
      <c r="I140" s="114">
        <f>SUMIF($AB$141:$AB$143,"후원",$AD$141:$AD$143)/1000</f>
        <v>0</v>
      </c>
      <c r="J140" s="114">
        <f>SUMIF($AB$141:$AB$143,"입소",$AD$141:$AD$143)/1000</f>
        <v>752</v>
      </c>
      <c r="K140" s="114">
        <f>SUMIF($AB$141:$AB$143,"법인",$AD$141:$AD$143)/1000</f>
        <v>0</v>
      </c>
      <c r="L140" s="114">
        <f>SUMIF($AB$141:$AB$143,"잡수",$AD$141:$AD$143)/1000</f>
        <v>0</v>
      </c>
      <c r="M140" s="109">
        <f>E140-D140</f>
        <v>65</v>
      </c>
      <c r="N140" s="70">
        <f>IF(D140=0,0,M140/D140)</f>
        <v>5.1916932907348244E-2</v>
      </c>
      <c r="O140" s="97" t="s">
        <v>93</v>
      </c>
      <c r="P140" s="93"/>
      <c r="Q140" s="93"/>
      <c r="R140" s="93"/>
      <c r="S140" s="93"/>
      <c r="T140" s="89"/>
      <c r="U140" s="89"/>
      <c r="V140" s="89"/>
      <c r="W140" s="89"/>
      <c r="X140" s="89"/>
      <c r="Y140" s="177" t="s">
        <v>141</v>
      </c>
      <c r="Z140" s="177"/>
      <c r="AA140" s="177"/>
      <c r="AB140" s="177"/>
      <c r="AC140" s="179"/>
      <c r="AD140" s="179">
        <f>ROUND(SUM(AD141:AD143),-3)</f>
        <v>1317000</v>
      </c>
      <c r="AE140" s="178" t="s">
        <v>25</v>
      </c>
      <c r="AF140" s="1"/>
    </row>
    <row r="141" spans="1:32" s="11" customFormat="1" ht="21" customHeight="1">
      <c r="A141" s="46"/>
      <c r="B141" s="46"/>
      <c r="C141" s="46" t="s">
        <v>151</v>
      </c>
      <c r="D141" s="159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76" t="s">
        <v>535</v>
      </c>
      <c r="P141" s="470"/>
      <c r="Q141" s="470"/>
      <c r="R141" s="470"/>
      <c r="S141" s="469"/>
      <c r="T141" s="383"/>
      <c r="U141" s="383"/>
      <c r="V141" s="469"/>
      <c r="W141" s="469"/>
      <c r="X141" s="469"/>
      <c r="Y141" s="469"/>
      <c r="Z141" s="469"/>
      <c r="AA141" s="469"/>
      <c r="AB141" s="469" t="s">
        <v>310</v>
      </c>
      <c r="AC141" s="469"/>
      <c r="AD141" s="469">
        <v>565000</v>
      </c>
      <c r="AE141" s="137" t="s">
        <v>308</v>
      </c>
      <c r="AF141" s="2"/>
    </row>
    <row r="142" spans="1:32" s="11" customFormat="1" ht="21" customHeight="1">
      <c r="A142" s="46"/>
      <c r="B142" s="46"/>
      <c r="C142" s="46"/>
      <c r="D142" s="159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576" t="s">
        <v>387</v>
      </c>
      <c r="P142" s="470"/>
      <c r="Q142" s="470"/>
      <c r="R142" s="470"/>
      <c r="S142" s="469"/>
      <c r="T142" s="383"/>
      <c r="U142" s="383"/>
      <c r="V142" s="469"/>
      <c r="W142" s="469"/>
      <c r="X142" s="469"/>
      <c r="Y142" s="469"/>
      <c r="Z142" s="469"/>
      <c r="AA142" s="469"/>
      <c r="AB142" s="575" t="s">
        <v>533</v>
      </c>
      <c r="AC142" s="469"/>
      <c r="AD142" s="469">
        <v>752000</v>
      </c>
      <c r="AE142" s="137" t="s">
        <v>308</v>
      </c>
      <c r="AF142" s="2"/>
    </row>
    <row r="143" spans="1:32" s="11" customFormat="1" ht="21" customHeight="1">
      <c r="A143" s="46"/>
      <c r="B143" s="46"/>
      <c r="C143" s="46"/>
      <c r="D143" s="159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292"/>
      <c r="P143" s="292"/>
      <c r="Q143" s="292"/>
      <c r="R143" s="292"/>
      <c r="S143" s="385"/>
      <c r="T143" s="386"/>
      <c r="U143" s="365"/>
      <c r="V143" s="387"/>
      <c r="W143" s="385"/>
      <c r="X143" s="385"/>
      <c r="Y143" s="385"/>
      <c r="Z143" s="385"/>
      <c r="AA143" s="385"/>
      <c r="AB143" s="385"/>
      <c r="AC143" s="385"/>
      <c r="AD143" s="385"/>
      <c r="AE143" s="388"/>
      <c r="AF143" s="1"/>
    </row>
    <row r="144" spans="1:32" s="11" customFormat="1" ht="21" customHeight="1">
      <c r="A144" s="46"/>
      <c r="B144" s="46"/>
      <c r="C144" s="36" t="s">
        <v>87</v>
      </c>
      <c r="D144" s="161">
        <v>1200</v>
      </c>
      <c r="E144" s="114">
        <f>SUM(F144:L144)</f>
        <v>1200</v>
      </c>
      <c r="F144" s="114">
        <f>SUMIF($AB$145:$AB$147,"보조",$AD$145:$AD$147)/1000</f>
        <v>440</v>
      </c>
      <c r="G144" s="114">
        <f>SUMIF($AB$145:$AB$147,"7종",$AD$145:$AD$147)/1000</f>
        <v>0</v>
      </c>
      <c r="H144" s="114">
        <f>SUMIF($AB$145:$AB$147,"시비",$AD$145:$AD$147)/1000</f>
        <v>0</v>
      </c>
      <c r="I144" s="114">
        <f>SUMIF($AB$145:$AB$147,"후원",$AD$145:$AD$147)/1000</f>
        <v>0</v>
      </c>
      <c r="J144" s="114">
        <f>SUMIF($AB$145:$AB$147,"입소",$AD$145:$AD$147)/1000</f>
        <v>760</v>
      </c>
      <c r="K144" s="114">
        <f>SUMIF($AB$145:$AB$147,"법인",$AD$145:$AD$147)/1000</f>
        <v>0</v>
      </c>
      <c r="L144" s="114">
        <f>SUMIF($AB$145:$AB$147,"잡수",$AD$145:$AD$147)/1000</f>
        <v>0</v>
      </c>
      <c r="M144" s="113">
        <f>E144-D144</f>
        <v>0</v>
      </c>
      <c r="N144" s="121">
        <f>IF(D144=0,0,M144/D144)</f>
        <v>0</v>
      </c>
      <c r="O144" s="97" t="s">
        <v>136</v>
      </c>
      <c r="P144" s="176"/>
      <c r="Q144" s="93"/>
      <c r="R144" s="93"/>
      <c r="S144" s="93"/>
      <c r="T144" s="89"/>
      <c r="U144" s="89"/>
      <c r="V144" s="89"/>
      <c r="W144" s="189"/>
      <c r="X144" s="189"/>
      <c r="Y144" s="177" t="s">
        <v>141</v>
      </c>
      <c r="Z144" s="177"/>
      <c r="AA144" s="177"/>
      <c r="AB144" s="177"/>
      <c r="AC144" s="179"/>
      <c r="AD144" s="179">
        <f>SUM(AD145:AD147)</f>
        <v>1200000</v>
      </c>
      <c r="AE144" s="178" t="s">
        <v>25</v>
      </c>
      <c r="AF144" s="1"/>
    </row>
    <row r="145" spans="1:32" s="11" customFormat="1" ht="21" customHeight="1">
      <c r="A145" s="46"/>
      <c r="B145" s="46"/>
      <c r="C145" s="46"/>
      <c r="D145" s="11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568" t="s">
        <v>351</v>
      </c>
      <c r="P145" s="470"/>
      <c r="Q145" s="469"/>
      <c r="R145" s="469"/>
      <c r="S145" s="469">
        <v>110000</v>
      </c>
      <c r="T145" s="469" t="s">
        <v>311</v>
      </c>
      <c r="U145" s="470" t="s">
        <v>312</v>
      </c>
      <c r="V145" s="567">
        <v>4</v>
      </c>
      <c r="W145" s="567" t="s">
        <v>56</v>
      </c>
      <c r="X145" s="470"/>
      <c r="Y145" s="469"/>
      <c r="Z145" s="469"/>
      <c r="AA145" s="469" t="s">
        <v>315</v>
      </c>
      <c r="AB145" s="567" t="s">
        <v>352</v>
      </c>
      <c r="AC145" s="136"/>
      <c r="AD145" s="136">
        <f>S145*V145</f>
        <v>440000</v>
      </c>
      <c r="AE145" s="137" t="s">
        <v>25</v>
      </c>
      <c r="AF145" s="1"/>
    </row>
    <row r="146" spans="1:32" s="11" customFormat="1" ht="21" customHeight="1">
      <c r="A146" s="46"/>
      <c r="B146" s="46"/>
      <c r="C146" s="46"/>
      <c r="D146" s="11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576"/>
      <c r="P146" s="576"/>
      <c r="Q146" s="575"/>
      <c r="R146" s="575"/>
      <c r="S146" s="575">
        <v>190000</v>
      </c>
      <c r="T146" s="575" t="s">
        <v>57</v>
      </c>
      <c r="U146" s="576" t="s">
        <v>58</v>
      </c>
      <c r="V146" s="575">
        <v>4</v>
      </c>
      <c r="W146" s="575" t="s">
        <v>56</v>
      </c>
      <c r="X146" s="576"/>
      <c r="Y146" s="575"/>
      <c r="Z146" s="575"/>
      <c r="AA146" s="575" t="s">
        <v>53</v>
      </c>
      <c r="AB146" s="575" t="s">
        <v>561</v>
      </c>
      <c r="AC146" s="136"/>
      <c r="AD146" s="136">
        <f>S146*V146</f>
        <v>760000</v>
      </c>
      <c r="AE146" s="137" t="s">
        <v>25</v>
      </c>
      <c r="AF146" s="1"/>
    </row>
    <row r="147" spans="1:32" s="11" customFormat="1" ht="21" customHeight="1">
      <c r="A147" s="46"/>
      <c r="B147" s="46"/>
      <c r="C147" s="46"/>
      <c r="D147" s="159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470"/>
      <c r="P147" s="470"/>
      <c r="Q147" s="469"/>
      <c r="R147" s="469"/>
      <c r="S147" s="469"/>
      <c r="T147" s="469"/>
      <c r="U147" s="470"/>
      <c r="V147" s="469"/>
      <c r="W147" s="469"/>
      <c r="X147" s="470"/>
      <c r="Y147" s="469"/>
      <c r="Z147" s="469"/>
      <c r="AA147" s="469"/>
      <c r="AB147" s="469"/>
      <c r="AC147" s="136"/>
      <c r="AD147" s="136"/>
      <c r="AE147" s="137"/>
      <c r="AF147" s="1"/>
    </row>
    <row r="148" spans="1:32" s="11" customFormat="1" ht="21" customHeight="1">
      <c r="A148" s="46"/>
      <c r="B148" s="46"/>
      <c r="C148" s="36" t="s">
        <v>88</v>
      </c>
      <c r="D148" s="161">
        <v>460</v>
      </c>
      <c r="E148" s="114">
        <f>SUM(F148:L148)</f>
        <v>460</v>
      </c>
      <c r="F148" s="114">
        <f>SUMIF($AB$149:$AB$153,"보조",$AD$149:$AD$153)/1000</f>
        <v>160</v>
      </c>
      <c r="G148" s="114">
        <f>SUMIF($AB$149:$AB$153,"7종",$AD$149:$AD$153)/1000</f>
        <v>0</v>
      </c>
      <c r="H148" s="114">
        <f>SUMIF($AB$149:$AB$153,"시비",$AD$149:$AD$153)/1000</f>
        <v>0</v>
      </c>
      <c r="I148" s="114">
        <f>SUMIF($AB$149:$AB$153,"후원",$AD$149:$AD$153)/1000</f>
        <v>0</v>
      </c>
      <c r="J148" s="114">
        <f>SUMIF($AB$149:$AB$153,"입소",$AD$149:$AD$153)/1000</f>
        <v>300</v>
      </c>
      <c r="K148" s="114">
        <f>SUMIF($AB$149:$AB$153,"법인",$AD$149:$AD$153)/1000</f>
        <v>0</v>
      </c>
      <c r="L148" s="114">
        <f>SUMIF($AB$149:$AB$153,"잡수",$AD$149:$AD$153)/1000</f>
        <v>0</v>
      </c>
      <c r="M148" s="113">
        <f>E148-D148</f>
        <v>0</v>
      </c>
      <c r="N148" s="121">
        <f>IF(D148=0,0,M148/D148)</f>
        <v>0</v>
      </c>
      <c r="O148" s="97" t="s">
        <v>137</v>
      </c>
      <c r="P148" s="176"/>
      <c r="Q148" s="181"/>
      <c r="R148" s="181"/>
      <c r="S148" s="181"/>
      <c r="T148" s="180"/>
      <c r="U148" s="180"/>
      <c r="V148" s="180"/>
      <c r="W148" s="189"/>
      <c r="X148" s="189"/>
      <c r="Y148" s="177" t="s">
        <v>141</v>
      </c>
      <c r="Z148" s="177"/>
      <c r="AA148" s="177"/>
      <c r="AB148" s="177"/>
      <c r="AC148" s="179"/>
      <c r="AD148" s="179">
        <f>SUM(AD149:AD152)</f>
        <v>460000</v>
      </c>
      <c r="AE148" s="178" t="s">
        <v>25</v>
      </c>
      <c r="AF148" s="1"/>
    </row>
    <row r="149" spans="1:32" s="14" customFormat="1" ht="21" customHeight="1">
      <c r="A149" s="46"/>
      <c r="B149" s="46"/>
      <c r="C149" s="46"/>
      <c r="D149" s="159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568" t="s">
        <v>353</v>
      </c>
      <c r="P149" s="470"/>
      <c r="Q149" s="469"/>
      <c r="R149" s="469"/>
      <c r="S149" s="469">
        <v>40000</v>
      </c>
      <c r="T149" s="469" t="s">
        <v>311</v>
      </c>
      <c r="U149" s="470" t="s">
        <v>312</v>
      </c>
      <c r="V149" s="469">
        <v>1</v>
      </c>
      <c r="W149" s="469" t="s">
        <v>316</v>
      </c>
      <c r="X149" s="470" t="s">
        <v>312</v>
      </c>
      <c r="Y149" s="469">
        <v>4</v>
      </c>
      <c r="Z149" s="469" t="s">
        <v>313</v>
      </c>
      <c r="AA149" s="469" t="s">
        <v>315</v>
      </c>
      <c r="AB149" s="469" t="s">
        <v>317</v>
      </c>
      <c r="AC149" s="136"/>
      <c r="AD149" s="136">
        <f>S149*V149*Y149</f>
        <v>160000</v>
      </c>
      <c r="AE149" s="137" t="s">
        <v>25</v>
      </c>
      <c r="AF149" s="5"/>
    </row>
    <row r="150" spans="1:32" s="14" customFormat="1" ht="21" customHeight="1">
      <c r="A150" s="46"/>
      <c r="B150" s="46"/>
      <c r="C150" s="46"/>
      <c r="D150" s="159"/>
      <c r="E150" s="109"/>
      <c r="F150" s="109"/>
      <c r="G150" s="109"/>
      <c r="H150" s="109"/>
      <c r="I150" s="109"/>
      <c r="J150" s="109"/>
      <c r="K150" s="109"/>
      <c r="L150" s="109"/>
      <c r="M150" s="109"/>
      <c r="N150" s="289"/>
      <c r="O150" s="371" t="s">
        <v>354</v>
      </c>
      <c r="P150" s="470"/>
      <c r="Q150" s="470"/>
      <c r="R150" s="470"/>
      <c r="S150" s="469"/>
      <c r="T150" s="469"/>
      <c r="U150" s="470"/>
      <c r="V150" s="469"/>
      <c r="W150" s="469"/>
      <c r="X150" s="470"/>
      <c r="Y150" s="384"/>
      <c r="Z150" s="377"/>
      <c r="AA150" s="377"/>
      <c r="AB150" s="567" t="s">
        <v>355</v>
      </c>
      <c r="AC150" s="136"/>
      <c r="AD150" s="469">
        <v>200000</v>
      </c>
      <c r="AE150" s="137" t="s">
        <v>311</v>
      </c>
      <c r="AF150" s="5"/>
    </row>
    <row r="151" spans="1:32" s="14" customFormat="1" ht="21" customHeight="1">
      <c r="A151" s="46"/>
      <c r="B151" s="46"/>
      <c r="C151" s="46"/>
      <c r="D151" s="159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568" t="s">
        <v>356</v>
      </c>
      <c r="P151" s="568"/>
      <c r="Q151" s="568"/>
      <c r="R151" s="568"/>
      <c r="S151" s="567">
        <v>20000</v>
      </c>
      <c r="T151" s="567" t="s">
        <v>57</v>
      </c>
      <c r="U151" s="568" t="s">
        <v>58</v>
      </c>
      <c r="V151" s="567">
        <v>0</v>
      </c>
      <c r="W151" s="567" t="s">
        <v>56</v>
      </c>
      <c r="X151" s="568" t="s">
        <v>58</v>
      </c>
      <c r="Y151" s="384">
        <v>1</v>
      </c>
      <c r="Z151" s="377" t="s">
        <v>70</v>
      </c>
      <c r="AA151" s="377" t="s">
        <v>53</v>
      </c>
      <c r="AB151" s="567" t="s">
        <v>355</v>
      </c>
      <c r="AC151" s="136"/>
      <c r="AD151" s="567">
        <f>S151*V151*Y151</f>
        <v>0</v>
      </c>
      <c r="AE151" s="137" t="s">
        <v>57</v>
      </c>
      <c r="AF151" s="5"/>
    </row>
    <row r="152" spans="1:32" s="14" customFormat="1" ht="21" customHeight="1">
      <c r="A152" s="46"/>
      <c r="B152" s="46"/>
      <c r="C152" s="46"/>
      <c r="D152" s="159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568" t="s">
        <v>357</v>
      </c>
      <c r="P152" s="470"/>
      <c r="Q152" s="470"/>
      <c r="R152" s="470"/>
      <c r="S152" s="469"/>
      <c r="T152" s="469"/>
      <c r="U152" s="470"/>
      <c r="V152" s="469"/>
      <c r="W152" s="469"/>
      <c r="X152" s="470"/>
      <c r="Y152" s="496"/>
      <c r="Z152" s="484"/>
      <c r="AA152" s="498"/>
      <c r="AB152" s="567" t="s">
        <v>355</v>
      </c>
      <c r="AC152" s="469"/>
      <c r="AD152" s="469">
        <v>100000</v>
      </c>
      <c r="AE152" s="137" t="s">
        <v>308</v>
      </c>
      <c r="AF152" s="5"/>
    </row>
    <row r="153" spans="1:32" s="11" customFormat="1" ht="21" customHeight="1">
      <c r="A153" s="46"/>
      <c r="B153" s="46"/>
      <c r="C153" s="59"/>
      <c r="D153" s="160"/>
      <c r="E153" s="166"/>
      <c r="F153" s="166"/>
      <c r="G153" s="166"/>
      <c r="H153" s="166"/>
      <c r="I153" s="166"/>
      <c r="J153" s="166"/>
      <c r="K153" s="166"/>
      <c r="L153" s="166"/>
      <c r="M153" s="133"/>
      <c r="N153" s="84"/>
      <c r="O153" s="499"/>
      <c r="P153" s="499"/>
      <c r="Q153" s="499"/>
      <c r="R153" s="499"/>
      <c r="S153" s="499"/>
      <c r="T153" s="134"/>
      <c r="U153" s="469"/>
      <c r="V153" s="377"/>
      <c r="W153" s="469"/>
      <c r="X153" s="469"/>
      <c r="Y153" s="469"/>
      <c r="Z153" s="469"/>
      <c r="AA153" s="469"/>
      <c r="AB153" s="469"/>
      <c r="AC153" s="469"/>
      <c r="AD153" s="469"/>
      <c r="AE153" s="137"/>
      <c r="AF153" s="1"/>
    </row>
    <row r="154" spans="1:32" s="11" customFormat="1" ht="21" customHeight="1">
      <c r="A154" s="46"/>
      <c r="B154" s="46"/>
      <c r="C154" s="46" t="s">
        <v>89</v>
      </c>
      <c r="D154" s="130">
        <v>210</v>
      </c>
      <c r="E154" s="114">
        <f>SUM(F154:L154)</f>
        <v>210</v>
      </c>
      <c r="F154" s="114">
        <f>SUMIF($AB$155:$AB$157,"보조",$AD$155:$AD$157)/1000</f>
        <v>10</v>
      </c>
      <c r="G154" s="114">
        <f>SUMIF($AB$155:$AB$157,"7종",$AD$155:$AD$157)/1000</f>
        <v>0</v>
      </c>
      <c r="H154" s="114">
        <f>SUMIF($AB$155:$AB$157,"시비",$AD$155:$AD$157)/1000</f>
        <v>0</v>
      </c>
      <c r="I154" s="114">
        <f>SUMIF($AB$155:$AB$157,"후원",$AD$155:$AD$157)/1000</f>
        <v>0</v>
      </c>
      <c r="J154" s="114">
        <f>SUMIF($AB$155:$AB$157,"입소",$AD$155:$AD$157)/1000</f>
        <v>200</v>
      </c>
      <c r="K154" s="114">
        <f>SUMIF($AB$155:$AB$157,"법인",$AD$155:$AD$157)/1000</f>
        <v>0</v>
      </c>
      <c r="L154" s="114">
        <f>SUMIF($AB$155:$AB$157,"잡수",$AD$155:$AD$157)/1000</f>
        <v>0</v>
      </c>
      <c r="M154" s="109">
        <f>E154-D154</f>
        <v>0</v>
      </c>
      <c r="N154" s="70">
        <f>IF(D154=0,0,M154/D154)</f>
        <v>0</v>
      </c>
      <c r="O154" s="97" t="s">
        <v>94</v>
      </c>
      <c r="P154" s="93"/>
      <c r="Q154" s="93"/>
      <c r="R154" s="93"/>
      <c r="S154" s="93"/>
      <c r="T154" s="89"/>
      <c r="U154" s="89"/>
      <c r="V154" s="89"/>
      <c r="W154" s="89"/>
      <c r="X154" s="89"/>
      <c r="Y154" s="177" t="s">
        <v>141</v>
      </c>
      <c r="Z154" s="177"/>
      <c r="AA154" s="177"/>
      <c r="AB154" s="177"/>
      <c r="AC154" s="179"/>
      <c r="AD154" s="179">
        <f>ROUND(SUM(AD155:AD156),-3)</f>
        <v>210000</v>
      </c>
      <c r="AE154" s="178" t="s">
        <v>25</v>
      </c>
      <c r="AF154" s="1"/>
    </row>
    <row r="155" spans="1:32" s="11" customFormat="1" ht="21" customHeight="1">
      <c r="A155" s="46"/>
      <c r="B155" s="46"/>
      <c r="C155" s="46"/>
      <c r="D155" s="159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76" t="s">
        <v>388</v>
      </c>
      <c r="P155" s="470"/>
      <c r="Q155" s="470"/>
      <c r="R155" s="470"/>
      <c r="S155" s="469">
        <v>10000</v>
      </c>
      <c r="T155" s="383" t="s">
        <v>311</v>
      </c>
      <c r="U155" s="383" t="s">
        <v>26</v>
      </c>
      <c r="V155" s="469">
        <v>1</v>
      </c>
      <c r="W155" s="469" t="s">
        <v>314</v>
      </c>
      <c r="X155" s="377"/>
      <c r="Y155" s="496"/>
      <c r="Z155" s="484"/>
      <c r="AA155" s="497" t="s">
        <v>315</v>
      </c>
      <c r="AB155" s="469" t="s">
        <v>317</v>
      </c>
      <c r="AC155" s="469"/>
      <c r="AD155" s="469">
        <f>S155*V155</f>
        <v>10000</v>
      </c>
      <c r="AE155" s="137" t="s">
        <v>25</v>
      </c>
      <c r="AF155" s="1"/>
    </row>
    <row r="156" spans="1:32" s="11" customFormat="1" ht="21" customHeight="1">
      <c r="A156" s="46"/>
      <c r="B156" s="46"/>
      <c r="C156" s="46"/>
      <c r="D156" s="159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525"/>
      <c r="P156" s="525"/>
      <c r="Q156" s="525"/>
      <c r="R156" s="525"/>
      <c r="S156" s="524"/>
      <c r="T156" s="383"/>
      <c r="U156" s="383"/>
      <c r="V156" s="524"/>
      <c r="W156" s="524"/>
      <c r="X156" s="377"/>
      <c r="Y156" s="496"/>
      <c r="Z156" s="484"/>
      <c r="AA156" s="497" t="s">
        <v>230</v>
      </c>
      <c r="AB156" s="575" t="s">
        <v>363</v>
      </c>
      <c r="AC156" s="524"/>
      <c r="AD156" s="524">
        <v>200000</v>
      </c>
      <c r="AE156" s="137" t="s">
        <v>25</v>
      </c>
      <c r="AF156" s="1"/>
    </row>
    <row r="157" spans="1:32" s="11" customFormat="1" ht="21" customHeight="1">
      <c r="A157" s="46"/>
      <c r="B157" s="46"/>
      <c r="C157" s="46"/>
      <c r="D157" s="159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470"/>
      <c r="P157" s="470"/>
      <c r="Q157" s="470"/>
      <c r="R157" s="470"/>
      <c r="S157" s="469"/>
      <c r="T157" s="383"/>
      <c r="U157" s="470"/>
      <c r="V157" s="469"/>
      <c r="W157" s="470"/>
      <c r="X157" s="469"/>
      <c r="Y157" s="469"/>
      <c r="Z157" s="469"/>
      <c r="AA157" s="469"/>
      <c r="AB157" s="469"/>
      <c r="AC157" s="469"/>
      <c r="AD157" s="469"/>
      <c r="AE157" s="137"/>
      <c r="AF157" s="1"/>
    </row>
    <row r="158" spans="1:32" s="11" customFormat="1" ht="21" customHeight="1">
      <c r="A158" s="46"/>
      <c r="B158" s="36" t="s">
        <v>95</v>
      </c>
      <c r="C158" s="173" t="s">
        <v>146</v>
      </c>
      <c r="D158" s="174">
        <f t="shared" ref="D158:L158" si="18">SUM(D159,D165,D172,D175,D181,D185,D191,D195)</f>
        <v>5750</v>
      </c>
      <c r="E158" s="174">
        <f t="shared" si="18"/>
        <v>5750</v>
      </c>
      <c r="F158" s="174">
        <f t="shared" si="18"/>
        <v>0</v>
      </c>
      <c r="G158" s="174">
        <f t="shared" si="18"/>
        <v>0</v>
      </c>
      <c r="H158" s="174">
        <f t="shared" si="18"/>
        <v>0</v>
      </c>
      <c r="I158" s="174">
        <f t="shared" si="18"/>
        <v>600</v>
      </c>
      <c r="J158" s="174">
        <f t="shared" si="18"/>
        <v>5150</v>
      </c>
      <c r="K158" s="174">
        <f t="shared" si="18"/>
        <v>0</v>
      </c>
      <c r="L158" s="174">
        <f t="shared" si="18"/>
        <v>0</v>
      </c>
      <c r="M158" s="174">
        <f>E158-D158</f>
        <v>0</v>
      </c>
      <c r="N158" s="175">
        <f>IF(D158=0,0,M158/D158)</f>
        <v>0</v>
      </c>
      <c r="O158" s="176"/>
      <c r="P158" s="176"/>
      <c r="Q158" s="176"/>
      <c r="R158" s="176"/>
      <c r="S158" s="176"/>
      <c r="T158" s="177"/>
      <c r="U158" s="177"/>
      <c r="V158" s="177"/>
      <c r="W158" s="177"/>
      <c r="X158" s="177"/>
      <c r="Y158" s="177" t="s">
        <v>28</v>
      </c>
      <c r="Z158" s="177"/>
      <c r="AA158" s="177"/>
      <c r="AB158" s="177"/>
      <c r="AC158" s="179"/>
      <c r="AD158" s="179">
        <f>SUM(AD159,AD165,AD172,AD175,AD181,AD185,AD191,AD195)</f>
        <v>5750000</v>
      </c>
      <c r="AE158" s="178" t="s">
        <v>25</v>
      </c>
      <c r="AF158" s="1"/>
    </row>
    <row r="159" spans="1:32" s="15" customFormat="1" ht="24" customHeight="1">
      <c r="A159" s="46"/>
      <c r="B159" s="46" t="s">
        <v>326</v>
      </c>
      <c r="C159" s="36" t="s">
        <v>389</v>
      </c>
      <c r="D159" s="546">
        <v>850</v>
      </c>
      <c r="E159" s="114">
        <f>SUM(F159:L159)</f>
        <v>850</v>
      </c>
      <c r="F159" s="114">
        <f>SUMIF($AB$160:$AB$164,"보조",$AD$160:$AD$164)/1000</f>
        <v>0</v>
      </c>
      <c r="G159" s="114">
        <f>SUMIF($AB$160:$AB$164,"7종",$AD$160:$AD$164)/1000</f>
        <v>0</v>
      </c>
      <c r="H159" s="114">
        <f>SUMIF($AB$160:$AB$164,"시비",$AD$160:$AD$164)/1000</f>
        <v>0</v>
      </c>
      <c r="I159" s="114">
        <f>SUMIF($AB$160:$AB$164,"후원",$AD$160:$AD$164)/1000</f>
        <v>0</v>
      </c>
      <c r="J159" s="114">
        <f>SUMIF($AB$160:$AB$164,"입소",$AD$160:$AD$164)/1000</f>
        <v>850</v>
      </c>
      <c r="K159" s="114">
        <f>SUMIF($AB$160:$AB$164,"법인",$AD$160:$AD$164)/1000</f>
        <v>0</v>
      </c>
      <c r="L159" s="114">
        <f>SUMIF($AB$160:$AB$164,"잡수",$AD$160:$AD$164)/1000</f>
        <v>0</v>
      </c>
      <c r="M159" s="109">
        <f>E159-D159</f>
        <v>0</v>
      </c>
      <c r="N159" s="70">
        <f>IF(D159=0,0,M159/D159)</f>
        <v>0</v>
      </c>
      <c r="O159" s="534"/>
      <c r="P159" s="165"/>
      <c r="Q159" s="165"/>
      <c r="R159" s="165"/>
      <c r="S159" s="165"/>
      <c r="T159" s="88"/>
      <c r="U159" s="88"/>
      <c r="V159" s="88"/>
      <c r="W159" s="148" t="s">
        <v>135</v>
      </c>
      <c r="X159" s="148"/>
      <c r="Y159" s="148"/>
      <c r="Z159" s="148"/>
      <c r="AA159" s="148"/>
      <c r="AB159" s="148"/>
      <c r="AC159" s="149"/>
      <c r="AD159" s="149">
        <f>SUM(AD160:AD163)</f>
        <v>850000</v>
      </c>
      <c r="AE159" s="150" t="s">
        <v>25</v>
      </c>
      <c r="AF159" s="16"/>
    </row>
    <row r="160" spans="1:32" s="15" customFormat="1" ht="24" customHeight="1">
      <c r="A160" s="46"/>
      <c r="B160" s="46"/>
      <c r="C160" s="46" t="s">
        <v>390</v>
      </c>
      <c r="D160" s="162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576" t="s">
        <v>391</v>
      </c>
      <c r="P160" s="531"/>
      <c r="Q160" s="531"/>
      <c r="R160" s="531"/>
      <c r="S160" s="575">
        <v>50000</v>
      </c>
      <c r="T160" s="383" t="s">
        <v>57</v>
      </c>
      <c r="U160" s="383" t="s">
        <v>26</v>
      </c>
      <c r="V160" s="575">
        <v>4</v>
      </c>
      <c r="W160" s="575" t="s">
        <v>392</v>
      </c>
      <c r="X160" s="377"/>
      <c r="Y160" s="496"/>
      <c r="Z160" s="484"/>
      <c r="AA160" s="497" t="s">
        <v>53</v>
      </c>
      <c r="AB160" s="575" t="s">
        <v>363</v>
      </c>
      <c r="AC160" s="575"/>
      <c r="AD160" s="575">
        <f>S160*V160</f>
        <v>200000</v>
      </c>
      <c r="AE160" s="137" t="s">
        <v>25</v>
      </c>
      <c r="AF160" s="16"/>
    </row>
    <row r="161" spans="1:33" s="15" customFormat="1" ht="24" customHeight="1">
      <c r="A161" s="46"/>
      <c r="B161" s="46"/>
      <c r="C161" s="46"/>
      <c r="D161" s="162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576" t="s">
        <v>393</v>
      </c>
      <c r="P161" s="531"/>
      <c r="Q161" s="531"/>
      <c r="R161" s="531"/>
      <c r="S161" s="575">
        <v>50000</v>
      </c>
      <c r="T161" s="383" t="s">
        <v>57</v>
      </c>
      <c r="U161" s="383" t="s">
        <v>26</v>
      </c>
      <c r="V161" s="575">
        <v>2</v>
      </c>
      <c r="W161" s="575" t="s">
        <v>394</v>
      </c>
      <c r="X161" s="377"/>
      <c r="Y161" s="496"/>
      <c r="Z161" s="484"/>
      <c r="AA161" s="497" t="s">
        <v>53</v>
      </c>
      <c r="AB161" s="575" t="s">
        <v>363</v>
      </c>
      <c r="AC161" s="575"/>
      <c r="AD161" s="575">
        <f>S161*V161</f>
        <v>100000</v>
      </c>
      <c r="AE161" s="137" t="s">
        <v>25</v>
      </c>
      <c r="AF161" s="16"/>
    </row>
    <row r="162" spans="1:33" s="15" customFormat="1" ht="24" customHeight="1">
      <c r="A162" s="46"/>
      <c r="B162" s="46"/>
      <c r="C162" s="46"/>
      <c r="D162" s="162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576" t="s">
        <v>395</v>
      </c>
      <c r="P162" s="531"/>
      <c r="Q162" s="531"/>
      <c r="R162" s="531"/>
      <c r="S162" s="575">
        <v>50000</v>
      </c>
      <c r="T162" s="383" t="s">
        <v>57</v>
      </c>
      <c r="U162" s="383" t="s">
        <v>26</v>
      </c>
      <c r="V162" s="575">
        <v>6</v>
      </c>
      <c r="W162" s="575" t="s">
        <v>394</v>
      </c>
      <c r="X162" s="377"/>
      <c r="Y162" s="496"/>
      <c r="Z162" s="484"/>
      <c r="AA162" s="497" t="s">
        <v>53</v>
      </c>
      <c r="AB162" s="575" t="s">
        <v>363</v>
      </c>
      <c r="AC162" s="575"/>
      <c r="AD162" s="575">
        <f>S162*V162</f>
        <v>300000</v>
      </c>
      <c r="AE162" s="137" t="s">
        <v>25</v>
      </c>
      <c r="AF162" s="16"/>
    </row>
    <row r="163" spans="1:33" s="15" customFormat="1" ht="24" customHeight="1">
      <c r="A163" s="46"/>
      <c r="B163" s="46"/>
      <c r="C163" s="46"/>
      <c r="D163" s="159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76" t="s">
        <v>396</v>
      </c>
      <c r="P163" s="531"/>
      <c r="Q163" s="531"/>
      <c r="R163" s="531"/>
      <c r="S163" s="575">
        <v>50000</v>
      </c>
      <c r="T163" s="383" t="s">
        <v>57</v>
      </c>
      <c r="U163" s="383" t="s">
        <v>26</v>
      </c>
      <c r="V163" s="575">
        <v>5</v>
      </c>
      <c r="W163" s="575" t="s">
        <v>394</v>
      </c>
      <c r="X163" s="377"/>
      <c r="Y163" s="496"/>
      <c r="Z163" s="484"/>
      <c r="AA163" s="497" t="s">
        <v>53</v>
      </c>
      <c r="AB163" s="575" t="s">
        <v>363</v>
      </c>
      <c r="AC163" s="575"/>
      <c r="AD163" s="575">
        <f>S163*V163</f>
        <v>250000</v>
      </c>
      <c r="AE163" s="137" t="s">
        <v>25</v>
      </c>
      <c r="AF163" s="16"/>
    </row>
    <row r="164" spans="1:33" s="15" customFormat="1" ht="24" customHeight="1">
      <c r="A164" s="46"/>
      <c r="B164" s="46"/>
      <c r="C164" s="59"/>
      <c r="D164" s="160"/>
      <c r="E164" s="111"/>
      <c r="F164" s="111"/>
      <c r="G164" s="111"/>
      <c r="H164" s="111"/>
      <c r="I164" s="111"/>
      <c r="J164" s="111"/>
      <c r="K164" s="111"/>
      <c r="L164" s="111"/>
      <c r="M164" s="111"/>
      <c r="N164" s="84"/>
      <c r="O164" s="529"/>
      <c r="P164" s="529"/>
      <c r="Q164" s="529"/>
      <c r="R164" s="529"/>
      <c r="S164" s="528"/>
      <c r="T164" s="528"/>
      <c r="U164" s="529"/>
      <c r="V164" s="528"/>
      <c r="W164" s="528"/>
      <c r="X164" s="528"/>
      <c r="Y164" s="528"/>
      <c r="Z164" s="528"/>
      <c r="AA164" s="528"/>
      <c r="AB164" s="528"/>
      <c r="AC164" s="528"/>
      <c r="AD164" s="528"/>
      <c r="AE164" s="494"/>
      <c r="AF164" s="16"/>
    </row>
    <row r="165" spans="1:33" s="15" customFormat="1" ht="24" customHeight="1">
      <c r="A165" s="46"/>
      <c r="B165" s="46"/>
      <c r="C165" s="36" t="s">
        <v>397</v>
      </c>
      <c r="D165" s="161">
        <v>900</v>
      </c>
      <c r="E165" s="114">
        <f>SUM(F165:L165)</f>
        <v>900</v>
      </c>
      <c r="F165" s="114">
        <f>SUMIF($AB$166:$AB$171,"보조",$AD$166:$AD$171)/1000</f>
        <v>0</v>
      </c>
      <c r="G165" s="114">
        <f>SUMIF($AB$166:$AB$171,"7종",$AD$166:$AD$171)/1000</f>
        <v>0</v>
      </c>
      <c r="H165" s="114">
        <f>SUMIF($AB$166:$AB$171,"시비",$AD$166:$AD$171)/1000</f>
        <v>0</v>
      </c>
      <c r="I165" s="114">
        <f>SUMIF($AB$166:$AB$171,"후원",$AD$166:$AD$171)/1000</f>
        <v>0</v>
      </c>
      <c r="J165" s="114">
        <f>SUMIF($AB$166:$AB$171,"입소",$AD$166:$AD$171)/1000</f>
        <v>900</v>
      </c>
      <c r="K165" s="114">
        <f>SUMIF($AB$166:$AB$171,"법인",$AD$166:$AD$171)/1000</f>
        <v>0</v>
      </c>
      <c r="L165" s="114">
        <f>SUMIF($AB$166:$AB$171,"잡수",$AD$166:$AD$171)/1000</f>
        <v>0</v>
      </c>
      <c r="M165" s="109">
        <f>E165-D165</f>
        <v>0</v>
      </c>
      <c r="N165" s="70">
        <f>IF(D165=0,0,M165/D165)</f>
        <v>0</v>
      </c>
      <c r="O165" s="374"/>
      <c r="P165" s="391"/>
      <c r="Q165" s="391"/>
      <c r="R165" s="539"/>
      <c r="S165" s="539"/>
      <c r="T165" s="539"/>
      <c r="U165" s="539"/>
      <c r="V165" s="539"/>
      <c r="W165" s="540" t="s">
        <v>135</v>
      </c>
      <c r="X165" s="540"/>
      <c r="Y165" s="540"/>
      <c r="Z165" s="540"/>
      <c r="AA165" s="540"/>
      <c r="AB165" s="540"/>
      <c r="AC165" s="541"/>
      <c r="AD165" s="541">
        <f>SUM(AD166:AD170)</f>
        <v>900000</v>
      </c>
      <c r="AE165" s="542" t="s">
        <v>25</v>
      </c>
      <c r="AF165" s="16"/>
    </row>
    <row r="166" spans="1:33" s="15" customFormat="1" ht="24" customHeight="1">
      <c r="A166" s="46"/>
      <c r="B166" s="46"/>
      <c r="C166" s="46" t="s">
        <v>326</v>
      </c>
      <c r="D166" s="162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76" t="s">
        <v>398</v>
      </c>
      <c r="P166" s="531"/>
      <c r="Q166" s="531"/>
      <c r="R166" s="531"/>
      <c r="S166" s="575">
        <v>150000</v>
      </c>
      <c r="T166" s="383" t="s">
        <v>57</v>
      </c>
      <c r="U166" s="383" t="s">
        <v>26</v>
      </c>
      <c r="V166" s="575">
        <v>2</v>
      </c>
      <c r="W166" s="576" t="s">
        <v>70</v>
      </c>
      <c r="X166" s="575"/>
      <c r="Y166" s="500"/>
      <c r="Z166" s="500" t="s">
        <v>53</v>
      </c>
      <c r="AA166" s="500"/>
      <c r="AB166" s="500" t="s">
        <v>278</v>
      </c>
      <c r="AC166" s="500"/>
      <c r="AD166" s="501">
        <f>S166*V166</f>
        <v>300000</v>
      </c>
      <c r="AE166" s="502" t="s">
        <v>57</v>
      </c>
      <c r="AF166" s="16"/>
    </row>
    <row r="167" spans="1:33" s="15" customFormat="1" ht="24" customHeight="1">
      <c r="A167" s="46"/>
      <c r="B167" s="46"/>
      <c r="C167" s="46"/>
      <c r="D167" s="162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576" t="s">
        <v>399</v>
      </c>
      <c r="P167" s="495"/>
      <c r="Q167" s="495"/>
      <c r="R167" s="491"/>
      <c r="S167" s="532">
        <v>100000</v>
      </c>
      <c r="T167" s="383" t="s">
        <v>57</v>
      </c>
      <c r="U167" s="383" t="s">
        <v>26</v>
      </c>
      <c r="V167" s="532">
        <v>2</v>
      </c>
      <c r="W167" s="533" t="s">
        <v>329</v>
      </c>
      <c r="X167" s="532"/>
      <c r="Y167" s="500"/>
      <c r="Z167" s="500" t="s">
        <v>53</v>
      </c>
      <c r="AA167" s="500"/>
      <c r="AB167" s="500" t="s">
        <v>278</v>
      </c>
      <c r="AC167" s="500"/>
      <c r="AD167" s="501">
        <f>S167*V167</f>
        <v>200000</v>
      </c>
      <c r="AE167" s="502" t="s">
        <v>57</v>
      </c>
      <c r="AF167" s="16"/>
    </row>
    <row r="168" spans="1:33" s="15" customFormat="1" ht="24" customHeight="1">
      <c r="A168" s="46"/>
      <c r="B168" s="46"/>
      <c r="C168" s="46"/>
      <c r="D168" s="162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576" t="s">
        <v>400</v>
      </c>
      <c r="P168" s="495"/>
      <c r="Q168" s="495"/>
      <c r="R168" s="491"/>
      <c r="S168" s="575">
        <v>100000</v>
      </c>
      <c r="T168" s="383" t="s">
        <v>57</v>
      </c>
      <c r="U168" s="383" t="s">
        <v>26</v>
      </c>
      <c r="V168" s="575">
        <v>2</v>
      </c>
      <c r="W168" s="576" t="s">
        <v>70</v>
      </c>
      <c r="X168" s="575"/>
      <c r="Y168" s="500"/>
      <c r="Z168" s="500" t="s">
        <v>53</v>
      </c>
      <c r="AA168" s="500"/>
      <c r="AB168" s="500" t="s">
        <v>278</v>
      </c>
      <c r="AC168" s="500"/>
      <c r="AD168" s="501">
        <f>S168*V168</f>
        <v>200000</v>
      </c>
      <c r="AE168" s="502" t="s">
        <v>57</v>
      </c>
      <c r="AF168" s="16"/>
    </row>
    <row r="169" spans="1:33" s="15" customFormat="1" ht="24" customHeight="1">
      <c r="A169" s="46"/>
      <c r="B169" s="46"/>
      <c r="C169" s="46"/>
      <c r="D169" s="162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576" t="s">
        <v>401</v>
      </c>
      <c r="P169" s="495"/>
      <c r="Q169" s="495"/>
      <c r="R169" s="491"/>
      <c r="S169" s="575">
        <v>100000</v>
      </c>
      <c r="T169" s="383" t="s">
        <v>57</v>
      </c>
      <c r="U169" s="383" t="s">
        <v>26</v>
      </c>
      <c r="V169" s="575">
        <v>2</v>
      </c>
      <c r="W169" s="576" t="s">
        <v>70</v>
      </c>
      <c r="X169" s="575"/>
      <c r="Y169" s="500"/>
      <c r="Z169" s="500" t="s">
        <v>53</v>
      </c>
      <c r="AA169" s="500"/>
      <c r="AB169" s="500" t="s">
        <v>278</v>
      </c>
      <c r="AC169" s="500"/>
      <c r="AD169" s="501">
        <f>S169*V169</f>
        <v>200000</v>
      </c>
      <c r="AE169" s="502" t="s">
        <v>57</v>
      </c>
      <c r="AF169" s="16"/>
    </row>
    <row r="170" spans="1:33" s="15" customFormat="1" ht="24" customHeight="1">
      <c r="A170" s="46"/>
      <c r="B170" s="46"/>
      <c r="C170" s="46"/>
      <c r="D170" s="162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576" t="s">
        <v>402</v>
      </c>
      <c r="P170" s="495"/>
      <c r="Q170" s="495"/>
      <c r="R170" s="491"/>
      <c r="S170" s="575">
        <v>30000</v>
      </c>
      <c r="T170" s="383" t="s">
        <v>57</v>
      </c>
      <c r="U170" s="383" t="s">
        <v>26</v>
      </c>
      <c r="V170" s="575">
        <v>0</v>
      </c>
      <c r="W170" s="576" t="s">
        <v>392</v>
      </c>
      <c r="X170" s="575"/>
      <c r="Y170" s="500"/>
      <c r="Z170" s="500" t="s">
        <v>53</v>
      </c>
      <c r="AA170" s="500"/>
      <c r="AB170" s="500" t="s">
        <v>278</v>
      </c>
      <c r="AC170" s="500"/>
      <c r="AD170" s="501">
        <f>S170*V170</f>
        <v>0</v>
      </c>
      <c r="AE170" s="502" t="s">
        <v>57</v>
      </c>
      <c r="AF170" s="16"/>
    </row>
    <row r="171" spans="1:33" s="15" customFormat="1" ht="24" customHeight="1">
      <c r="A171" s="46"/>
      <c r="B171" s="46"/>
      <c r="C171" s="59"/>
      <c r="D171" s="163"/>
      <c r="E171" s="111"/>
      <c r="F171" s="111"/>
      <c r="G171" s="111"/>
      <c r="H171" s="111"/>
      <c r="I171" s="111"/>
      <c r="J171" s="111"/>
      <c r="K171" s="111"/>
      <c r="L171" s="111"/>
      <c r="M171" s="111"/>
      <c r="N171" s="84"/>
      <c r="O171" s="529"/>
      <c r="P171" s="529"/>
      <c r="Q171" s="529"/>
      <c r="R171" s="529"/>
      <c r="S171" s="529"/>
      <c r="T171" s="528"/>
      <c r="U171" s="528"/>
      <c r="V171" s="528"/>
      <c r="W171" s="528"/>
      <c r="X171" s="528"/>
      <c r="Y171" s="528"/>
      <c r="Z171" s="528"/>
      <c r="AA171" s="528"/>
      <c r="AB171" s="528"/>
      <c r="AC171" s="503"/>
      <c r="AD171" s="503"/>
      <c r="AE171" s="494"/>
      <c r="AF171" s="16"/>
      <c r="AG171" s="16"/>
    </row>
    <row r="172" spans="1:33" s="15" customFormat="1" ht="24" customHeight="1">
      <c r="A172" s="46"/>
      <c r="B172" s="46"/>
      <c r="C172" s="36" t="s">
        <v>403</v>
      </c>
      <c r="D172" s="546">
        <v>240</v>
      </c>
      <c r="E172" s="114">
        <f>SUM(F172:L172)</f>
        <v>240</v>
      </c>
      <c r="F172" s="114">
        <f>SUMIF($AB$173:$AB$174,"보조",$AD$173:$AD$174)/1000</f>
        <v>0</v>
      </c>
      <c r="G172" s="114">
        <f>SUMIF($AB$173:$AB$174,"7종",$AD$173:$AD$174)/1000</f>
        <v>0</v>
      </c>
      <c r="H172" s="114">
        <f>SUMIF($AB$173:$AB$174,"시비",$AD$173:$AD$174)/1000</f>
        <v>0</v>
      </c>
      <c r="I172" s="114">
        <f>SUMIF($AB$173:$AB$174,"후원",$AD$173:$AD$174)/1000</f>
        <v>0</v>
      </c>
      <c r="J172" s="114">
        <f>SUMIF($AB$173:$AB$174,"입소",$AD$173:$AD$174)/1000</f>
        <v>240</v>
      </c>
      <c r="K172" s="114">
        <f>SUMIF($AB$173:$AB$174,"법인",$AD$173:$AD$174)/1000</f>
        <v>0</v>
      </c>
      <c r="L172" s="114">
        <f>SUMIF($AB$173:$AB$174,"잡수",$AD$173:$AD$174)/1000</f>
        <v>0</v>
      </c>
      <c r="M172" s="113">
        <f>E172-D172</f>
        <v>0</v>
      </c>
      <c r="N172" s="121">
        <f>IF(D172=0,0,M172/D172)</f>
        <v>0</v>
      </c>
      <c r="O172" s="374"/>
      <c r="P172" s="391"/>
      <c r="Q172" s="391"/>
      <c r="R172" s="539"/>
      <c r="S172" s="539"/>
      <c r="T172" s="539"/>
      <c r="U172" s="539"/>
      <c r="V172" s="539"/>
      <c r="W172" s="540" t="s">
        <v>135</v>
      </c>
      <c r="X172" s="540"/>
      <c r="Y172" s="540"/>
      <c r="Z172" s="540"/>
      <c r="AA172" s="540"/>
      <c r="AB172" s="540"/>
      <c r="AC172" s="541"/>
      <c r="AD172" s="541">
        <f>SUM(AD173:AD173)</f>
        <v>240000</v>
      </c>
      <c r="AE172" s="542" t="s">
        <v>25</v>
      </c>
      <c r="AF172" s="16"/>
      <c r="AG172" s="16"/>
    </row>
    <row r="173" spans="1:33" s="15" customFormat="1" ht="24" customHeight="1">
      <c r="A173" s="46"/>
      <c r="B173" s="46"/>
      <c r="C173" s="46" t="s">
        <v>390</v>
      </c>
      <c r="D173" s="162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576" t="s">
        <v>404</v>
      </c>
      <c r="P173" s="495"/>
      <c r="Q173" s="495"/>
      <c r="R173" s="491"/>
      <c r="S173" s="575">
        <v>10000</v>
      </c>
      <c r="T173" s="575" t="s">
        <v>57</v>
      </c>
      <c r="U173" s="576" t="s">
        <v>58</v>
      </c>
      <c r="V173" s="575">
        <v>4</v>
      </c>
      <c r="W173" s="575" t="s">
        <v>56</v>
      </c>
      <c r="X173" s="576" t="s">
        <v>58</v>
      </c>
      <c r="Y173" s="384">
        <v>6</v>
      </c>
      <c r="Z173" s="377" t="s">
        <v>70</v>
      </c>
      <c r="AA173" s="377" t="s">
        <v>53</v>
      </c>
      <c r="AB173" s="575" t="s">
        <v>278</v>
      </c>
      <c r="AC173" s="136"/>
      <c r="AD173" s="575">
        <f>S173*V173*Y173</f>
        <v>240000</v>
      </c>
      <c r="AE173" s="137" t="s">
        <v>57</v>
      </c>
      <c r="AF173" s="16"/>
      <c r="AG173" s="16"/>
    </row>
    <row r="174" spans="1:33" s="15" customFormat="1" ht="24" customHeight="1">
      <c r="A174" s="46"/>
      <c r="B174" s="46"/>
      <c r="C174" s="59"/>
      <c r="D174" s="160"/>
      <c r="E174" s="111"/>
      <c r="F174" s="111"/>
      <c r="G174" s="111"/>
      <c r="H174" s="111"/>
      <c r="I174" s="111"/>
      <c r="J174" s="111"/>
      <c r="K174" s="111"/>
      <c r="L174" s="111"/>
      <c r="M174" s="111"/>
      <c r="N174" s="84"/>
      <c r="O174" s="529"/>
      <c r="P174" s="529"/>
      <c r="Q174" s="529"/>
      <c r="R174" s="529"/>
      <c r="S174" s="529"/>
      <c r="T174" s="528"/>
      <c r="U174" s="528"/>
      <c r="V174" s="528"/>
      <c r="W174" s="528"/>
      <c r="X174" s="528"/>
      <c r="Y174" s="528"/>
      <c r="Z174" s="528"/>
      <c r="AA174" s="528"/>
      <c r="AB174" s="528"/>
      <c r="AC174" s="503"/>
      <c r="AD174" s="543"/>
      <c r="AE174" s="494"/>
      <c r="AF174" s="16"/>
    </row>
    <row r="175" spans="1:33" s="15" customFormat="1" ht="24" customHeight="1">
      <c r="A175" s="46"/>
      <c r="B175" s="46"/>
      <c r="C175" s="36" t="s">
        <v>409</v>
      </c>
      <c r="D175" s="161">
        <v>2100</v>
      </c>
      <c r="E175" s="114">
        <f>SUM(F175:L175)</f>
        <v>2100</v>
      </c>
      <c r="F175" s="114">
        <f>SUMIF($AB$176:$AB$180,"보조",$AD$176:$AD$180)/1000</f>
        <v>0</v>
      </c>
      <c r="G175" s="114">
        <f>SUMIF($AB$176:$AB$180,"7종",$AD$176:$AD$180)/1000</f>
        <v>0</v>
      </c>
      <c r="H175" s="114">
        <f>SUMIF($AB$176:$AB$180,"시비",$AD$176:$AD$180)/1000</f>
        <v>0</v>
      </c>
      <c r="I175" s="114">
        <f>SUMIF($AB$176:$AB$180,"후원",$AD$176:$AD$180)/1000</f>
        <v>0</v>
      </c>
      <c r="J175" s="114">
        <f>SUMIF($AB$176:$AB$180,"입소",$AD$176:$AD$180)/1000</f>
        <v>2100</v>
      </c>
      <c r="K175" s="114">
        <f>SUMIF($AB$176:$AB$180,"법인",$AD$176:$AD$180)/1000</f>
        <v>0</v>
      </c>
      <c r="L175" s="114">
        <f>SUMIF($AB$176:$AB$180,"잡수",$AD$176:$AD$180)/1000</f>
        <v>0</v>
      </c>
      <c r="M175" s="113">
        <f>E175-D175</f>
        <v>0</v>
      </c>
      <c r="N175" s="121">
        <f>IF(D175=0,0,M175/D175)</f>
        <v>0</v>
      </c>
      <c r="O175" s="374"/>
      <c r="P175" s="391"/>
      <c r="Q175" s="391"/>
      <c r="R175" s="539"/>
      <c r="S175" s="539"/>
      <c r="T175" s="539"/>
      <c r="U175" s="539"/>
      <c r="V175" s="539"/>
      <c r="W175" s="540" t="s">
        <v>135</v>
      </c>
      <c r="X175" s="540"/>
      <c r="Y175" s="540"/>
      <c r="Z175" s="540"/>
      <c r="AA175" s="540"/>
      <c r="AB175" s="540"/>
      <c r="AC175" s="541"/>
      <c r="AD175" s="541">
        <f>SUM(AD176:AD179)</f>
        <v>2100000</v>
      </c>
      <c r="AE175" s="542" t="s">
        <v>25</v>
      </c>
      <c r="AF175" s="16"/>
    </row>
    <row r="176" spans="1:33" s="15" customFormat="1" ht="24" customHeight="1">
      <c r="A176" s="46"/>
      <c r="B176" s="46"/>
      <c r="C176" s="46" t="s">
        <v>410</v>
      </c>
      <c r="D176" s="159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499" t="s">
        <v>405</v>
      </c>
      <c r="P176" s="499"/>
      <c r="Q176" s="499"/>
      <c r="R176" s="499"/>
      <c r="S176" s="575">
        <v>50000</v>
      </c>
      <c r="T176" s="383" t="s">
        <v>57</v>
      </c>
      <c r="U176" s="383" t="s">
        <v>26</v>
      </c>
      <c r="V176" s="575">
        <v>4</v>
      </c>
      <c r="W176" s="576" t="s">
        <v>392</v>
      </c>
      <c r="X176" s="575"/>
      <c r="Y176" s="500"/>
      <c r="Z176" s="500" t="s">
        <v>53</v>
      </c>
      <c r="AA176" s="500"/>
      <c r="AB176" s="500" t="s">
        <v>278</v>
      </c>
      <c r="AC176" s="500"/>
      <c r="AD176" s="501">
        <f t="shared" ref="AD176:AD179" si="19">S176*V176</f>
        <v>200000</v>
      </c>
      <c r="AE176" s="502" t="s">
        <v>57</v>
      </c>
      <c r="AF176" s="16"/>
    </row>
    <row r="177" spans="1:32" s="15" customFormat="1" ht="24" customHeight="1">
      <c r="A177" s="46"/>
      <c r="B177" s="46"/>
      <c r="C177" s="46"/>
      <c r="D177" s="159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499" t="s">
        <v>406</v>
      </c>
      <c r="P177" s="499"/>
      <c r="Q177" s="499"/>
      <c r="R177" s="499"/>
      <c r="S177" s="575">
        <v>200000</v>
      </c>
      <c r="T177" s="383" t="s">
        <v>57</v>
      </c>
      <c r="U177" s="383" t="s">
        <v>26</v>
      </c>
      <c r="V177" s="575">
        <v>5</v>
      </c>
      <c r="W177" s="576" t="s">
        <v>392</v>
      </c>
      <c r="X177" s="575"/>
      <c r="Y177" s="500"/>
      <c r="Z177" s="500" t="s">
        <v>53</v>
      </c>
      <c r="AA177" s="500"/>
      <c r="AB177" s="500" t="s">
        <v>278</v>
      </c>
      <c r="AC177" s="500"/>
      <c r="AD177" s="501">
        <f t="shared" si="19"/>
        <v>1000000</v>
      </c>
      <c r="AE177" s="502" t="s">
        <v>57</v>
      </c>
      <c r="AF177" s="16"/>
    </row>
    <row r="178" spans="1:32" s="15" customFormat="1" ht="24" customHeight="1">
      <c r="A178" s="46"/>
      <c r="B178" s="46"/>
      <c r="C178" s="46"/>
      <c r="D178" s="159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499" t="s">
        <v>407</v>
      </c>
      <c r="P178" s="499"/>
      <c r="Q178" s="499"/>
      <c r="R178" s="499"/>
      <c r="S178" s="575">
        <v>150000</v>
      </c>
      <c r="T178" s="383" t="s">
        <v>57</v>
      </c>
      <c r="U178" s="383" t="s">
        <v>26</v>
      </c>
      <c r="V178" s="575">
        <v>4</v>
      </c>
      <c r="W178" s="576" t="s">
        <v>392</v>
      </c>
      <c r="X178" s="575"/>
      <c r="Y178" s="500"/>
      <c r="Z178" s="500" t="s">
        <v>53</v>
      </c>
      <c r="AA178" s="500"/>
      <c r="AB178" s="500" t="s">
        <v>278</v>
      </c>
      <c r="AC178" s="500"/>
      <c r="AD178" s="501">
        <f t="shared" si="19"/>
        <v>600000</v>
      </c>
      <c r="AE178" s="502" t="s">
        <v>57</v>
      </c>
      <c r="AF178" s="16"/>
    </row>
    <row r="179" spans="1:32" s="15" customFormat="1" ht="24" customHeight="1">
      <c r="A179" s="46"/>
      <c r="B179" s="46"/>
      <c r="C179" s="46"/>
      <c r="D179" s="159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499" t="s">
        <v>408</v>
      </c>
      <c r="P179" s="499"/>
      <c r="Q179" s="499"/>
      <c r="R179" s="499"/>
      <c r="S179" s="575">
        <v>75000</v>
      </c>
      <c r="T179" s="383" t="s">
        <v>57</v>
      </c>
      <c r="U179" s="383" t="s">
        <v>26</v>
      </c>
      <c r="V179" s="575">
        <v>4</v>
      </c>
      <c r="W179" s="576" t="s">
        <v>392</v>
      </c>
      <c r="X179" s="575"/>
      <c r="Y179" s="500"/>
      <c r="Z179" s="500" t="s">
        <v>53</v>
      </c>
      <c r="AA179" s="500"/>
      <c r="AB179" s="500" t="s">
        <v>278</v>
      </c>
      <c r="AC179" s="500"/>
      <c r="AD179" s="501">
        <f t="shared" si="19"/>
        <v>300000</v>
      </c>
      <c r="AE179" s="502" t="s">
        <v>57</v>
      </c>
      <c r="AF179" s="16"/>
    </row>
    <row r="180" spans="1:32" s="15" customFormat="1" ht="24" customHeight="1">
      <c r="A180" s="46"/>
      <c r="B180" s="46"/>
      <c r="C180" s="59"/>
      <c r="D180" s="160"/>
      <c r="E180" s="111"/>
      <c r="F180" s="111"/>
      <c r="G180" s="111"/>
      <c r="H180" s="111"/>
      <c r="I180" s="111"/>
      <c r="J180" s="111"/>
      <c r="K180" s="111"/>
      <c r="L180" s="111"/>
      <c r="M180" s="111"/>
      <c r="N180" s="84"/>
      <c r="O180" s="536"/>
      <c r="P180" s="536"/>
      <c r="Q180" s="536"/>
      <c r="R180" s="536"/>
      <c r="S180" s="528"/>
      <c r="T180" s="493"/>
      <c r="U180" s="493"/>
      <c r="V180" s="528"/>
      <c r="W180" s="529"/>
      <c r="X180" s="528"/>
      <c r="Y180" s="536"/>
      <c r="Z180" s="536"/>
      <c r="AA180" s="536"/>
      <c r="AB180" s="536"/>
      <c r="AC180" s="536"/>
      <c r="AD180" s="537"/>
      <c r="AE180" s="538"/>
      <c r="AF180" s="16"/>
    </row>
    <row r="181" spans="1:32" s="15" customFormat="1" ht="24" customHeight="1">
      <c r="A181" s="46"/>
      <c r="B181" s="46"/>
      <c r="C181" s="36" t="s">
        <v>411</v>
      </c>
      <c r="D181" s="161">
        <v>400</v>
      </c>
      <c r="E181" s="114">
        <f>SUM(F181:L181)</f>
        <v>400</v>
      </c>
      <c r="F181" s="114">
        <f>SUMIF($AB$182:$AB$184,"보조",$AD$182:$AD$184)/1000</f>
        <v>0</v>
      </c>
      <c r="G181" s="114">
        <f>SUMIF($AB$182:$AB$184,"7종",$AD$182:$AD$184)/1000</f>
        <v>0</v>
      </c>
      <c r="H181" s="114">
        <f>SUMIF($AB$182:$AB$184,"시비",$AD$182:$AD$184)/1000</f>
        <v>0</v>
      </c>
      <c r="I181" s="114">
        <f>SUMIF($AB$182:$AB$184,"후원",$AD$182:$AD$184)/1000</f>
        <v>0</v>
      </c>
      <c r="J181" s="114">
        <f>SUMIF($AB$182:$AB$184,"입소",$AD$182:$AD$184)/1000</f>
        <v>400</v>
      </c>
      <c r="K181" s="114">
        <f>SUMIF($AB$182:$AB$184,"법인",$AD$182:$AD$184)/1000</f>
        <v>0</v>
      </c>
      <c r="L181" s="114">
        <f>SUMIF($AB$182:$AB$184,"잡수",$AD$182:$AD$184)/1000</f>
        <v>0</v>
      </c>
      <c r="M181" s="113">
        <f>E181-D181</f>
        <v>0</v>
      </c>
      <c r="N181" s="121">
        <f>IF(D181=0,0,M181/D181)</f>
        <v>0</v>
      </c>
      <c r="O181" s="374"/>
      <c r="P181" s="391"/>
      <c r="Q181" s="391"/>
      <c r="R181" s="539"/>
      <c r="S181" s="539"/>
      <c r="T181" s="539"/>
      <c r="U181" s="539"/>
      <c r="V181" s="539"/>
      <c r="W181" s="540" t="s">
        <v>135</v>
      </c>
      <c r="X181" s="540"/>
      <c r="Y181" s="540"/>
      <c r="Z181" s="540"/>
      <c r="AA181" s="540"/>
      <c r="AB181" s="540"/>
      <c r="AC181" s="541"/>
      <c r="AD181" s="541">
        <f>SUM(AD182:AD183)</f>
        <v>400000</v>
      </c>
      <c r="AE181" s="542" t="s">
        <v>25</v>
      </c>
      <c r="AF181" s="16"/>
    </row>
    <row r="182" spans="1:32" s="15" customFormat="1" ht="24" customHeight="1">
      <c r="A182" s="46"/>
      <c r="B182" s="46"/>
      <c r="C182" s="46" t="s">
        <v>390</v>
      </c>
      <c r="D182" s="159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76" t="s">
        <v>412</v>
      </c>
      <c r="P182" s="499"/>
      <c r="Q182" s="499"/>
      <c r="R182" s="499"/>
      <c r="S182" s="575">
        <v>0</v>
      </c>
      <c r="T182" s="383" t="s">
        <v>57</v>
      </c>
      <c r="U182" s="383" t="s">
        <v>26</v>
      </c>
      <c r="V182" s="575">
        <v>4</v>
      </c>
      <c r="W182" s="576" t="s">
        <v>392</v>
      </c>
      <c r="X182" s="575"/>
      <c r="Y182" s="500"/>
      <c r="Z182" s="500" t="s">
        <v>53</v>
      </c>
      <c r="AA182" s="500"/>
      <c r="AB182" s="500" t="s">
        <v>278</v>
      </c>
      <c r="AC182" s="500"/>
      <c r="AD182" s="501">
        <f t="shared" ref="AD182" si="20">S182*V182</f>
        <v>0</v>
      </c>
      <c r="AE182" s="502" t="s">
        <v>57</v>
      </c>
      <c r="AF182" s="16"/>
    </row>
    <row r="183" spans="1:32" s="15" customFormat="1" ht="24" customHeight="1">
      <c r="A183" s="46"/>
      <c r="B183" s="46"/>
      <c r="C183" s="46"/>
      <c r="D183" s="159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576" t="s">
        <v>413</v>
      </c>
      <c r="P183" s="544"/>
      <c r="Q183" s="544"/>
      <c r="R183" s="544"/>
      <c r="S183" s="575">
        <v>100000</v>
      </c>
      <c r="T183" s="383" t="s">
        <v>57</v>
      </c>
      <c r="U183" s="383" t="s">
        <v>26</v>
      </c>
      <c r="V183" s="575">
        <v>4</v>
      </c>
      <c r="W183" s="576" t="s">
        <v>392</v>
      </c>
      <c r="X183" s="576" t="s">
        <v>58</v>
      </c>
      <c r="Y183" s="384"/>
      <c r="Z183" s="595" t="s">
        <v>538</v>
      </c>
      <c r="AA183" s="377"/>
      <c r="AB183" s="500" t="s">
        <v>278</v>
      </c>
      <c r="AC183" s="500"/>
      <c r="AD183" s="575">
        <f>S183*V183</f>
        <v>400000</v>
      </c>
      <c r="AE183" s="502" t="s">
        <v>57</v>
      </c>
      <c r="AF183" s="16"/>
    </row>
    <row r="184" spans="1:32" s="15" customFormat="1" ht="24" customHeight="1">
      <c r="A184" s="46"/>
      <c r="B184" s="46"/>
      <c r="C184" s="59"/>
      <c r="D184" s="160"/>
      <c r="E184" s="111"/>
      <c r="F184" s="111"/>
      <c r="G184" s="111"/>
      <c r="H184" s="111"/>
      <c r="I184" s="111"/>
      <c r="J184" s="111"/>
      <c r="K184" s="111"/>
      <c r="L184" s="111"/>
      <c r="M184" s="111"/>
      <c r="N184" s="84"/>
      <c r="O184" s="529"/>
      <c r="P184" s="529"/>
      <c r="Q184" s="529"/>
      <c r="R184" s="529"/>
      <c r="S184" s="529"/>
      <c r="T184" s="528"/>
      <c r="U184" s="528"/>
      <c r="V184" s="528"/>
      <c r="W184" s="528"/>
      <c r="X184" s="528"/>
      <c r="Y184" s="528"/>
      <c r="Z184" s="528"/>
      <c r="AA184" s="528"/>
      <c r="AB184" s="528"/>
      <c r="AC184" s="503"/>
      <c r="AD184" s="543"/>
      <c r="AE184" s="494"/>
      <c r="AF184" s="16"/>
    </row>
    <row r="185" spans="1:32" s="15" customFormat="1" ht="24" customHeight="1">
      <c r="A185" s="46"/>
      <c r="B185" s="46"/>
      <c r="C185" s="36" t="s">
        <v>414</v>
      </c>
      <c r="D185" s="161">
        <v>560</v>
      </c>
      <c r="E185" s="114">
        <f>SUM(F185:L185)</f>
        <v>560</v>
      </c>
      <c r="F185" s="114">
        <f>SUMIF($AB$186:$AB$190,"보조",$AD$186:$AD$190)/1000</f>
        <v>0</v>
      </c>
      <c r="G185" s="114">
        <f>SUMIF($AB$186:$AB$190,"7종",$AD$186:$AD$190)/1000</f>
        <v>0</v>
      </c>
      <c r="H185" s="114">
        <f>SUMIF($AB$186:$AB$190,"시비",$AD$186:$AD$190)/1000</f>
        <v>0</v>
      </c>
      <c r="I185" s="114">
        <f>SUMIF($AB$186:$AB$190,"후원",$AD$186:$AD$190)/1000</f>
        <v>0</v>
      </c>
      <c r="J185" s="114">
        <f>SUMIF($AB$186:$AB$190,"입소",$AD$186:$AD$190)/1000</f>
        <v>560</v>
      </c>
      <c r="K185" s="114">
        <f>SUMIF($AB$186:$AB$190,"법인",$AD$186:$AD$190)/1000</f>
        <v>0</v>
      </c>
      <c r="L185" s="114">
        <f>SUMIF($AB$186:$AB$190,"잡수",$AD$186:$AD$190)/1000</f>
        <v>0</v>
      </c>
      <c r="M185" s="113">
        <f>E185-D185</f>
        <v>0</v>
      </c>
      <c r="N185" s="121">
        <f>IF(D185=0,0,M185/D185)</f>
        <v>0</v>
      </c>
      <c r="O185" s="395"/>
      <c r="P185" s="395"/>
      <c r="Q185" s="395"/>
      <c r="R185" s="395"/>
      <c r="S185" s="395"/>
      <c r="T185" s="379"/>
      <c r="U185" s="379"/>
      <c r="V185" s="379"/>
      <c r="W185" s="540" t="s">
        <v>135</v>
      </c>
      <c r="X185" s="540"/>
      <c r="Y185" s="540"/>
      <c r="Z185" s="540"/>
      <c r="AA185" s="540"/>
      <c r="AB185" s="540"/>
      <c r="AC185" s="541"/>
      <c r="AD185" s="541">
        <f>SUM(AD186:AD189)</f>
        <v>560000</v>
      </c>
      <c r="AE185" s="542" t="s">
        <v>25</v>
      </c>
      <c r="AF185" s="16"/>
    </row>
    <row r="186" spans="1:32" s="15" customFormat="1" ht="24" customHeight="1">
      <c r="A186" s="46"/>
      <c r="B186" s="46"/>
      <c r="C186" s="46" t="s">
        <v>326</v>
      </c>
      <c r="D186" s="159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76" t="s">
        <v>415</v>
      </c>
      <c r="P186" s="531"/>
      <c r="Q186" s="531"/>
      <c r="R186" s="531"/>
      <c r="S186" s="575">
        <v>10000</v>
      </c>
      <c r="T186" s="575" t="s">
        <v>57</v>
      </c>
      <c r="U186" s="576" t="s">
        <v>58</v>
      </c>
      <c r="V186" s="575">
        <v>4</v>
      </c>
      <c r="W186" s="575" t="s">
        <v>56</v>
      </c>
      <c r="X186" s="576" t="s">
        <v>58</v>
      </c>
      <c r="Y186" s="384">
        <v>4</v>
      </c>
      <c r="Z186" s="377" t="s">
        <v>70</v>
      </c>
      <c r="AA186" s="377" t="s">
        <v>53</v>
      </c>
      <c r="AB186" s="575" t="s">
        <v>278</v>
      </c>
      <c r="AC186" s="136"/>
      <c r="AD186" s="575">
        <f>S186*V186*Y186</f>
        <v>160000</v>
      </c>
      <c r="AE186" s="137" t="s">
        <v>57</v>
      </c>
      <c r="AF186" s="16"/>
    </row>
    <row r="187" spans="1:32" s="15" customFormat="1" ht="24" customHeight="1">
      <c r="A187" s="46"/>
      <c r="B187" s="46"/>
      <c r="C187" s="46"/>
      <c r="D187" s="159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499" t="s">
        <v>416</v>
      </c>
      <c r="P187" s="495"/>
      <c r="Q187" s="495"/>
      <c r="R187" s="491"/>
      <c r="S187" s="575">
        <v>10000</v>
      </c>
      <c r="T187" s="575" t="s">
        <v>57</v>
      </c>
      <c r="U187" s="576" t="s">
        <v>58</v>
      </c>
      <c r="V187" s="575">
        <v>4</v>
      </c>
      <c r="W187" s="575" t="s">
        <v>56</v>
      </c>
      <c r="X187" s="576" t="s">
        <v>58</v>
      </c>
      <c r="Y187" s="384">
        <v>5</v>
      </c>
      <c r="Z187" s="377" t="s">
        <v>70</v>
      </c>
      <c r="AA187" s="377" t="s">
        <v>53</v>
      </c>
      <c r="AB187" s="575" t="s">
        <v>278</v>
      </c>
      <c r="AC187" s="136"/>
      <c r="AD187" s="575">
        <f>S187*V187*Y187</f>
        <v>200000</v>
      </c>
      <c r="AE187" s="137" t="s">
        <v>57</v>
      </c>
      <c r="AF187" s="16"/>
    </row>
    <row r="188" spans="1:32" s="15" customFormat="1" ht="24" customHeight="1">
      <c r="A188" s="46"/>
      <c r="B188" s="46"/>
      <c r="C188" s="46"/>
      <c r="D188" s="159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499" t="s">
        <v>418</v>
      </c>
      <c r="P188" s="495"/>
      <c r="Q188" s="495"/>
      <c r="R188" s="491"/>
      <c r="S188" s="491"/>
      <c r="T188" s="491"/>
      <c r="U188" s="491"/>
      <c r="V188" s="491"/>
      <c r="W188" s="575"/>
      <c r="X188" s="575"/>
      <c r="Y188" s="575"/>
      <c r="Z188" s="575"/>
      <c r="AA188" s="575"/>
      <c r="AB188" s="575" t="s">
        <v>384</v>
      </c>
      <c r="AC188" s="136"/>
      <c r="AD188" s="136">
        <v>0</v>
      </c>
      <c r="AE188" s="137" t="s">
        <v>381</v>
      </c>
      <c r="AF188" s="16"/>
    </row>
    <row r="189" spans="1:32" s="15" customFormat="1" ht="24" customHeight="1">
      <c r="A189" s="46"/>
      <c r="B189" s="46"/>
      <c r="C189" s="46"/>
      <c r="D189" s="159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499" t="s">
        <v>417</v>
      </c>
      <c r="P189" s="499"/>
      <c r="Q189" s="499"/>
      <c r="R189" s="499"/>
      <c r="S189" s="575">
        <v>20000</v>
      </c>
      <c r="T189" s="575" t="s">
        <v>57</v>
      </c>
      <c r="U189" s="576" t="s">
        <v>58</v>
      </c>
      <c r="V189" s="575">
        <v>2</v>
      </c>
      <c r="W189" s="575" t="s">
        <v>56</v>
      </c>
      <c r="X189" s="576" t="s">
        <v>58</v>
      </c>
      <c r="Y189" s="384">
        <v>5</v>
      </c>
      <c r="Z189" s="377" t="s">
        <v>419</v>
      </c>
      <c r="AA189" s="377" t="s">
        <v>53</v>
      </c>
      <c r="AB189" s="575" t="s">
        <v>278</v>
      </c>
      <c r="AC189" s="136"/>
      <c r="AD189" s="575">
        <f>S189*V189*Y189</f>
        <v>200000</v>
      </c>
      <c r="AE189" s="137" t="s">
        <v>57</v>
      </c>
      <c r="AF189" s="16"/>
    </row>
    <row r="190" spans="1:32" s="15" customFormat="1" ht="24" customHeight="1">
      <c r="A190" s="46"/>
      <c r="B190" s="46"/>
      <c r="C190" s="59"/>
      <c r="D190" s="160"/>
      <c r="E190" s="111"/>
      <c r="F190" s="111"/>
      <c r="G190" s="111"/>
      <c r="H190" s="111"/>
      <c r="I190" s="111"/>
      <c r="J190" s="111"/>
      <c r="K190" s="111"/>
      <c r="L190" s="111"/>
      <c r="M190" s="111"/>
      <c r="N190" s="84"/>
      <c r="O190" s="536"/>
      <c r="P190" s="536"/>
      <c r="Q190" s="536"/>
      <c r="R190" s="536"/>
      <c r="S190" s="536"/>
      <c r="T190" s="536"/>
      <c r="U190" s="536"/>
      <c r="V190" s="536"/>
      <c r="W190" s="536"/>
      <c r="X190" s="536"/>
      <c r="Y190" s="536"/>
      <c r="Z190" s="536"/>
      <c r="AA190" s="536"/>
      <c r="AB190" s="536"/>
      <c r="AC190" s="536"/>
      <c r="AD190" s="537"/>
      <c r="AE190" s="538"/>
      <c r="AF190" s="16"/>
    </row>
    <row r="191" spans="1:32" s="15" customFormat="1" ht="24" customHeight="1">
      <c r="A191" s="46"/>
      <c r="B191" s="46"/>
      <c r="C191" s="36" t="s">
        <v>328</v>
      </c>
      <c r="D191" s="161">
        <v>100</v>
      </c>
      <c r="E191" s="114">
        <f>SUM(F191:L191)</f>
        <v>100</v>
      </c>
      <c r="F191" s="114">
        <f>SUMIF($AB$192:$AB$194,"보조",$AD$192:$AD$194)/1000</f>
        <v>0</v>
      </c>
      <c r="G191" s="114">
        <f>SUMIF($AB$192:$AB$194,"7종",$AD$192:$AD$194)/1000</f>
        <v>0</v>
      </c>
      <c r="H191" s="114">
        <f>SUMIF($AB$192:$AB$194,"시비",$AD$192:$AD$194)/1000</f>
        <v>0</v>
      </c>
      <c r="I191" s="114">
        <f>SUMIF($AB$192:$AB$194,"후원",$AD$192:$AD$194)/1000</f>
        <v>0</v>
      </c>
      <c r="J191" s="114">
        <f>SUMIF($AB$192:$AB$194,"입소",$AD$192:$AD$194)/1000</f>
        <v>100</v>
      </c>
      <c r="K191" s="114">
        <f>SUMIF($AB$192:$AB$194,"법인",$AD$192:$AD$194)/1000</f>
        <v>0</v>
      </c>
      <c r="L191" s="114">
        <f>SUMIF($AB$192:$AB$194,"잡수",$AD$192:$AD$194)/1000</f>
        <v>0</v>
      </c>
      <c r="M191" s="113">
        <f>E191-D191</f>
        <v>0</v>
      </c>
      <c r="N191" s="121">
        <f>IF(D191=0,0,M191/D191)</f>
        <v>0</v>
      </c>
      <c r="O191" s="374"/>
      <c r="P191" s="391"/>
      <c r="Q191" s="391"/>
      <c r="R191" s="539"/>
      <c r="S191" s="539"/>
      <c r="T191" s="539"/>
      <c r="U191" s="539"/>
      <c r="V191" s="539"/>
      <c r="W191" s="540" t="s">
        <v>135</v>
      </c>
      <c r="X191" s="540"/>
      <c r="Y191" s="540"/>
      <c r="Z191" s="540"/>
      <c r="AA191" s="540"/>
      <c r="AB191" s="540"/>
      <c r="AC191" s="541"/>
      <c r="AD191" s="541">
        <f>SUM(AD192:AD193)</f>
        <v>100000</v>
      </c>
      <c r="AE191" s="542" t="s">
        <v>25</v>
      </c>
      <c r="AF191" s="16"/>
    </row>
    <row r="192" spans="1:32" s="15" customFormat="1" ht="24" customHeight="1">
      <c r="A192" s="46"/>
      <c r="B192" s="46"/>
      <c r="C192" s="46" t="s">
        <v>327</v>
      </c>
      <c r="D192" s="159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576" t="s">
        <v>420</v>
      </c>
      <c r="P192" s="495"/>
      <c r="Q192" s="495"/>
      <c r="R192" s="491"/>
      <c r="S192" s="575">
        <v>100000</v>
      </c>
      <c r="T192" s="383" t="s">
        <v>57</v>
      </c>
      <c r="U192" s="383" t="s">
        <v>26</v>
      </c>
      <c r="V192" s="575">
        <v>1</v>
      </c>
      <c r="W192" s="576" t="s">
        <v>70</v>
      </c>
      <c r="X192" s="575"/>
      <c r="Y192" s="499"/>
      <c r="Z192" s="499" t="s">
        <v>53</v>
      </c>
      <c r="AA192" s="499"/>
      <c r="AB192" s="499" t="s">
        <v>278</v>
      </c>
      <c r="AC192" s="499"/>
      <c r="AD192" s="535">
        <f>S192*V192</f>
        <v>100000</v>
      </c>
      <c r="AE192" s="502" t="s">
        <v>57</v>
      </c>
      <c r="AF192" s="16"/>
    </row>
    <row r="193" spans="1:32" s="15" customFormat="1" ht="24" customHeight="1">
      <c r="A193" s="46"/>
      <c r="B193" s="46"/>
      <c r="C193" s="46" t="s">
        <v>326</v>
      </c>
      <c r="D193" s="159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576" t="s">
        <v>421</v>
      </c>
      <c r="P193" s="495"/>
      <c r="Q193" s="495"/>
      <c r="R193" s="491"/>
      <c r="S193" s="530">
        <v>0</v>
      </c>
      <c r="T193" s="383" t="s">
        <v>57</v>
      </c>
      <c r="U193" s="383" t="s">
        <v>26</v>
      </c>
      <c r="V193" s="530">
        <v>0</v>
      </c>
      <c r="W193" s="531" t="s">
        <v>70</v>
      </c>
      <c r="X193" s="530"/>
      <c r="Y193" s="499"/>
      <c r="Z193" s="499" t="s">
        <v>53</v>
      </c>
      <c r="AA193" s="499"/>
      <c r="AB193" s="499" t="s">
        <v>278</v>
      </c>
      <c r="AC193" s="499"/>
      <c r="AD193" s="535">
        <f>S193*V193</f>
        <v>0</v>
      </c>
      <c r="AE193" s="502" t="s">
        <v>57</v>
      </c>
      <c r="AF193" s="16"/>
    </row>
    <row r="194" spans="1:32" s="15" customFormat="1" ht="24" customHeight="1">
      <c r="A194" s="46"/>
      <c r="B194" s="46"/>
      <c r="C194" s="46"/>
      <c r="D194" s="159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576"/>
      <c r="P194" s="495"/>
      <c r="Q194" s="495"/>
      <c r="R194" s="491"/>
      <c r="S194" s="575"/>
      <c r="T194" s="383"/>
      <c r="U194" s="383"/>
      <c r="V194" s="575"/>
      <c r="W194" s="576"/>
      <c r="X194" s="575"/>
      <c r="Y194" s="499"/>
      <c r="Z194" s="499"/>
      <c r="AA194" s="499"/>
      <c r="AB194" s="499"/>
      <c r="AC194" s="499"/>
      <c r="AD194" s="535"/>
      <c r="AE194" s="502"/>
      <c r="AF194" s="16"/>
    </row>
    <row r="195" spans="1:32" s="15" customFormat="1" ht="24" customHeight="1">
      <c r="A195" s="46"/>
      <c r="B195" s="46"/>
      <c r="C195" s="36" t="s">
        <v>436</v>
      </c>
      <c r="D195" s="161">
        <v>600</v>
      </c>
      <c r="E195" s="114">
        <f>SUM(F195:L195)</f>
        <v>600</v>
      </c>
      <c r="F195" s="114">
        <f>SUMIF($AB$196:$AB$197,"보조",$AD$196:$AD$197)/1000</f>
        <v>0</v>
      </c>
      <c r="G195" s="114">
        <f>SUMIF($AB$196:$AB$197,"7종",$AD$196:$AD$197)/1000</f>
        <v>0</v>
      </c>
      <c r="H195" s="114">
        <f>SUMIF($AB$196:$AB$197,"시비",$AD$196:$AD$197)/1000</f>
        <v>0</v>
      </c>
      <c r="I195" s="114">
        <f>SUMIF($AB$196:$AB$197,"후원",$AD$196:$AD$197)/1000</f>
        <v>600</v>
      </c>
      <c r="J195" s="114">
        <f>SUMIF($AB$196:$AB$197,"입소",$AD$196:$AD$197)/1000</f>
        <v>0</v>
      </c>
      <c r="K195" s="114">
        <f>SUMIF($AB$196:$AB$197,"법인",$AD$196:$AD$197)/1000</f>
        <v>0</v>
      </c>
      <c r="L195" s="114">
        <f>SUMIF($AB$196:$AB$197,"잡수",$AD$196:$AD$197)/1000</f>
        <v>0</v>
      </c>
      <c r="M195" s="113">
        <f>E195-D195</f>
        <v>0</v>
      </c>
      <c r="N195" s="121">
        <f>IF(D195=0,0,M195/D195)</f>
        <v>0</v>
      </c>
      <c r="O195" s="374"/>
      <c r="P195" s="391"/>
      <c r="Q195" s="391"/>
      <c r="R195" s="539"/>
      <c r="S195" s="539"/>
      <c r="T195" s="539"/>
      <c r="U195" s="539"/>
      <c r="V195" s="539"/>
      <c r="W195" s="540" t="s">
        <v>135</v>
      </c>
      <c r="X195" s="540"/>
      <c r="Y195" s="540"/>
      <c r="Z195" s="540"/>
      <c r="AA195" s="540"/>
      <c r="AB195" s="540"/>
      <c r="AC195" s="541"/>
      <c r="AD195" s="541">
        <f>SUM(AD196:AD196)</f>
        <v>600000</v>
      </c>
      <c r="AE195" s="542" t="s">
        <v>25</v>
      </c>
      <c r="AF195" s="16"/>
    </row>
    <row r="196" spans="1:32" s="15" customFormat="1" ht="24" customHeight="1">
      <c r="A196" s="46"/>
      <c r="B196" s="46"/>
      <c r="C196" s="46" t="s">
        <v>133</v>
      </c>
      <c r="D196" s="159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76" t="s">
        <v>619</v>
      </c>
      <c r="P196" s="495"/>
      <c r="Q196" s="495"/>
      <c r="R196" s="491"/>
      <c r="S196" s="575">
        <v>50000</v>
      </c>
      <c r="T196" s="383" t="s">
        <v>57</v>
      </c>
      <c r="U196" s="383" t="s">
        <v>26</v>
      </c>
      <c r="V196" s="575">
        <v>12</v>
      </c>
      <c r="W196" s="576" t="s">
        <v>437</v>
      </c>
      <c r="X196" s="575"/>
      <c r="Y196" s="499"/>
      <c r="Z196" s="499" t="s">
        <v>53</v>
      </c>
      <c r="AA196" s="499"/>
      <c r="AB196" s="499" t="s">
        <v>379</v>
      </c>
      <c r="AC196" s="499"/>
      <c r="AD196" s="535">
        <f>S196*V196</f>
        <v>600000</v>
      </c>
      <c r="AE196" s="502" t="s">
        <v>57</v>
      </c>
      <c r="AF196" s="16"/>
    </row>
    <row r="197" spans="1:32" s="15" customFormat="1" ht="24" customHeight="1">
      <c r="A197" s="46"/>
      <c r="B197" s="46"/>
      <c r="C197" s="59"/>
      <c r="D197" s="160"/>
      <c r="E197" s="111"/>
      <c r="F197" s="111"/>
      <c r="G197" s="111"/>
      <c r="H197" s="111"/>
      <c r="I197" s="111"/>
      <c r="J197" s="111"/>
      <c r="K197" s="111"/>
      <c r="L197" s="111"/>
      <c r="M197" s="111"/>
      <c r="N197" s="84"/>
      <c r="O197" s="529"/>
      <c r="P197" s="378"/>
      <c r="Q197" s="378"/>
      <c r="R197" s="545"/>
      <c r="S197" s="545"/>
      <c r="T197" s="545"/>
      <c r="U197" s="545"/>
      <c r="V197" s="545"/>
      <c r="W197" s="528"/>
      <c r="X197" s="528"/>
      <c r="Y197" s="528"/>
      <c r="Z197" s="528"/>
      <c r="AA197" s="528"/>
      <c r="AB197" s="528"/>
      <c r="AC197" s="503"/>
      <c r="AD197" s="503"/>
      <c r="AE197" s="494"/>
      <c r="AF197" s="16"/>
    </row>
    <row r="198" spans="1:32" s="11" customFormat="1" ht="21" customHeight="1">
      <c r="A198" s="112" t="s">
        <v>153</v>
      </c>
      <c r="B198" s="679" t="s">
        <v>20</v>
      </c>
      <c r="C198" s="680"/>
      <c r="D198" s="174">
        <f>SUM(D199)</f>
        <v>5</v>
      </c>
      <c r="E198" s="174">
        <f>SUM(E199)</f>
        <v>1</v>
      </c>
      <c r="F198" s="174">
        <f t="shared" ref="F198:L198" si="21">SUM(F199)</f>
        <v>1</v>
      </c>
      <c r="G198" s="174">
        <f t="shared" si="21"/>
        <v>0</v>
      </c>
      <c r="H198" s="174">
        <f t="shared" si="21"/>
        <v>0</v>
      </c>
      <c r="I198" s="174">
        <f t="shared" si="21"/>
        <v>0</v>
      </c>
      <c r="J198" s="174">
        <f t="shared" si="21"/>
        <v>0</v>
      </c>
      <c r="K198" s="174">
        <f t="shared" si="21"/>
        <v>0</v>
      </c>
      <c r="L198" s="174">
        <f t="shared" si="21"/>
        <v>0</v>
      </c>
      <c r="M198" s="174">
        <f>E198-D198</f>
        <v>-4</v>
      </c>
      <c r="N198" s="175">
        <f>IF(D198=0,0,M198/D198)</f>
        <v>-0.8</v>
      </c>
      <c r="O198" s="97" t="s">
        <v>156</v>
      </c>
      <c r="P198" s="176"/>
      <c r="Q198" s="176"/>
      <c r="R198" s="176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>
        <f>SUM(AD199)</f>
        <v>1000</v>
      </c>
      <c r="AE198" s="178" t="s">
        <v>25</v>
      </c>
      <c r="AF198" s="1"/>
    </row>
    <row r="199" spans="1:32" s="11" customFormat="1" ht="21" customHeight="1">
      <c r="A199" s="194" t="s">
        <v>155</v>
      </c>
      <c r="B199" s="46" t="s">
        <v>153</v>
      </c>
      <c r="C199" s="46" t="s">
        <v>153</v>
      </c>
      <c r="D199" s="159">
        <v>5</v>
      </c>
      <c r="E199" s="114">
        <f>SUM(F199:L199)</f>
        <v>1</v>
      </c>
      <c r="F199" s="114">
        <f>SUMIF($AB$200:$AB$207,"보조",$AD$200:$AD$207)/1000</f>
        <v>1</v>
      </c>
      <c r="G199" s="114">
        <f>SUMIF($AB$200:$AB$207,"7종",$AD$200:$AD$207)/1000</f>
        <v>0</v>
      </c>
      <c r="H199" s="114">
        <f>SUMIF($AB$200:$AB$207,"시비",$AD$200:$AD$207)/1000</f>
        <v>0</v>
      </c>
      <c r="I199" s="114">
        <f>SUMIF($AB$200:$AB$207,"후원",$AD$200:$AD$207)/1000</f>
        <v>0</v>
      </c>
      <c r="J199" s="114">
        <f>SUMIF($AB$200:$AB$207,"입소",$AD$200:$AD$207)/1000</f>
        <v>0</v>
      </c>
      <c r="K199" s="114">
        <f>SUMIF($AB$200:$AB$207,"법인",$AD$200:$AD$207)/1000</f>
        <v>0</v>
      </c>
      <c r="L199" s="114">
        <f>SUMIF($AB$200:$AB$207,"잡수",$AD$200:$AD$207)/1000</f>
        <v>0</v>
      </c>
      <c r="M199" s="109">
        <f>E199-D199</f>
        <v>-4</v>
      </c>
      <c r="N199" s="70">
        <f>IF(D199=0,0,M199/D199)</f>
        <v>-0.8</v>
      </c>
      <c r="O199" s="378" t="s">
        <v>271</v>
      </c>
      <c r="P199" s="32"/>
      <c r="Q199" s="32"/>
      <c r="R199" s="32"/>
      <c r="S199" s="32"/>
      <c r="T199" s="33"/>
      <c r="U199" s="33"/>
      <c r="V199" s="33"/>
      <c r="W199" s="33"/>
      <c r="X199" s="33"/>
      <c r="Y199" s="177" t="s">
        <v>141</v>
      </c>
      <c r="Z199" s="99"/>
      <c r="AA199" s="99"/>
      <c r="AB199" s="99"/>
      <c r="AC199" s="118"/>
      <c r="AD199" s="118">
        <f>ROUNDUP(SUM(AD200:AD205),-3)</f>
        <v>1000</v>
      </c>
      <c r="AE199" s="119" t="s">
        <v>25</v>
      </c>
      <c r="AF199" s="1"/>
    </row>
    <row r="200" spans="1:32" ht="21" customHeight="1">
      <c r="A200" s="45"/>
      <c r="B200" s="46" t="s">
        <v>154</v>
      </c>
      <c r="C200" s="46" t="s">
        <v>154</v>
      </c>
      <c r="D200" s="159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76" t="s">
        <v>422</v>
      </c>
      <c r="P200" s="470"/>
      <c r="Q200" s="470"/>
      <c r="R200" s="470"/>
      <c r="S200" s="469"/>
      <c r="T200" s="469"/>
      <c r="U200" s="469"/>
      <c r="V200" s="469"/>
      <c r="W200" s="469"/>
      <c r="X200" s="469"/>
      <c r="Y200" s="469"/>
      <c r="Z200" s="469"/>
      <c r="AA200" s="469"/>
      <c r="AB200" s="575" t="s">
        <v>429</v>
      </c>
      <c r="AC200" s="469"/>
      <c r="AD200" s="68">
        <v>1000</v>
      </c>
      <c r="AE200" s="137" t="s">
        <v>25</v>
      </c>
    </row>
    <row r="201" spans="1:32" ht="21" customHeight="1">
      <c r="A201" s="45"/>
      <c r="B201" s="46"/>
      <c r="C201" s="46"/>
      <c r="D201" s="159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76" t="s">
        <v>423</v>
      </c>
      <c r="P201" s="470"/>
      <c r="Q201" s="470"/>
      <c r="R201" s="470"/>
      <c r="S201" s="469"/>
      <c r="T201" s="469"/>
      <c r="U201" s="469"/>
      <c r="V201" s="469"/>
      <c r="W201" s="469"/>
      <c r="X201" s="469"/>
      <c r="Y201" s="469"/>
      <c r="Z201" s="469"/>
      <c r="AA201" s="469"/>
      <c r="AB201" s="575" t="s">
        <v>429</v>
      </c>
      <c r="AC201" s="469"/>
      <c r="AD201" s="68">
        <v>0</v>
      </c>
      <c r="AE201" s="137" t="s">
        <v>311</v>
      </c>
    </row>
    <row r="202" spans="1:32" ht="21" customHeight="1">
      <c r="A202" s="45"/>
      <c r="B202" s="46"/>
      <c r="C202" s="46"/>
      <c r="D202" s="159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76" t="s">
        <v>428</v>
      </c>
      <c r="P202" s="576"/>
      <c r="Q202" s="576"/>
      <c r="R202" s="576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 t="s">
        <v>429</v>
      </c>
      <c r="AC202" s="575"/>
      <c r="AD202" s="68">
        <v>0</v>
      </c>
      <c r="AE202" s="137" t="s">
        <v>381</v>
      </c>
    </row>
    <row r="203" spans="1:32" ht="21" customHeight="1">
      <c r="A203" s="45"/>
      <c r="B203" s="46"/>
      <c r="C203" s="46"/>
      <c r="D203" s="159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576" t="s">
        <v>424</v>
      </c>
      <c r="P203" s="470"/>
      <c r="Q203" s="470"/>
      <c r="R203" s="470"/>
      <c r="S203" s="469"/>
      <c r="T203" s="469"/>
      <c r="U203" s="469"/>
      <c r="V203" s="469"/>
      <c r="W203" s="469"/>
      <c r="X203" s="469"/>
      <c r="Y203" s="469"/>
      <c r="Z203" s="469"/>
      <c r="AA203" s="469"/>
      <c r="AB203" s="575" t="s">
        <v>618</v>
      </c>
      <c r="AC203" s="469"/>
      <c r="AD203" s="68">
        <v>0</v>
      </c>
      <c r="AE203" s="137" t="s">
        <v>311</v>
      </c>
    </row>
    <row r="204" spans="1:32" ht="21" customHeight="1">
      <c r="A204" s="45"/>
      <c r="B204" s="46"/>
      <c r="C204" s="46"/>
      <c r="D204" s="159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576" t="s">
        <v>425</v>
      </c>
      <c r="P204" s="470"/>
      <c r="Q204" s="470"/>
      <c r="R204" s="470"/>
      <c r="S204" s="469"/>
      <c r="T204" s="469"/>
      <c r="U204" s="469"/>
      <c r="V204" s="469"/>
      <c r="W204" s="469"/>
      <c r="X204" s="469"/>
      <c r="Y204" s="469"/>
      <c r="Z204" s="469"/>
      <c r="AA204" s="469"/>
      <c r="AB204" s="575" t="s">
        <v>618</v>
      </c>
      <c r="AC204" s="469"/>
      <c r="AD204" s="68">
        <v>0</v>
      </c>
      <c r="AE204" s="137" t="s">
        <v>311</v>
      </c>
    </row>
    <row r="205" spans="1:32" ht="21" customHeight="1">
      <c r="A205" s="45"/>
      <c r="B205" s="46"/>
      <c r="C205" s="46"/>
      <c r="D205" s="159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576" t="s">
        <v>426</v>
      </c>
      <c r="P205" s="470"/>
      <c r="Q205" s="470"/>
      <c r="R205" s="470"/>
      <c r="S205" s="469"/>
      <c r="T205" s="469"/>
      <c r="U205" s="469"/>
      <c r="V205" s="469"/>
      <c r="W205" s="469"/>
      <c r="X205" s="469"/>
      <c r="Y205" s="469"/>
      <c r="Z205" s="469"/>
      <c r="AA205" s="469"/>
      <c r="AB205" s="575" t="s">
        <v>620</v>
      </c>
      <c r="AC205" s="469"/>
      <c r="AD205" s="68">
        <v>0</v>
      </c>
      <c r="AE205" s="137" t="s">
        <v>25</v>
      </c>
    </row>
    <row r="206" spans="1:32" ht="21" customHeight="1">
      <c r="A206" s="45"/>
      <c r="B206" s="46"/>
      <c r="C206" s="47"/>
      <c r="D206" s="159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576" t="s">
        <v>427</v>
      </c>
      <c r="P206" s="576"/>
      <c r="Q206" s="576"/>
      <c r="R206" s="576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 t="s">
        <v>620</v>
      </c>
      <c r="AC206" s="575"/>
      <c r="AD206" s="68"/>
      <c r="AE206" s="137"/>
    </row>
    <row r="207" spans="1:32" s="14" customFormat="1" ht="21" customHeight="1">
      <c r="A207" s="45"/>
      <c r="B207" s="59"/>
      <c r="C207" s="47"/>
      <c r="D207" s="159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1"/>
      <c r="AE207" s="57"/>
      <c r="AF207" s="4"/>
    </row>
    <row r="208" spans="1:32" s="11" customFormat="1" ht="21" customHeight="1">
      <c r="A208" s="35" t="s">
        <v>96</v>
      </c>
      <c r="B208" s="679" t="s">
        <v>20</v>
      </c>
      <c r="C208" s="680"/>
      <c r="D208" s="174">
        <f>D209</f>
        <v>0</v>
      </c>
      <c r="E208" s="174">
        <f>E209</f>
        <v>0</v>
      </c>
      <c r="F208" s="174">
        <f t="shared" ref="F208:L208" si="22">F209</f>
        <v>0</v>
      </c>
      <c r="G208" s="174">
        <f t="shared" si="22"/>
        <v>0</v>
      </c>
      <c r="H208" s="174">
        <f t="shared" si="22"/>
        <v>0</v>
      </c>
      <c r="I208" s="174">
        <f t="shared" si="22"/>
        <v>0</v>
      </c>
      <c r="J208" s="174">
        <f t="shared" si="22"/>
        <v>0</v>
      </c>
      <c r="K208" s="174">
        <f t="shared" si="22"/>
        <v>0</v>
      </c>
      <c r="L208" s="174">
        <f t="shared" si="22"/>
        <v>0</v>
      </c>
      <c r="M208" s="174">
        <f>E208-D208</f>
        <v>0</v>
      </c>
      <c r="N208" s="175">
        <f>IF(D208=0,0,M208/D208)</f>
        <v>0</v>
      </c>
      <c r="O208" s="176" t="s">
        <v>96</v>
      </c>
      <c r="P208" s="176"/>
      <c r="Q208" s="176"/>
      <c r="R208" s="176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>
        <f>SUM(AD209)</f>
        <v>0</v>
      </c>
      <c r="AE208" s="178" t="s">
        <v>25</v>
      </c>
      <c r="AF208" s="1"/>
    </row>
    <row r="209" spans="1:32" s="11" customFormat="1" ht="21" customHeight="1">
      <c r="A209" s="45"/>
      <c r="B209" s="46" t="s">
        <v>96</v>
      </c>
      <c r="C209" s="46" t="s">
        <v>96</v>
      </c>
      <c r="D209" s="159">
        <v>0</v>
      </c>
      <c r="E209" s="114">
        <f>SUM(F209:L209)</f>
        <v>0</v>
      </c>
      <c r="F209" s="114">
        <f>SUMIF($AB$210:$AB$210,"보조",$AD$210:$AD$210)/1000</f>
        <v>0</v>
      </c>
      <c r="G209" s="114">
        <f>SUMIF($AB$210:$AB$210,"7종",$AD$210:$AD$210)/1000</f>
        <v>0</v>
      </c>
      <c r="H209" s="114">
        <f>SUMIF($AB$210:$AB$210,"시비",$AD$210:$AD$210)/1000</f>
        <v>0</v>
      </c>
      <c r="I209" s="114">
        <f>SUMIF($AB$210:$AB$210,"후원",$AD$210:$AD$210)/1000</f>
        <v>0</v>
      </c>
      <c r="J209" s="114">
        <f>SUMIF($AB$210:$AB$210,"입소",$AD$210:$AD$210)/1000</f>
        <v>0</v>
      </c>
      <c r="K209" s="114">
        <f>SUMIF($AB$210:$AB$210,"법인",$AD$210:$AD$210)/1000</f>
        <v>0</v>
      </c>
      <c r="L209" s="114">
        <f>SUMIF($AB$210:$AB$210,"잡수",$AD$210:$AD$210)/1000</f>
        <v>0</v>
      </c>
      <c r="M209" s="109">
        <f>E209-D209</f>
        <v>0</v>
      </c>
      <c r="N209" s="70">
        <f>IF(D209=0,0,M209/D209)</f>
        <v>0</v>
      </c>
      <c r="O209" s="116" t="s">
        <v>97</v>
      </c>
      <c r="P209" s="32"/>
      <c r="Q209" s="32"/>
      <c r="R209" s="32"/>
      <c r="S209" s="32"/>
      <c r="T209" s="33"/>
      <c r="U209" s="33"/>
      <c r="V209" s="33"/>
      <c r="W209" s="33"/>
      <c r="X209" s="33"/>
      <c r="Y209" s="177" t="s">
        <v>141</v>
      </c>
      <c r="Z209" s="99"/>
      <c r="AA209" s="99"/>
      <c r="AB209" s="99"/>
      <c r="AC209" s="118"/>
      <c r="AD209" s="118">
        <v>0</v>
      </c>
      <c r="AE209" s="119" t="s">
        <v>25</v>
      </c>
      <c r="AF209" s="1"/>
    </row>
    <row r="210" spans="1:32" s="1" customFormat="1" ht="21" customHeight="1" thickBot="1">
      <c r="A210" s="138"/>
      <c r="B210" s="46"/>
      <c r="C210" s="46"/>
      <c r="D210" s="159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141"/>
    </row>
    <row r="211" spans="1:32" s="11" customFormat="1" ht="21" customHeight="1">
      <c r="A211" s="35" t="s">
        <v>21</v>
      </c>
      <c r="B211" s="677" t="s">
        <v>20</v>
      </c>
      <c r="C211" s="678"/>
      <c r="D211" s="199">
        <f>SUM(D212)</f>
        <v>8</v>
      </c>
      <c r="E211" s="199">
        <f>SUM(E212)</f>
        <v>8</v>
      </c>
      <c r="F211" s="199">
        <f t="shared" ref="F211:L211" si="23">SUM(F212)</f>
        <v>0</v>
      </c>
      <c r="G211" s="199">
        <f t="shared" si="23"/>
        <v>0</v>
      </c>
      <c r="H211" s="199">
        <f t="shared" si="23"/>
        <v>0</v>
      </c>
      <c r="I211" s="199">
        <f t="shared" si="23"/>
        <v>2</v>
      </c>
      <c r="J211" s="199">
        <f t="shared" si="23"/>
        <v>4</v>
      </c>
      <c r="K211" s="199">
        <f t="shared" si="23"/>
        <v>1</v>
      </c>
      <c r="L211" s="199">
        <f t="shared" si="23"/>
        <v>1</v>
      </c>
      <c r="M211" s="199">
        <f>E211-D211</f>
        <v>0</v>
      </c>
      <c r="N211" s="200">
        <f>IF(D211=0,0,M211/D211)</f>
        <v>0</v>
      </c>
      <c r="O211" s="167" t="s">
        <v>21</v>
      </c>
      <c r="P211" s="168"/>
      <c r="Q211" s="168"/>
      <c r="R211" s="168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>
        <f>AD212</f>
        <v>8000</v>
      </c>
      <c r="AE211" s="170" t="s">
        <v>25</v>
      </c>
      <c r="AF211" s="1"/>
    </row>
    <row r="212" spans="1:32" s="11" customFormat="1" ht="21" customHeight="1">
      <c r="A212" s="45"/>
      <c r="B212" s="46" t="s">
        <v>21</v>
      </c>
      <c r="C212" s="46" t="s">
        <v>21</v>
      </c>
      <c r="D212" s="109">
        <v>8</v>
      </c>
      <c r="E212" s="114">
        <f>SUM(F212:L212)</f>
        <v>8</v>
      </c>
      <c r="F212" s="114">
        <f>SUMIF($AB$213:$AB$221,"보조",$AD$213:$AD$221)/1000</f>
        <v>0</v>
      </c>
      <c r="G212" s="114">
        <f>SUMIF($AB$213:$AB$221,"7종",$AD$213:$AD$221)/1000</f>
        <v>0</v>
      </c>
      <c r="H212" s="114">
        <f>SUMIF($AB$213:$AB$221,"시비",$AD$213:$AD$221)/1000</f>
        <v>0</v>
      </c>
      <c r="I212" s="114">
        <f>SUMIF($AB$213:$AB$221,"후원",$AD$213:$AD$221)/1000</f>
        <v>2</v>
      </c>
      <c r="J212" s="114">
        <f>SUMIF($AB$213:$AB$221,"입소",$AD$213:$AD$221)/1000</f>
        <v>4</v>
      </c>
      <c r="K212" s="114">
        <f>SUMIF($AB$213:$AB$221,"법인",$AD$213:$AD$221)/1000</f>
        <v>1</v>
      </c>
      <c r="L212" s="114">
        <f>SUMIF($AB$213:$AB$221,"잡수",$AD$213:$AD$221)/1000</f>
        <v>1</v>
      </c>
      <c r="M212" s="109">
        <f>E212-D212</f>
        <v>0</v>
      </c>
      <c r="N212" s="70">
        <f>IF(D212=0,0,M212/D212)</f>
        <v>0</v>
      </c>
      <c r="O212" s="116" t="s">
        <v>52</v>
      </c>
      <c r="P212" s="32"/>
      <c r="Q212" s="32"/>
      <c r="R212" s="32"/>
      <c r="S212" s="32"/>
      <c r="T212" s="33"/>
      <c r="U212" s="33"/>
      <c r="V212" s="33"/>
      <c r="W212" s="33"/>
      <c r="X212" s="33"/>
      <c r="Y212" s="177" t="s">
        <v>141</v>
      </c>
      <c r="Z212" s="99"/>
      <c r="AA212" s="99"/>
      <c r="AB212" s="99"/>
      <c r="AC212" s="118"/>
      <c r="AD212" s="118">
        <f>SUM(AD213:AD220)</f>
        <v>8000</v>
      </c>
      <c r="AE212" s="119" t="s">
        <v>25</v>
      </c>
      <c r="AF212" s="1"/>
    </row>
    <row r="213" spans="1:32" s="11" customFormat="1" ht="21" customHeight="1">
      <c r="A213" s="45"/>
      <c r="B213" s="46"/>
      <c r="C213" s="46"/>
      <c r="D213" s="159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576" t="s">
        <v>523</v>
      </c>
      <c r="P213" s="576"/>
      <c r="Q213" s="576"/>
      <c r="R213" s="576"/>
      <c r="S213" s="576"/>
      <c r="T213" s="575"/>
      <c r="U213" s="575"/>
      <c r="V213" s="575"/>
      <c r="W213" s="575"/>
      <c r="X213" s="575"/>
      <c r="Y213" s="575"/>
      <c r="Z213" s="575"/>
      <c r="AA213" s="575"/>
      <c r="AB213" s="575" t="s">
        <v>621</v>
      </c>
      <c r="AC213" s="136"/>
      <c r="AD213" s="68">
        <v>1000</v>
      </c>
      <c r="AE213" s="137" t="s">
        <v>519</v>
      </c>
      <c r="AF213" s="2"/>
    </row>
    <row r="214" spans="1:32" s="11" customFormat="1" ht="21" customHeight="1">
      <c r="A214" s="45"/>
      <c r="B214" s="46"/>
      <c r="C214" s="46"/>
      <c r="D214" s="159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76" t="s">
        <v>524</v>
      </c>
      <c r="P214" s="576"/>
      <c r="Q214" s="576"/>
      <c r="R214" s="576"/>
      <c r="S214" s="576"/>
      <c r="T214" s="575"/>
      <c r="U214" s="575"/>
      <c r="V214" s="575"/>
      <c r="W214" s="575"/>
      <c r="X214" s="575"/>
      <c r="Y214" s="575"/>
      <c r="Z214" s="575"/>
      <c r="AA214" s="575"/>
      <c r="AB214" s="575" t="s">
        <v>621</v>
      </c>
      <c r="AC214" s="136"/>
      <c r="AD214" s="68">
        <v>0</v>
      </c>
      <c r="AE214" s="137" t="s">
        <v>519</v>
      </c>
      <c r="AF214" s="2"/>
    </row>
    <row r="215" spans="1:32" s="11" customFormat="1" ht="21" customHeight="1">
      <c r="A215" s="45"/>
      <c r="B215" s="46"/>
      <c r="C215" s="46"/>
      <c r="D215" s="159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576" t="s">
        <v>525</v>
      </c>
      <c r="P215" s="576"/>
      <c r="Q215" s="576"/>
      <c r="R215" s="576"/>
      <c r="S215" s="576"/>
      <c r="T215" s="575"/>
      <c r="U215" s="575"/>
      <c r="V215" s="575"/>
      <c r="W215" s="575"/>
      <c r="X215" s="575"/>
      <c r="Y215" s="575"/>
      <c r="Z215" s="575"/>
      <c r="AA215" s="575"/>
      <c r="AB215" s="575" t="s">
        <v>622</v>
      </c>
      <c r="AC215" s="136"/>
      <c r="AD215" s="68">
        <v>4000</v>
      </c>
      <c r="AE215" s="137" t="s">
        <v>519</v>
      </c>
      <c r="AF215" s="2"/>
    </row>
    <row r="216" spans="1:32" s="11" customFormat="1" ht="21" customHeight="1">
      <c r="A216" s="45"/>
      <c r="B216" s="46"/>
      <c r="C216" s="46"/>
      <c r="D216" s="159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576" t="s">
        <v>526</v>
      </c>
      <c r="P216" s="576"/>
      <c r="Q216" s="576"/>
      <c r="R216" s="576"/>
      <c r="S216" s="576"/>
      <c r="T216" s="575"/>
      <c r="U216" s="575"/>
      <c r="V216" s="575"/>
      <c r="W216" s="575"/>
      <c r="X216" s="575"/>
      <c r="Y216" s="575"/>
      <c r="Z216" s="575"/>
      <c r="AA216" s="575"/>
      <c r="AB216" s="575" t="s">
        <v>622</v>
      </c>
      <c r="AC216" s="136"/>
      <c r="AD216" s="68">
        <v>0</v>
      </c>
      <c r="AE216" s="137" t="s">
        <v>519</v>
      </c>
      <c r="AF216" s="2"/>
    </row>
    <row r="217" spans="1:32" s="11" customFormat="1" ht="21" customHeight="1">
      <c r="A217" s="45"/>
      <c r="B217" s="46"/>
      <c r="C217" s="46"/>
      <c r="D217" s="159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576" t="s">
        <v>527</v>
      </c>
      <c r="P217" s="576"/>
      <c r="Q217" s="576"/>
      <c r="R217" s="576"/>
      <c r="S217" s="576"/>
      <c r="T217" s="575"/>
      <c r="U217" s="575"/>
      <c r="V217" s="575"/>
      <c r="W217" s="575"/>
      <c r="X217" s="575"/>
      <c r="Y217" s="575"/>
      <c r="Z217" s="575"/>
      <c r="AA217" s="575"/>
      <c r="AB217" s="575" t="s">
        <v>623</v>
      </c>
      <c r="AC217" s="136"/>
      <c r="AD217" s="68">
        <v>1000</v>
      </c>
      <c r="AE217" s="137" t="s">
        <v>519</v>
      </c>
      <c r="AF217" s="2"/>
    </row>
    <row r="218" spans="1:32" s="11" customFormat="1" ht="21" customHeight="1">
      <c r="A218" s="45"/>
      <c r="B218" s="46"/>
      <c r="C218" s="46"/>
      <c r="D218" s="159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576" t="s">
        <v>528</v>
      </c>
      <c r="P218" s="576"/>
      <c r="Q218" s="576"/>
      <c r="R218" s="576"/>
      <c r="S218" s="576"/>
      <c r="T218" s="575"/>
      <c r="U218" s="575"/>
      <c r="V218" s="575"/>
      <c r="W218" s="575"/>
      <c r="X218" s="575"/>
      <c r="Y218" s="575"/>
      <c r="Z218" s="575"/>
      <c r="AA218" s="575"/>
      <c r="AB218" s="575" t="s">
        <v>623</v>
      </c>
      <c r="AC218" s="136"/>
      <c r="AD218" s="68">
        <v>0</v>
      </c>
      <c r="AE218" s="137" t="s">
        <v>519</v>
      </c>
      <c r="AF218" s="2"/>
    </row>
    <row r="219" spans="1:32" s="11" customFormat="1" ht="21" customHeight="1">
      <c r="A219" s="45"/>
      <c r="B219" s="46"/>
      <c r="C219" s="46"/>
      <c r="D219" s="159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576" t="s">
        <v>529</v>
      </c>
      <c r="P219" s="576"/>
      <c r="Q219" s="576"/>
      <c r="R219" s="576"/>
      <c r="S219" s="576"/>
      <c r="T219" s="575"/>
      <c r="U219" s="575"/>
      <c r="V219" s="575"/>
      <c r="W219" s="575"/>
      <c r="X219" s="575"/>
      <c r="Y219" s="575"/>
      <c r="Z219" s="575"/>
      <c r="AA219" s="575"/>
      <c r="AB219" s="575" t="s">
        <v>624</v>
      </c>
      <c r="AC219" s="136"/>
      <c r="AD219" s="68">
        <v>2000</v>
      </c>
      <c r="AE219" s="137" t="s">
        <v>519</v>
      </c>
      <c r="AF219" s="2"/>
    </row>
    <row r="220" spans="1:32" s="11" customFormat="1" ht="21" customHeight="1">
      <c r="A220" s="45"/>
      <c r="B220" s="46"/>
      <c r="C220" s="46"/>
      <c r="D220" s="159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576" t="s">
        <v>530</v>
      </c>
      <c r="P220" s="576"/>
      <c r="Q220" s="576"/>
      <c r="R220" s="576"/>
      <c r="S220" s="576"/>
      <c r="T220" s="575"/>
      <c r="U220" s="575"/>
      <c r="V220" s="575"/>
      <c r="W220" s="575"/>
      <c r="X220" s="575"/>
      <c r="Y220" s="575"/>
      <c r="Z220" s="575"/>
      <c r="AA220" s="575"/>
      <c r="AB220" s="575" t="s">
        <v>624</v>
      </c>
      <c r="AC220" s="136"/>
      <c r="AD220" s="68">
        <v>0</v>
      </c>
      <c r="AE220" s="137" t="s">
        <v>519</v>
      </c>
      <c r="AF220" s="2"/>
    </row>
    <row r="221" spans="1:32" s="1" customFormat="1" ht="21" customHeight="1" thickBot="1">
      <c r="A221" s="138"/>
      <c r="B221" s="102"/>
      <c r="C221" s="102"/>
      <c r="D221" s="164"/>
      <c r="E221" s="139"/>
      <c r="F221" s="139"/>
      <c r="G221" s="139"/>
      <c r="H221" s="139"/>
      <c r="I221" s="139"/>
      <c r="J221" s="139"/>
      <c r="K221" s="139"/>
      <c r="L221" s="139"/>
      <c r="M221" s="139"/>
      <c r="N221" s="140"/>
      <c r="O221" s="504"/>
      <c r="P221" s="504"/>
      <c r="Q221" s="504"/>
      <c r="R221" s="504"/>
      <c r="S221" s="505"/>
      <c r="T221" s="505"/>
      <c r="U221" s="505"/>
      <c r="V221" s="505"/>
      <c r="W221" s="505"/>
      <c r="X221" s="505"/>
      <c r="Y221" s="505"/>
      <c r="Z221" s="505"/>
      <c r="AA221" s="505"/>
      <c r="AB221" s="505"/>
      <c r="AC221" s="505"/>
      <c r="AD221" s="505"/>
      <c r="AE221" s="506"/>
    </row>
    <row r="223" spans="1:32" ht="21" customHeight="1">
      <c r="E223" s="380"/>
      <c r="F223" s="380"/>
    </row>
    <row r="224" spans="1:32" ht="21" customHeight="1">
      <c r="E224" s="380"/>
      <c r="F224" s="380"/>
    </row>
    <row r="225" spans="5:6" ht="21" customHeight="1">
      <c r="F225" s="380"/>
    </row>
    <row r="226" spans="5:6" ht="21" customHeight="1">
      <c r="E226" s="380"/>
      <c r="F226" s="380"/>
    </row>
    <row r="227" spans="5:6" ht="21" customHeight="1">
      <c r="E227" s="380"/>
      <c r="F227" s="380"/>
    </row>
    <row r="228" spans="5:6" ht="21" customHeight="1">
      <c r="E228" s="380"/>
      <c r="F228" s="380"/>
    </row>
  </sheetData>
  <mergeCells count="15">
    <mergeCell ref="B211:C211"/>
    <mergeCell ref="B208:C208"/>
    <mergeCell ref="B198:C198"/>
    <mergeCell ref="B129:C129"/>
    <mergeCell ref="B116:C116"/>
    <mergeCell ref="A1:E1"/>
    <mergeCell ref="O2:AE3"/>
    <mergeCell ref="V111:W111"/>
    <mergeCell ref="V84:W84"/>
    <mergeCell ref="B5:C5"/>
    <mergeCell ref="A4:C4"/>
    <mergeCell ref="M2:N2"/>
    <mergeCell ref="A2:C2"/>
    <mergeCell ref="D2:D3"/>
    <mergeCell ref="E2:L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바르나바의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7"/>
  <sheetViews>
    <sheetView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87" t="s">
        <v>642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</row>
    <row r="2" spans="1:14" ht="34.5" customHeight="1">
      <c r="A2" s="688" t="s">
        <v>442</v>
      </c>
      <c r="B2" s="689"/>
      <c r="C2" s="690"/>
      <c r="D2" s="691" t="s">
        <v>443</v>
      </c>
      <c r="E2" s="690"/>
      <c r="F2" s="692" t="s">
        <v>444</v>
      </c>
      <c r="G2" s="694" t="s">
        <v>445</v>
      </c>
      <c r="H2" s="695"/>
      <c r="I2" s="695"/>
      <c r="J2" s="695"/>
      <c r="K2" s="698" t="s">
        <v>446</v>
      </c>
      <c r="L2" s="296"/>
      <c r="M2" s="296"/>
      <c r="N2" s="296"/>
    </row>
    <row r="3" spans="1:14" ht="35.25" customHeight="1" thickBot="1">
      <c r="A3" s="303" t="s">
        <v>447</v>
      </c>
      <c r="B3" s="304" t="s">
        <v>448</v>
      </c>
      <c r="C3" s="323" t="s">
        <v>449</v>
      </c>
      <c r="D3" s="443" t="s">
        <v>604</v>
      </c>
      <c r="E3" s="443" t="s">
        <v>641</v>
      </c>
      <c r="F3" s="693"/>
      <c r="G3" s="696"/>
      <c r="H3" s="697"/>
      <c r="I3" s="697"/>
      <c r="J3" s="697"/>
      <c r="K3" s="699"/>
      <c r="L3" s="296"/>
      <c r="M3" s="296"/>
      <c r="N3" s="296"/>
    </row>
    <row r="4" spans="1:14" ht="36.75" customHeight="1" thickBot="1">
      <c r="A4" s="684" t="s">
        <v>450</v>
      </c>
      <c r="B4" s="685"/>
      <c r="C4" s="686"/>
      <c r="D4" s="334">
        <f>SUM(D5:D25)</f>
        <v>73585000</v>
      </c>
      <c r="E4" s="334">
        <f>SUM(E5:E25)</f>
        <v>74345000</v>
      </c>
      <c r="F4" s="330">
        <f t="shared" ref="F4:F25" si="0">E4-D4</f>
        <v>760000</v>
      </c>
      <c r="G4" s="577"/>
      <c r="H4" s="577"/>
      <c r="I4" s="577"/>
      <c r="J4" s="577"/>
      <c r="K4" s="342"/>
      <c r="L4" s="296"/>
      <c r="M4" s="296"/>
      <c r="N4" s="296"/>
    </row>
    <row r="5" spans="1:14" ht="46.5" customHeight="1" thickBot="1">
      <c r="A5" s="311" t="s">
        <v>451</v>
      </c>
      <c r="B5" s="312" t="s">
        <v>451</v>
      </c>
      <c r="C5" s="324" t="s">
        <v>451</v>
      </c>
      <c r="D5" s="335">
        <v>7200000</v>
      </c>
      <c r="E5" s="335">
        <v>7200000</v>
      </c>
      <c r="F5" s="316">
        <f t="shared" si="0"/>
        <v>0</v>
      </c>
      <c r="G5" s="313">
        <v>250000</v>
      </c>
      <c r="H5" s="314">
        <v>25</v>
      </c>
      <c r="I5" s="315">
        <v>12</v>
      </c>
      <c r="J5" s="341">
        <f>G5*H5*I5</f>
        <v>75000000</v>
      </c>
      <c r="K5" s="343"/>
    </row>
    <row r="6" spans="1:14" ht="27">
      <c r="A6" s="319" t="s">
        <v>452</v>
      </c>
      <c r="B6" s="350" t="s">
        <v>453</v>
      </c>
      <c r="C6" s="325" t="s">
        <v>454</v>
      </c>
      <c r="D6" s="336">
        <v>0</v>
      </c>
      <c r="E6" s="336">
        <v>0</v>
      </c>
      <c r="F6" s="451">
        <f t="shared" si="0"/>
        <v>0</v>
      </c>
      <c r="G6" s="320"/>
      <c r="H6" s="320"/>
      <c r="I6" s="320"/>
      <c r="J6" s="320"/>
      <c r="K6" s="344" t="s">
        <v>455</v>
      </c>
    </row>
    <row r="7" spans="1:14" ht="24.75" customHeight="1">
      <c r="A7" s="444"/>
      <c r="B7" s="445"/>
      <c r="C7" s="446" t="s">
        <v>456</v>
      </c>
      <c r="D7" s="340">
        <v>0</v>
      </c>
      <c r="E7" s="340">
        <v>0</v>
      </c>
      <c r="F7" s="333">
        <f t="shared" si="0"/>
        <v>0</v>
      </c>
      <c r="G7" s="305"/>
      <c r="H7" s="305"/>
      <c r="I7" s="305"/>
      <c r="J7" s="305"/>
      <c r="K7" s="518" t="s">
        <v>455</v>
      </c>
    </row>
    <row r="8" spans="1:14" ht="27">
      <c r="A8" s="306"/>
      <c r="B8" s="300" t="s">
        <v>457</v>
      </c>
      <c r="C8" s="326" t="s">
        <v>456</v>
      </c>
      <c r="D8" s="337">
        <v>54505000</v>
      </c>
      <c r="E8" s="337">
        <v>54505000</v>
      </c>
      <c r="F8" s="297">
        <f t="shared" si="0"/>
        <v>0</v>
      </c>
      <c r="G8" s="305"/>
      <c r="H8" s="305"/>
      <c r="I8" s="305"/>
      <c r="J8" s="305"/>
      <c r="K8" s="345" t="s">
        <v>605</v>
      </c>
    </row>
    <row r="9" spans="1:14" ht="33" customHeight="1">
      <c r="A9" s="306"/>
      <c r="B9" s="445"/>
      <c r="C9" s="327" t="s">
        <v>458</v>
      </c>
      <c r="D9" s="340">
        <v>1000000</v>
      </c>
      <c r="E9" s="340">
        <v>2000000</v>
      </c>
      <c r="F9" s="333">
        <f t="shared" si="0"/>
        <v>1000000</v>
      </c>
      <c r="G9" s="305"/>
      <c r="H9" s="305"/>
      <c r="I9" s="305"/>
      <c r="J9" s="305"/>
      <c r="K9" s="518" t="s">
        <v>662</v>
      </c>
    </row>
    <row r="10" spans="1:14" ht="40.5" customHeight="1">
      <c r="A10" s="306"/>
      <c r="B10" s="301"/>
      <c r="C10" s="327" t="s">
        <v>644</v>
      </c>
      <c r="D10" s="337">
        <v>1200000</v>
      </c>
      <c r="E10" s="337">
        <v>600000</v>
      </c>
      <c r="F10" s="297">
        <f t="shared" si="0"/>
        <v>-600000</v>
      </c>
      <c r="G10" s="305"/>
      <c r="H10" s="305"/>
      <c r="I10" s="305"/>
      <c r="J10" s="305"/>
      <c r="K10" s="345" t="s">
        <v>645</v>
      </c>
    </row>
    <row r="11" spans="1:14" ht="45" customHeight="1">
      <c r="A11" s="306"/>
      <c r="B11" s="301"/>
      <c r="C11" s="327" t="s">
        <v>643</v>
      </c>
      <c r="D11" s="623">
        <v>0</v>
      </c>
      <c r="E11" s="337">
        <v>1800000</v>
      </c>
      <c r="F11" s="297">
        <f t="shared" si="0"/>
        <v>1800000</v>
      </c>
      <c r="G11" s="305"/>
      <c r="H11" s="305"/>
      <c r="I11" s="305"/>
      <c r="J11" s="305"/>
      <c r="K11" s="345" t="s">
        <v>647</v>
      </c>
    </row>
    <row r="12" spans="1:14" ht="36" customHeight="1">
      <c r="A12" s="306"/>
      <c r="B12" s="302"/>
      <c r="C12" s="327" t="s">
        <v>459</v>
      </c>
      <c r="D12" s="337">
        <v>600000</v>
      </c>
      <c r="E12" s="622">
        <v>600000</v>
      </c>
      <c r="F12" s="297">
        <f t="shared" si="0"/>
        <v>0</v>
      </c>
      <c r="G12" s="305"/>
      <c r="H12" s="305"/>
      <c r="I12" s="305"/>
      <c r="J12" s="305"/>
      <c r="K12" s="345" t="s">
        <v>374</v>
      </c>
    </row>
    <row r="13" spans="1:14" ht="36" customHeight="1">
      <c r="A13" s="306"/>
      <c r="B13" s="307" t="s">
        <v>460</v>
      </c>
      <c r="C13" s="327" t="s">
        <v>461</v>
      </c>
      <c r="D13" s="337">
        <v>300000</v>
      </c>
      <c r="E13" s="337">
        <v>300000</v>
      </c>
      <c r="F13" s="297">
        <f t="shared" si="0"/>
        <v>0</v>
      </c>
      <c r="G13" s="305"/>
      <c r="H13" s="305"/>
      <c r="I13" s="305"/>
      <c r="J13" s="305"/>
      <c r="K13" s="447" t="s">
        <v>606</v>
      </c>
    </row>
    <row r="14" spans="1:14" ht="36" customHeight="1">
      <c r="A14" s="306"/>
      <c r="B14" s="305"/>
      <c r="C14" s="327" t="s">
        <v>459</v>
      </c>
      <c r="D14" s="337">
        <v>0</v>
      </c>
      <c r="E14" s="337">
        <v>0</v>
      </c>
      <c r="F14" s="297">
        <f t="shared" si="0"/>
        <v>0</v>
      </c>
      <c r="G14" s="305"/>
      <c r="H14" s="305"/>
      <c r="I14" s="305"/>
      <c r="J14" s="305"/>
      <c r="K14" s="345" t="s">
        <v>455</v>
      </c>
    </row>
    <row r="15" spans="1:14" ht="34.5" customHeight="1">
      <c r="A15" s="306"/>
      <c r="B15" s="454" t="s">
        <v>462</v>
      </c>
      <c r="C15" s="327" t="s">
        <v>463</v>
      </c>
      <c r="D15" s="337">
        <v>1600000</v>
      </c>
      <c r="E15" s="337">
        <v>160000</v>
      </c>
      <c r="F15" s="297">
        <f t="shared" si="0"/>
        <v>-1440000</v>
      </c>
      <c r="G15" s="305"/>
      <c r="H15" s="305"/>
      <c r="I15" s="305"/>
      <c r="J15" s="305"/>
      <c r="K15" s="447" t="s">
        <v>646</v>
      </c>
    </row>
    <row r="16" spans="1:14" ht="33" customHeight="1" thickBot="1">
      <c r="A16" s="308"/>
      <c r="B16" s="310"/>
      <c r="C16" s="327"/>
      <c r="D16" s="338">
        <v>0</v>
      </c>
      <c r="E16" s="338">
        <v>0</v>
      </c>
      <c r="F16" s="332">
        <f t="shared" si="0"/>
        <v>0</v>
      </c>
      <c r="G16" s="310"/>
      <c r="H16" s="310"/>
      <c r="I16" s="310"/>
      <c r="J16" s="310"/>
      <c r="K16" s="345" t="s">
        <v>455</v>
      </c>
    </row>
    <row r="17" spans="1:11" ht="36" customHeight="1">
      <c r="A17" s="366" t="s">
        <v>464</v>
      </c>
      <c r="B17" s="367" t="s">
        <v>464</v>
      </c>
      <c r="C17" s="362" t="s">
        <v>465</v>
      </c>
      <c r="D17" s="363">
        <v>600000</v>
      </c>
      <c r="E17" s="363">
        <v>600000</v>
      </c>
      <c r="F17" s="331">
        <f t="shared" si="0"/>
        <v>0</v>
      </c>
      <c r="G17" s="364"/>
      <c r="H17" s="364"/>
      <c r="I17" s="364"/>
      <c r="J17" s="364"/>
      <c r="K17" s="344" t="s">
        <v>606</v>
      </c>
    </row>
    <row r="18" spans="1:11" ht="35.25" customHeight="1" thickBot="1">
      <c r="A18" s="308"/>
      <c r="B18" s="448"/>
      <c r="C18" s="328" t="s">
        <v>466</v>
      </c>
      <c r="D18" s="449">
        <v>300000</v>
      </c>
      <c r="E18" s="449">
        <v>300000</v>
      </c>
      <c r="F18" s="332">
        <f t="shared" si="0"/>
        <v>0</v>
      </c>
      <c r="G18" s="450"/>
      <c r="H18" s="450"/>
      <c r="I18" s="450"/>
      <c r="J18" s="450"/>
      <c r="K18" s="519" t="s">
        <v>510</v>
      </c>
    </row>
    <row r="19" spans="1:11" ht="51" customHeight="1" thickBot="1">
      <c r="A19" s="321" t="s">
        <v>467</v>
      </c>
      <c r="B19" s="312" t="s">
        <v>468</v>
      </c>
      <c r="C19" s="324" t="s">
        <v>469</v>
      </c>
      <c r="D19" s="339">
        <v>0</v>
      </c>
      <c r="E19" s="339">
        <v>0</v>
      </c>
      <c r="F19" s="316">
        <f t="shared" si="0"/>
        <v>0</v>
      </c>
      <c r="G19" s="322"/>
      <c r="H19" s="322"/>
      <c r="I19" s="322"/>
      <c r="J19" s="322"/>
      <c r="K19" s="343" t="s">
        <v>455</v>
      </c>
    </row>
    <row r="20" spans="1:11" ht="40.5" customHeight="1">
      <c r="A20" s="317" t="s">
        <v>470</v>
      </c>
      <c r="B20" s="318" t="s">
        <v>471</v>
      </c>
      <c r="C20" s="329" t="s">
        <v>472</v>
      </c>
      <c r="D20" s="340">
        <v>4728000</v>
      </c>
      <c r="E20" s="340">
        <v>4728000</v>
      </c>
      <c r="F20" s="333">
        <f t="shared" si="0"/>
        <v>0</v>
      </c>
      <c r="G20" s="305"/>
      <c r="H20" s="305"/>
      <c r="I20" s="305"/>
      <c r="J20" s="305"/>
      <c r="K20" s="348" t="s">
        <v>455</v>
      </c>
    </row>
    <row r="21" spans="1:11" ht="40.5" customHeight="1">
      <c r="A21" s="306"/>
      <c r="B21" s="298"/>
      <c r="C21" s="327" t="s">
        <v>473</v>
      </c>
      <c r="D21" s="337">
        <v>0</v>
      </c>
      <c r="E21" s="337">
        <v>0</v>
      </c>
      <c r="F21" s="297">
        <f t="shared" si="0"/>
        <v>0</v>
      </c>
      <c r="G21" s="305"/>
      <c r="H21" s="305"/>
      <c r="I21" s="305"/>
      <c r="J21" s="305"/>
      <c r="K21" s="346" t="s">
        <v>539</v>
      </c>
    </row>
    <row r="22" spans="1:11" ht="40.5" customHeight="1" thickBot="1">
      <c r="A22" s="306"/>
      <c r="B22" s="298"/>
      <c r="C22" s="327" t="s">
        <v>474</v>
      </c>
      <c r="D22" s="337">
        <v>485000</v>
      </c>
      <c r="E22" s="337">
        <v>485000</v>
      </c>
      <c r="F22" s="297">
        <f t="shared" si="0"/>
        <v>0</v>
      </c>
      <c r="G22" s="305"/>
      <c r="H22" s="305"/>
      <c r="I22" s="305"/>
      <c r="J22" s="305"/>
      <c r="K22" s="347" t="s">
        <v>455</v>
      </c>
    </row>
    <row r="23" spans="1:11" ht="40.5" customHeight="1">
      <c r="A23" s="306"/>
      <c r="B23" s="299"/>
      <c r="C23" s="327" t="s">
        <v>475</v>
      </c>
      <c r="D23" s="337">
        <v>0</v>
      </c>
      <c r="E23" s="337">
        <v>0</v>
      </c>
      <c r="F23" s="297">
        <f t="shared" si="0"/>
        <v>0</v>
      </c>
      <c r="G23" s="305"/>
      <c r="H23" s="305"/>
      <c r="I23" s="305"/>
      <c r="J23" s="305"/>
      <c r="K23" s="346" t="s">
        <v>539</v>
      </c>
    </row>
    <row r="24" spans="1:11" ht="44.25" customHeight="1" thickBot="1">
      <c r="A24" s="308"/>
      <c r="B24" s="309" t="s">
        <v>476</v>
      </c>
      <c r="C24" s="328" t="s">
        <v>477</v>
      </c>
      <c r="D24" s="338">
        <v>1054000</v>
      </c>
      <c r="E24" s="338">
        <v>1054000</v>
      </c>
      <c r="F24" s="332">
        <f t="shared" si="0"/>
        <v>0</v>
      </c>
      <c r="G24" s="310"/>
      <c r="H24" s="310"/>
      <c r="I24" s="310"/>
      <c r="J24" s="310"/>
      <c r="K24" s="347" t="s">
        <v>455</v>
      </c>
    </row>
    <row r="25" spans="1:11" ht="53.25" customHeight="1" thickBot="1">
      <c r="A25" s="311" t="s">
        <v>478</v>
      </c>
      <c r="B25" s="312" t="s">
        <v>478</v>
      </c>
      <c r="C25" s="324" t="s">
        <v>478</v>
      </c>
      <c r="D25" s="335">
        <v>13000</v>
      </c>
      <c r="E25" s="335">
        <v>13000</v>
      </c>
      <c r="F25" s="316">
        <f t="shared" si="0"/>
        <v>0</v>
      </c>
      <c r="G25" s="313">
        <v>250000</v>
      </c>
      <c r="H25" s="314">
        <v>25</v>
      </c>
      <c r="I25" s="315">
        <v>12</v>
      </c>
      <c r="J25" s="341">
        <f>G25*H25*I25</f>
        <v>75000000</v>
      </c>
      <c r="K25" s="343" t="s">
        <v>539</v>
      </c>
    </row>
    <row r="26" spans="1:11" ht="46.5" customHeight="1">
      <c r="D26" s="295"/>
      <c r="E26" s="295"/>
    </row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22"/>
  <sheetViews>
    <sheetView tabSelected="1"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87" t="s">
        <v>640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</row>
    <row r="2" spans="1:14" ht="46.5" customHeight="1">
      <c r="A2" s="688" t="s">
        <v>442</v>
      </c>
      <c r="B2" s="689"/>
      <c r="C2" s="690"/>
      <c r="D2" s="691" t="s">
        <v>479</v>
      </c>
      <c r="E2" s="690"/>
      <c r="F2" s="692" t="s">
        <v>444</v>
      </c>
      <c r="G2" s="694" t="s">
        <v>445</v>
      </c>
      <c r="H2" s="695"/>
      <c r="I2" s="695"/>
      <c r="J2" s="695"/>
      <c r="K2" s="698" t="s">
        <v>446</v>
      </c>
      <c r="L2" s="296"/>
      <c r="M2" s="296"/>
      <c r="N2" s="296"/>
    </row>
    <row r="3" spans="1:14" ht="46.5" customHeight="1" thickBot="1">
      <c r="A3" s="303" t="s">
        <v>447</v>
      </c>
      <c r="B3" s="304" t="s">
        <v>448</v>
      </c>
      <c r="C3" s="323" t="s">
        <v>449</v>
      </c>
      <c r="D3" s="443" t="s">
        <v>604</v>
      </c>
      <c r="E3" s="443" t="s">
        <v>641</v>
      </c>
      <c r="F3" s="693"/>
      <c r="G3" s="696"/>
      <c r="H3" s="697"/>
      <c r="I3" s="697"/>
      <c r="J3" s="697"/>
      <c r="K3" s="699"/>
      <c r="L3" s="296"/>
      <c r="M3" s="296"/>
      <c r="N3" s="296"/>
    </row>
    <row r="4" spans="1:14" ht="46.5" customHeight="1" thickBot="1">
      <c r="A4" s="684" t="s">
        <v>450</v>
      </c>
      <c r="B4" s="685"/>
      <c r="C4" s="686"/>
      <c r="D4" s="334">
        <f>SUM(D5:D30)</f>
        <v>73585000</v>
      </c>
      <c r="E4" s="334">
        <f>SUM(E5:E30)</f>
        <v>74345000</v>
      </c>
      <c r="F4" s="330">
        <f t="shared" ref="F4:F30" si="0">E4-D4</f>
        <v>760000</v>
      </c>
      <c r="G4" s="577"/>
      <c r="H4" s="577"/>
      <c r="I4" s="577"/>
      <c r="J4" s="577"/>
      <c r="K4" s="342"/>
      <c r="L4" s="296"/>
      <c r="M4" s="296"/>
      <c r="N4" s="296"/>
    </row>
    <row r="5" spans="1:14" ht="50.1" customHeight="1">
      <c r="A5" s="349" t="s">
        <v>480</v>
      </c>
      <c r="B5" s="350" t="s">
        <v>481</v>
      </c>
      <c r="C5" s="325" t="s">
        <v>482</v>
      </c>
      <c r="D5" s="336">
        <v>26526000</v>
      </c>
      <c r="E5" s="336">
        <v>26031000</v>
      </c>
      <c r="F5" s="331">
        <f t="shared" si="0"/>
        <v>-495000</v>
      </c>
      <c r="G5" s="320"/>
      <c r="H5" s="320"/>
      <c r="I5" s="320"/>
      <c r="J5" s="320"/>
      <c r="K5" s="344" t="s">
        <v>652</v>
      </c>
    </row>
    <row r="6" spans="1:14" ht="34.5" customHeight="1">
      <c r="A6" s="452"/>
      <c r="B6" s="318"/>
      <c r="C6" s="446" t="s">
        <v>483</v>
      </c>
      <c r="D6" s="340">
        <v>1600000</v>
      </c>
      <c r="E6" s="340">
        <v>160000</v>
      </c>
      <c r="F6" s="297">
        <f t="shared" si="0"/>
        <v>-1440000</v>
      </c>
      <c r="G6" s="305"/>
      <c r="H6" s="305"/>
      <c r="I6" s="305"/>
      <c r="J6" s="305"/>
      <c r="K6" s="345" t="s">
        <v>649</v>
      </c>
    </row>
    <row r="7" spans="1:14" ht="50.1" customHeight="1">
      <c r="A7" s="306"/>
      <c r="B7" s="318"/>
      <c r="C7" s="326" t="s">
        <v>484</v>
      </c>
      <c r="D7" s="337">
        <v>9172000</v>
      </c>
      <c r="E7" s="337">
        <v>10229000</v>
      </c>
      <c r="F7" s="297">
        <f t="shared" si="0"/>
        <v>1057000</v>
      </c>
      <c r="G7" s="305"/>
      <c r="H7" s="305"/>
      <c r="I7" s="305"/>
      <c r="J7" s="305"/>
      <c r="K7" s="345" t="s">
        <v>653</v>
      </c>
    </row>
    <row r="8" spans="1:14" ht="50.1" customHeight="1">
      <c r="A8" s="306"/>
      <c r="B8" s="298"/>
      <c r="C8" s="327" t="s">
        <v>485</v>
      </c>
      <c r="D8" s="337">
        <v>2976000</v>
      </c>
      <c r="E8" s="337">
        <v>3034000</v>
      </c>
      <c r="F8" s="297">
        <f t="shared" si="0"/>
        <v>58000</v>
      </c>
      <c r="G8" s="305"/>
      <c r="H8" s="305"/>
      <c r="I8" s="305"/>
      <c r="J8" s="305"/>
      <c r="K8" s="345" t="s">
        <v>654</v>
      </c>
    </row>
    <row r="9" spans="1:14" ht="50.1" customHeight="1">
      <c r="A9" s="306"/>
      <c r="B9" s="298"/>
      <c r="C9" s="327" t="s">
        <v>486</v>
      </c>
      <c r="D9" s="337">
        <v>3571000</v>
      </c>
      <c r="E9" s="337">
        <v>3396000</v>
      </c>
      <c r="F9" s="297">
        <f t="shared" si="0"/>
        <v>-175000</v>
      </c>
      <c r="G9" s="305"/>
      <c r="H9" s="305"/>
      <c r="I9" s="305"/>
      <c r="J9" s="305"/>
      <c r="K9" s="345" t="s">
        <v>655</v>
      </c>
    </row>
    <row r="10" spans="1:14" ht="49.5" customHeight="1">
      <c r="A10" s="306"/>
      <c r="B10" s="307"/>
      <c r="C10" s="327" t="s">
        <v>487</v>
      </c>
      <c r="D10" s="337">
        <v>370000</v>
      </c>
      <c r="E10" s="337">
        <v>370000</v>
      </c>
      <c r="F10" s="297">
        <f t="shared" si="0"/>
        <v>0</v>
      </c>
      <c r="G10" s="305"/>
      <c r="H10" s="305"/>
      <c r="I10" s="305"/>
      <c r="J10" s="305"/>
      <c r="K10" s="345" t="s">
        <v>606</v>
      </c>
    </row>
    <row r="11" spans="1:14" ht="38.25" customHeight="1">
      <c r="A11" s="306"/>
      <c r="B11" s="454" t="s">
        <v>488</v>
      </c>
      <c r="C11" s="327" t="s">
        <v>489</v>
      </c>
      <c r="D11" s="337">
        <v>50000</v>
      </c>
      <c r="E11" s="337">
        <v>50000</v>
      </c>
      <c r="F11" s="297">
        <f t="shared" si="0"/>
        <v>0</v>
      </c>
      <c r="G11" s="305"/>
      <c r="H11" s="305"/>
      <c r="I11" s="305"/>
      <c r="J11" s="305"/>
      <c r="K11" s="345" t="s">
        <v>606</v>
      </c>
    </row>
    <row r="12" spans="1:14" ht="38.25" customHeight="1">
      <c r="A12" s="306"/>
      <c r="B12" s="318"/>
      <c r="C12" s="351" t="s">
        <v>490</v>
      </c>
      <c r="D12" s="337">
        <v>0</v>
      </c>
      <c r="E12" s="337">
        <v>0</v>
      </c>
      <c r="F12" s="297">
        <f t="shared" si="0"/>
        <v>0</v>
      </c>
      <c r="G12" s="305"/>
      <c r="H12" s="305"/>
      <c r="I12" s="305"/>
      <c r="J12" s="305"/>
      <c r="K12" s="345"/>
    </row>
    <row r="13" spans="1:14" ht="34.5" customHeight="1">
      <c r="A13" s="306"/>
      <c r="B13" s="453"/>
      <c r="C13" s="351" t="s">
        <v>491</v>
      </c>
      <c r="D13" s="352">
        <v>300000</v>
      </c>
      <c r="E13" s="352">
        <v>300000</v>
      </c>
      <c r="F13" s="353">
        <f t="shared" si="0"/>
        <v>0</v>
      </c>
      <c r="G13" s="305"/>
      <c r="H13" s="305"/>
      <c r="I13" s="305"/>
      <c r="J13" s="305"/>
      <c r="K13" s="354" t="s">
        <v>605</v>
      </c>
    </row>
    <row r="14" spans="1:14" ht="38.25" customHeight="1">
      <c r="A14" s="306"/>
      <c r="B14" s="454" t="s">
        <v>456</v>
      </c>
      <c r="C14" s="351" t="s">
        <v>492</v>
      </c>
      <c r="D14" s="352">
        <v>100000</v>
      </c>
      <c r="E14" s="352">
        <v>100000</v>
      </c>
      <c r="F14" s="353">
        <f t="shared" si="0"/>
        <v>0</v>
      </c>
      <c r="G14" s="305"/>
      <c r="H14" s="305"/>
      <c r="I14" s="305"/>
      <c r="J14" s="305"/>
      <c r="K14" s="354" t="s">
        <v>606</v>
      </c>
    </row>
    <row r="15" spans="1:14" ht="36" customHeight="1">
      <c r="A15" s="306"/>
      <c r="B15" s="307"/>
      <c r="C15" s="351" t="s">
        <v>493</v>
      </c>
      <c r="D15" s="352">
        <v>2784000</v>
      </c>
      <c r="E15" s="352">
        <v>2356000</v>
      </c>
      <c r="F15" s="353">
        <f t="shared" si="0"/>
        <v>-428000</v>
      </c>
      <c r="G15" s="305"/>
      <c r="H15" s="305"/>
      <c r="I15" s="305"/>
      <c r="J15" s="305"/>
      <c r="K15" s="354" t="s">
        <v>657</v>
      </c>
    </row>
    <row r="16" spans="1:14" ht="37.5" customHeight="1">
      <c r="A16" s="306"/>
      <c r="B16" s="307"/>
      <c r="C16" s="351" t="s">
        <v>494</v>
      </c>
      <c r="D16" s="352">
        <v>3610000</v>
      </c>
      <c r="E16" s="352">
        <v>3814000</v>
      </c>
      <c r="F16" s="353">
        <f t="shared" si="0"/>
        <v>204000</v>
      </c>
      <c r="G16" s="305"/>
      <c r="H16" s="305"/>
      <c r="I16" s="305"/>
      <c r="J16" s="305"/>
      <c r="K16" s="354" t="s">
        <v>658</v>
      </c>
    </row>
    <row r="17" spans="1:11" ht="36.75" customHeight="1">
      <c r="A17" s="306"/>
      <c r="B17" s="307"/>
      <c r="C17" s="351" t="s">
        <v>495</v>
      </c>
      <c r="D17" s="352">
        <v>678000</v>
      </c>
      <c r="E17" s="352">
        <v>613000</v>
      </c>
      <c r="F17" s="353">
        <f t="shared" si="0"/>
        <v>-65000</v>
      </c>
      <c r="G17" s="305"/>
      <c r="H17" s="305"/>
      <c r="I17" s="305"/>
      <c r="J17" s="305"/>
      <c r="K17" s="354" t="s">
        <v>659</v>
      </c>
    </row>
    <row r="18" spans="1:11" ht="36.75" customHeight="1">
      <c r="A18" s="306"/>
      <c r="B18" s="307"/>
      <c r="C18" s="351" t="s">
        <v>496</v>
      </c>
      <c r="D18" s="352">
        <v>600000</v>
      </c>
      <c r="E18" s="352">
        <v>700000</v>
      </c>
      <c r="F18" s="353">
        <f t="shared" si="0"/>
        <v>100000</v>
      </c>
      <c r="G18" s="305"/>
      <c r="H18" s="305"/>
      <c r="I18" s="305"/>
      <c r="J18" s="305"/>
      <c r="K18" s="354" t="s">
        <v>660</v>
      </c>
    </row>
    <row r="19" spans="1:11" ht="38.25" customHeight="1" thickBot="1">
      <c r="A19" s="308"/>
      <c r="B19" s="310"/>
      <c r="C19" s="328" t="s">
        <v>497</v>
      </c>
      <c r="D19" s="338">
        <v>100000</v>
      </c>
      <c r="E19" s="338">
        <v>100000</v>
      </c>
      <c r="F19" s="332">
        <f t="shared" si="0"/>
        <v>0</v>
      </c>
      <c r="G19" s="310"/>
      <c r="H19" s="310"/>
      <c r="I19" s="310"/>
      <c r="J19" s="310"/>
      <c r="K19" s="355" t="s">
        <v>605</v>
      </c>
    </row>
    <row r="20" spans="1:11" ht="48" customHeight="1">
      <c r="A20" s="349" t="s">
        <v>498</v>
      </c>
      <c r="B20" s="350" t="s">
        <v>499</v>
      </c>
      <c r="C20" s="589" t="s">
        <v>499</v>
      </c>
      <c r="D20" s="590">
        <v>0</v>
      </c>
      <c r="E20" s="590">
        <v>0</v>
      </c>
      <c r="F20" s="591">
        <f t="shared" si="0"/>
        <v>0</v>
      </c>
      <c r="G20" s="320"/>
      <c r="H20" s="320"/>
      <c r="I20" s="320"/>
      <c r="J20" s="320"/>
      <c r="K20" s="592" t="s">
        <v>455</v>
      </c>
    </row>
    <row r="21" spans="1:11" ht="48" customHeight="1">
      <c r="A21" s="452"/>
      <c r="B21" s="318"/>
      <c r="C21" s="327" t="s">
        <v>500</v>
      </c>
      <c r="D21" s="593">
        <v>1100000</v>
      </c>
      <c r="E21" s="593">
        <v>2100000</v>
      </c>
      <c r="F21" s="297">
        <f t="shared" si="0"/>
        <v>1000000</v>
      </c>
      <c r="G21" s="594"/>
      <c r="H21" s="594"/>
      <c r="I21" s="594"/>
      <c r="J21" s="594"/>
      <c r="K21" s="345" t="s">
        <v>661</v>
      </c>
    </row>
    <row r="22" spans="1:11" ht="45" customHeight="1" thickBot="1">
      <c r="A22" s="356"/>
      <c r="B22" s="357"/>
      <c r="C22" s="358" t="s">
        <v>501</v>
      </c>
      <c r="D22" s="359">
        <v>400000</v>
      </c>
      <c r="E22" s="359">
        <v>400000</v>
      </c>
      <c r="F22" s="360">
        <f t="shared" si="0"/>
        <v>0</v>
      </c>
      <c r="G22" s="310"/>
      <c r="H22" s="310"/>
      <c r="I22" s="310"/>
      <c r="J22" s="310"/>
      <c r="K22" s="361" t="s">
        <v>605</v>
      </c>
    </row>
    <row r="23" spans="1:11" ht="46.5" customHeight="1">
      <c r="A23" s="366" t="s">
        <v>502</v>
      </c>
      <c r="B23" s="367" t="s">
        <v>456</v>
      </c>
      <c r="C23" s="362" t="s">
        <v>454</v>
      </c>
      <c r="D23" s="336">
        <v>10763000</v>
      </c>
      <c r="E23" s="336">
        <v>11646000</v>
      </c>
      <c r="F23" s="331">
        <f t="shared" si="0"/>
        <v>883000</v>
      </c>
      <c r="G23" s="320"/>
      <c r="H23" s="320"/>
      <c r="I23" s="320"/>
      <c r="J23" s="320"/>
      <c r="K23" s="344" t="s">
        <v>650</v>
      </c>
    </row>
    <row r="24" spans="1:11" ht="34.5" customHeight="1">
      <c r="A24" s="306"/>
      <c r="B24" s="298"/>
      <c r="C24" s="327" t="s">
        <v>503</v>
      </c>
      <c r="D24" s="337">
        <v>1252000</v>
      </c>
      <c r="E24" s="337">
        <v>1317000</v>
      </c>
      <c r="F24" s="297">
        <f t="shared" si="0"/>
        <v>65000</v>
      </c>
      <c r="G24" s="305"/>
      <c r="H24" s="305"/>
      <c r="I24" s="305"/>
      <c r="J24" s="305"/>
      <c r="K24" s="354" t="s">
        <v>651</v>
      </c>
    </row>
    <row r="25" spans="1:11" ht="35.25" customHeight="1">
      <c r="A25" s="306"/>
      <c r="B25" s="298"/>
      <c r="C25" s="327" t="s">
        <v>504</v>
      </c>
      <c r="D25" s="337">
        <v>1200000</v>
      </c>
      <c r="E25" s="337">
        <v>1200000</v>
      </c>
      <c r="F25" s="297">
        <f t="shared" si="0"/>
        <v>0</v>
      </c>
      <c r="G25" s="305"/>
      <c r="H25" s="305"/>
      <c r="I25" s="305"/>
      <c r="J25" s="305"/>
      <c r="K25" s="346" t="s">
        <v>606</v>
      </c>
    </row>
    <row r="26" spans="1:11" ht="38.25" customHeight="1">
      <c r="A26" s="306"/>
      <c r="B26" s="298"/>
      <c r="C26" s="327" t="s">
        <v>505</v>
      </c>
      <c r="D26" s="337">
        <v>460000</v>
      </c>
      <c r="E26" s="337">
        <v>460000</v>
      </c>
      <c r="F26" s="297">
        <f t="shared" si="0"/>
        <v>0</v>
      </c>
      <c r="G26" s="305"/>
      <c r="H26" s="305"/>
      <c r="I26" s="305"/>
      <c r="J26" s="305"/>
      <c r="K26" s="346" t="s">
        <v>606</v>
      </c>
    </row>
    <row r="27" spans="1:11" ht="32.25" customHeight="1">
      <c r="A27" s="306"/>
      <c r="B27" s="298"/>
      <c r="C27" s="327" t="s">
        <v>506</v>
      </c>
      <c r="D27" s="337">
        <v>210000</v>
      </c>
      <c r="E27" s="337">
        <v>210000</v>
      </c>
      <c r="F27" s="297">
        <f t="shared" si="0"/>
        <v>0</v>
      </c>
      <c r="G27" s="305"/>
      <c r="H27" s="305"/>
      <c r="I27" s="305"/>
      <c r="J27" s="305"/>
      <c r="K27" s="346" t="s">
        <v>374</v>
      </c>
    </row>
    <row r="28" spans="1:11" ht="39.75" customHeight="1" thickBot="1">
      <c r="A28" s="308"/>
      <c r="B28" s="309" t="s">
        <v>507</v>
      </c>
      <c r="C28" s="369" t="s">
        <v>507</v>
      </c>
      <c r="D28" s="338">
        <v>5750000</v>
      </c>
      <c r="E28" s="338">
        <v>5750000</v>
      </c>
      <c r="F28" s="332">
        <f t="shared" si="0"/>
        <v>0</v>
      </c>
      <c r="G28" s="310"/>
      <c r="H28" s="310"/>
      <c r="I28" s="310"/>
      <c r="J28" s="310"/>
      <c r="K28" s="355" t="s">
        <v>606</v>
      </c>
    </row>
    <row r="29" spans="1:11" ht="39" customHeight="1" thickBot="1">
      <c r="A29" s="311" t="s">
        <v>508</v>
      </c>
      <c r="B29" s="312" t="s">
        <v>508</v>
      </c>
      <c r="C29" s="324" t="s">
        <v>508</v>
      </c>
      <c r="D29" s="335">
        <v>5000</v>
      </c>
      <c r="E29" s="335">
        <v>1000</v>
      </c>
      <c r="F29" s="316">
        <f t="shared" si="0"/>
        <v>-4000</v>
      </c>
      <c r="G29" s="322"/>
      <c r="H29" s="322"/>
      <c r="I29" s="322"/>
      <c r="J29" s="322"/>
      <c r="K29" s="368" t="s">
        <v>656</v>
      </c>
    </row>
    <row r="30" spans="1:11" ht="34.5" customHeight="1" thickBot="1">
      <c r="A30" s="311" t="s">
        <v>509</v>
      </c>
      <c r="B30" s="312" t="s">
        <v>509</v>
      </c>
      <c r="C30" s="324" t="s">
        <v>509</v>
      </c>
      <c r="D30" s="335">
        <v>8000</v>
      </c>
      <c r="E30" s="335">
        <v>8000</v>
      </c>
      <c r="F30" s="316">
        <f t="shared" si="0"/>
        <v>0</v>
      </c>
      <c r="G30" s="322"/>
      <c r="H30" s="322"/>
      <c r="I30" s="322"/>
      <c r="J30" s="322"/>
      <c r="K30" s="368" t="s">
        <v>455</v>
      </c>
    </row>
    <row r="31" spans="1:11" ht="46.5" customHeight="1">
      <c r="D31" s="295"/>
      <c r="E31" s="295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I34"/>
  <sheetViews>
    <sheetView workbookViewId="0">
      <selection activeCell="D3" sqref="D3:D14"/>
    </sheetView>
  </sheetViews>
  <sheetFormatPr defaultRowHeight="13.5"/>
  <cols>
    <col min="1" max="1" width="13.5546875" bestFit="1" customWidth="1"/>
    <col min="2" max="4" width="12.6640625" bestFit="1" customWidth="1"/>
    <col min="6" max="6" width="15.33203125" bestFit="1" customWidth="1"/>
    <col min="7" max="9" width="12.6640625" bestFit="1" customWidth="1"/>
  </cols>
  <sheetData>
    <row r="2" spans="1:9" ht="24.95" customHeight="1">
      <c r="A2" s="521"/>
      <c r="B2" s="521" t="s">
        <v>585</v>
      </c>
      <c r="C2" s="521" t="s">
        <v>584</v>
      </c>
      <c r="D2" s="521" t="s">
        <v>583</v>
      </c>
      <c r="F2" s="521"/>
      <c r="G2" s="521" t="s">
        <v>585</v>
      </c>
      <c r="H2" s="521" t="s">
        <v>584</v>
      </c>
      <c r="I2" s="521" t="s">
        <v>583</v>
      </c>
    </row>
    <row r="3" spans="1:9" ht="24.95" customHeight="1">
      <c r="A3" s="521" t="s">
        <v>582</v>
      </c>
      <c r="B3" s="522">
        <v>40000</v>
      </c>
      <c r="C3" s="522">
        <v>0</v>
      </c>
      <c r="D3" s="522"/>
      <c r="F3" s="521" t="s">
        <v>581</v>
      </c>
      <c r="G3" s="522">
        <v>54505000</v>
      </c>
      <c r="H3" s="522">
        <v>54505000</v>
      </c>
      <c r="I3" s="522">
        <v>54505000</v>
      </c>
    </row>
    <row r="4" spans="1:9" ht="24.95" customHeight="1">
      <c r="A4" s="521" t="s">
        <v>580</v>
      </c>
      <c r="B4" s="522">
        <v>2632000</v>
      </c>
      <c r="C4" s="522">
        <v>1500000</v>
      </c>
      <c r="D4" s="522">
        <v>1500000</v>
      </c>
      <c r="F4" s="521" t="s">
        <v>579</v>
      </c>
      <c r="G4" s="522">
        <v>1000000</v>
      </c>
      <c r="H4" s="522">
        <v>1000000</v>
      </c>
      <c r="I4" s="522">
        <v>1000000</v>
      </c>
    </row>
    <row r="5" spans="1:9" ht="24.95" customHeight="1">
      <c r="A5" s="521" t="s">
        <v>578</v>
      </c>
      <c r="B5" s="522">
        <v>3694000</v>
      </c>
      <c r="C5" s="522">
        <v>2320000</v>
      </c>
      <c r="D5" s="522">
        <v>2760000</v>
      </c>
      <c r="F5" s="521" t="s">
        <v>577</v>
      </c>
      <c r="G5" s="522">
        <v>1200000</v>
      </c>
      <c r="H5" s="522">
        <v>1200000</v>
      </c>
      <c r="I5" s="522">
        <v>1200000</v>
      </c>
    </row>
    <row r="6" spans="1:9" ht="24.95" customHeight="1">
      <c r="A6" s="521" t="s">
        <v>576</v>
      </c>
      <c r="B6" s="522">
        <v>475000</v>
      </c>
      <c r="C6" s="522">
        <v>304000</v>
      </c>
      <c r="D6" s="522">
        <v>465000</v>
      </c>
      <c r="F6" s="521" t="s">
        <v>575</v>
      </c>
      <c r="G6" s="522">
        <v>0</v>
      </c>
      <c r="H6" s="522">
        <v>0</v>
      </c>
      <c r="I6" s="522">
        <v>300000</v>
      </c>
    </row>
    <row r="7" spans="1:9" ht="24.95" customHeight="1">
      <c r="A7" s="521" t="s">
        <v>574</v>
      </c>
      <c r="B7" s="522">
        <v>300000</v>
      </c>
      <c r="C7" s="522">
        <v>100000</v>
      </c>
      <c r="D7" s="522">
        <v>100000</v>
      </c>
      <c r="F7" s="521" t="s">
        <v>573</v>
      </c>
      <c r="G7" s="522">
        <v>600000</v>
      </c>
      <c r="H7" s="522">
        <v>600000</v>
      </c>
      <c r="I7" s="522">
        <v>600000</v>
      </c>
    </row>
    <row r="8" spans="1:9" ht="24.95" customHeight="1">
      <c r="A8" s="521" t="s">
        <v>572</v>
      </c>
      <c r="B8" s="522">
        <v>50000</v>
      </c>
      <c r="C8" s="522">
        <v>0</v>
      </c>
      <c r="D8" s="522">
        <v>0</v>
      </c>
      <c r="F8" s="521" t="s">
        <v>571</v>
      </c>
      <c r="G8" s="522">
        <v>1600000</v>
      </c>
      <c r="H8" s="522">
        <v>1600000</v>
      </c>
      <c r="I8" s="522">
        <v>1600000</v>
      </c>
    </row>
    <row r="9" spans="1:9" ht="24.95" customHeight="1">
      <c r="A9" s="521" t="s">
        <v>570</v>
      </c>
      <c r="B9" s="522">
        <v>9727000</v>
      </c>
      <c r="C9" s="522">
        <v>8221000</v>
      </c>
      <c r="D9" s="522">
        <v>8811000</v>
      </c>
      <c r="F9" s="521" t="s">
        <v>564</v>
      </c>
      <c r="G9" s="522">
        <v>11000</v>
      </c>
      <c r="H9" s="522">
        <v>9000</v>
      </c>
      <c r="I9" s="522">
        <v>5000</v>
      </c>
    </row>
    <row r="10" spans="1:9" ht="24.95" customHeight="1">
      <c r="A10" s="521" t="s">
        <v>569</v>
      </c>
      <c r="B10" s="522">
        <v>600000</v>
      </c>
      <c r="C10" s="522">
        <v>600000</v>
      </c>
      <c r="D10" s="522">
        <v>600000</v>
      </c>
      <c r="F10" s="521"/>
      <c r="G10" s="522">
        <f>SUM(G3:G9)</f>
        <v>58916000</v>
      </c>
      <c r="H10" s="522">
        <f>SUM(H3:H9)</f>
        <v>58914000</v>
      </c>
      <c r="I10" s="522">
        <f>SUM(I3:I9)</f>
        <v>59210000</v>
      </c>
    </row>
    <row r="11" spans="1:9" ht="24.95" customHeight="1">
      <c r="A11" s="521" t="s">
        <v>568</v>
      </c>
      <c r="B11" s="522">
        <v>1000000</v>
      </c>
      <c r="C11" s="522">
        <v>250000</v>
      </c>
      <c r="D11" s="522">
        <v>440000</v>
      </c>
    </row>
    <row r="12" spans="1:9" ht="24.95" customHeight="1">
      <c r="A12" s="521" t="s">
        <v>567</v>
      </c>
      <c r="B12" s="522">
        <v>200000</v>
      </c>
      <c r="C12" s="522">
        <v>160000</v>
      </c>
      <c r="D12" s="522">
        <v>160000</v>
      </c>
    </row>
    <row r="13" spans="1:9" ht="24.95" customHeight="1">
      <c r="A13" s="521" t="s">
        <v>566</v>
      </c>
      <c r="B13" s="522">
        <v>90000</v>
      </c>
      <c r="C13" s="522">
        <v>10000</v>
      </c>
      <c r="D13" s="522">
        <v>10000</v>
      </c>
    </row>
    <row r="14" spans="1:9" ht="24.95" customHeight="1">
      <c r="A14" s="521" t="s">
        <v>565</v>
      </c>
      <c r="B14" s="522">
        <v>0</v>
      </c>
      <c r="C14" s="522">
        <v>0</v>
      </c>
      <c r="D14" s="522">
        <v>0</v>
      </c>
    </row>
    <row r="15" spans="1:9" ht="24.95" customHeight="1">
      <c r="A15" s="521" t="s">
        <v>564</v>
      </c>
      <c r="B15" s="522">
        <v>11000</v>
      </c>
      <c r="C15" s="522">
        <v>9000</v>
      </c>
      <c r="D15" s="522">
        <v>5000</v>
      </c>
    </row>
    <row r="16" spans="1:9" ht="24.95" customHeight="1">
      <c r="A16" s="601" t="s">
        <v>563</v>
      </c>
      <c r="B16" s="523">
        <f>SUM(B3:B15)</f>
        <v>18819000</v>
      </c>
      <c r="C16" s="523">
        <f>SUM(C3:C15)</f>
        <v>13474000</v>
      </c>
      <c r="D16" s="523">
        <f>SUM(D3:D15)</f>
        <v>14851000</v>
      </c>
    </row>
    <row r="17" spans="1:4" ht="24.95" customHeight="1">
      <c r="A17" s="601" t="s">
        <v>562</v>
      </c>
      <c r="B17" s="523">
        <v>35697000</v>
      </c>
      <c r="C17" s="523">
        <v>41040000</v>
      </c>
      <c r="D17" s="523">
        <v>39659000</v>
      </c>
    </row>
    <row r="18" spans="1:4" ht="24.95" customHeight="1">
      <c r="B18" s="295">
        <f>SUM(B16:B17)</f>
        <v>54516000</v>
      </c>
      <c r="C18" s="295">
        <f>SUM(C16:C17)</f>
        <v>54514000</v>
      </c>
      <c r="D18" s="295">
        <f>SUM(D16:D17)</f>
        <v>54510000</v>
      </c>
    </row>
    <row r="19" spans="1:4" ht="24.95" customHeight="1">
      <c r="B19" s="295">
        <v>54516000</v>
      </c>
      <c r="C19" s="295">
        <v>54514000</v>
      </c>
      <c r="D19" s="295">
        <v>54510000</v>
      </c>
    </row>
    <row r="20" spans="1:4" ht="24.95" customHeight="1">
      <c r="B20" s="295">
        <f>B19-B18</f>
        <v>0</v>
      </c>
      <c r="C20" s="295">
        <f>C19-C18</f>
        <v>0</v>
      </c>
      <c r="D20" s="295">
        <f>D19-D18</f>
        <v>0</v>
      </c>
    </row>
    <row r="21" spans="1:4" ht="24.95" customHeight="1">
      <c r="B21" s="295"/>
      <c r="C21" s="295"/>
      <c r="D21" s="295"/>
    </row>
    <row r="22" spans="1:4" ht="24.95" customHeight="1">
      <c r="B22" s="295"/>
      <c r="C22" s="295"/>
      <c r="D22" s="295"/>
    </row>
    <row r="23" spans="1:4" ht="24.95" customHeight="1">
      <c r="B23" s="295"/>
      <c r="C23" s="295"/>
      <c r="D23" s="295"/>
    </row>
    <row r="24" spans="1:4" ht="20.25" customHeight="1">
      <c r="B24" s="295"/>
      <c r="C24" s="295"/>
      <c r="D24" s="295"/>
    </row>
    <row r="25" spans="1:4" ht="20.25" customHeight="1">
      <c r="B25" s="295"/>
      <c r="C25" s="295"/>
      <c r="D25" s="295"/>
    </row>
    <row r="26" spans="1:4" ht="20.25" customHeight="1">
      <c r="B26" s="295"/>
      <c r="C26" s="295"/>
      <c r="D26" s="295"/>
    </row>
    <row r="27" spans="1:4" ht="20.25" customHeight="1">
      <c r="B27" s="295"/>
      <c r="C27" s="295"/>
      <c r="D27" s="295"/>
    </row>
    <row r="28" spans="1:4" ht="20.25" customHeight="1">
      <c r="B28" s="295"/>
      <c r="C28" s="295"/>
      <c r="D28" s="295"/>
    </row>
    <row r="29" spans="1:4" ht="20.25" customHeight="1"/>
    <row r="30" spans="1:4" ht="20.25" customHeight="1"/>
    <row r="33" ht="15.75" customHeight="1"/>
    <row r="34" ht="15.75" customHeight="1"/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7" sqref="B17"/>
    </sheetView>
  </sheetViews>
  <sheetFormatPr defaultRowHeight="13.5"/>
  <cols>
    <col min="1" max="1" width="13.5546875" bestFit="1" customWidth="1"/>
    <col min="2" max="4" width="12.6640625" bestFit="1" customWidth="1"/>
    <col min="5" max="6" width="11.5546875" bestFit="1" customWidth="1"/>
    <col min="7" max="7" width="12.6640625" bestFit="1" customWidth="1"/>
  </cols>
  <sheetData>
    <row r="1" spans="1:8" ht="43.5" customHeight="1">
      <c r="A1" s="700" t="s">
        <v>598</v>
      </c>
      <c r="B1" s="700"/>
      <c r="C1" s="700"/>
      <c r="D1" s="700"/>
      <c r="E1" s="700"/>
      <c r="F1" s="700"/>
      <c r="G1" s="700"/>
      <c r="H1" s="700"/>
    </row>
    <row r="2" spans="1:8" ht="36.75" customHeight="1">
      <c r="A2" s="521"/>
      <c r="B2" s="602" t="s">
        <v>586</v>
      </c>
      <c r="C2" s="603" t="s">
        <v>587</v>
      </c>
      <c r="D2" s="603" t="s">
        <v>588</v>
      </c>
      <c r="E2" s="603" t="s">
        <v>589</v>
      </c>
      <c r="F2" s="603" t="s">
        <v>590</v>
      </c>
      <c r="G2" s="604" t="s">
        <v>586</v>
      </c>
      <c r="H2" s="605" t="s">
        <v>591</v>
      </c>
    </row>
    <row r="3" spans="1:8" ht="24.95" customHeight="1">
      <c r="A3" s="521" t="s">
        <v>592</v>
      </c>
      <c r="B3" s="606">
        <v>0</v>
      </c>
      <c r="C3" s="607">
        <v>0</v>
      </c>
      <c r="D3" s="607">
        <v>0</v>
      </c>
      <c r="E3" s="607">
        <v>0</v>
      </c>
      <c r="F3" s="607">
        <v>0</v>
      </c>
      <c r="G3" s="608">
        <f>SUM(C3:F3)</f>
        <v>0</v>
      </c>
      <c r="H3" s="605" t="str">
        <f>IF(B3=G3,"○")</f>
        <v>○</v>
      </c>
    </row>
    <row r="4" spans="1:8" ht="24.95" customHeight="1">
      <c r="A4" s="521" t="s">
        <v>491</v>
      </c>
      <c r="B4" s="606">
        <v>100000</v>
      </c>
      <c r="C4" s="610">
        <v>0</v>
      </c>
      <c r="D4" s="609">
        <v>100000</v>
      </c>
      <c r="E4" s="607">
        <v>0</v>
      </c>
      <c r="F4" s="607">
        <v>0</v>
      </c>
      <c r="G4" s="608">
        <f>SUM(C4:F4)</f>
        <v>100000</v>
      </c>
      <c r="H4" s="605" t="str">
        <f>IF(B4=G4,"○")</f>
        <v>○</v>
      </c>
    </row>
    <row r="5" spans="1:8" ht="24.95" customHeight="1">
      <c r="A5" s="521" t="s">
        <v>593</v>
      </c>
      <c r="B5" s="606">
        <v>1500000</v>
      </c>
      <c r="C5" s="522">
        <v>612000</v>
      </c>
      <c r="D5" s="609">
        <v>400000</v>
      </c>
      <c r="E5" s="609">
        <v>300000</v>
      </c>
      <c r="F5" s="609">
        <v>188000</v>
      </c>
      <c r="G5" s="608">
        <f t="shared" ref="G5:G16" si="0">SUM(C5:F5)</f>
        <v>1500000</v>
      </c>
      <c r="H5" s="605" t="str">
        <f t="shared" ref="H5:H16" si="1">IF(B5=G5,"○")</f>
        <v>○</v>
      </c>
    </row>
    <row r="6" spans="1:8" ht="24.95" customHeight="1">
      <c r="A6" s="521" t="s">
        <v>285</v>
      </c>
      <c r="B6" s="606">
        <v>2760000</v>
      </c>
      <c r="C6" s="522">
        <v>1119000</v>
      </c>
      <c r="D6" s="609">
        <v>650000</v>
      </c>
      <c r="E6" s="609">
        <v>650000</v>
      </c>
      <c r="F6" s="609">
        <v>341000</v>
      </c>
      <c r="G6" s="608">
        <f t="shared" si="0"/>
        <v>2760000</v>
      </c>
      <c r="H6" s="605" t="str">
        <f t="shared" si="1"/>
        <v>○</v>
      </c>
    </row>
    <row r="7" spans="1:8" ht="24.95" customHeight="1">
      <c r="A7" s="521" t="s">
        <v>594</v>
      </c>
      <c r="B7" s="606">
        <v>465000</v>
      </c>
      <c r="C7" s="522">
        <v>304000</v>
      </c>
      <c r="D7" s="609">
        <v>161000</v>
      </c>
      <c r="E7" s="607">
        <v>0</v>
      </c>
      <c r="F7" s="607">
        <v>0</v>
      </c>
      <c r="G7" s="608">
        <f t="shared" si="0"/>
        <v>465000</v>
      </c>
      <c r="H7" s="605" t="str">
        <f t="shared" si="1"/>
        <v>○</v>
      </c>
    </row>
    <row r="8" spans="1:8" ht="24.95" customHeight="1">
      <c r="A8" s="521" t="s">
        <v>286</v>
      </c>
      <c r="B8" s="606">
        <v>100000</v>
      </c>
      <c r="C8" s="522">
        <v>100000</v>
      </c>
      <c r="D8" s="607">
        <v>0</v>
      </c>
      <c r="E8" s="607">
        <v>0</v>
      </c>
      <c r="F8" s="607">
        <v>0</v>
      </c>
      <c r="G8" s="608">
        <f t="shared" si="0"/>
        <v>100000</v>
      </c>
      <c r="H8" s="605" t="str">
        <f t="shared" si="1"/>
        <v>○</v>
      </c>
    </row>
    <row r="9" spans="1:8" ht="24.95" customHeight="1">
      <c r="A9" s="521" t="s">
        <v>595</v>
      </c>
      <c r="B9" s="606">
        <v>0</v>
      </c>
      <c r="C9" s="607">
        <v>0</v>
      </c>
      <c r="D9" s="607">
        <v>0</v>
      </c>
      <c r="E9" s="607">
        <v>0</v>
      </c>
      <c r="F9" s="607">
        <v>0</v>
      </c>
      <c r="G9" s="608">
        <f t="shared" si="0"/>
        <v>0</v>
      </c>
      <c r="H9" s="605" t="str">
        <f t="shared" si="1"/>
        <v>○</v>
      </c>
    </row>
    <row r="10" spans="1:8" ht="24.95" customHeight="1">
      <c r="A10" s="521" t="s">
        <v>59</v>
      </c>
      <c r="B10" s="606">
        <v>8811000</v>
      </c>
      <c r="C10" s="522">
        <v>2400000</v>
      </c>
      <c r="D10" s="609">
        <v>2400000</v>
      </c>
      <c r="E10" s="609">
        <v>2400000</v>
      </c>
      <c r="F10" s="609">
        <v>1611000</v>
      </c>
      <c r="G10" s="608">
        <f t="shared" si="0"/>
        <v>8811000</v>
      </c>
      <c r="H10" s="605" t="str">
        <f t="shared" si="1"/>
        <v>○</v>
      </c>
    </row>
    <row r="11" spans="1:8" ht="24.95" customHeight="1">
      <c r="A11" s="521" t="s">
        <v>596</v>
      </c>
      <c r="B11" s="606">
        <v>500000</v>
      </c>
      <c r="C11" s="522">
        <v>150000</v>
      </c>
      <c r="D11" s="609">
        <v>150000</v>
      </c>
      <c r="E11" s="609">
        <v>100000</v>
      </c>
      <c r="F11" s="609">
        <v>100000</v>
      </c>
      <c r="G11" s="608">
        <f t="shared" si="0"/>
        <v>500000</v>
      </c>
      <c r="H11" s="605" t="str">
        <f t="shared" si="1"/>
        <v>○</v>
      </c>
    </row>
    <row r="12" spans="1:8" ht="24.95" customHeight="1">
      <c r="A12" s="521" t="s">
        <v>504</v>
      </c>
      <c r="B12" s="606">
        <v>440000</v>
      </c>
      <c r="C12" s="522">
        <v>250000</v>
      </c>
      <c r="D12" s="609">
        <v>190000</v>
      </c>
      <c r="E12" s="607">
        <v>0</v>
      </c>
      <c r="F12" s="607">
        <v>0</v>
      </c>
      <c r="G12" s="608">
        <f t="shared" si="0"/>
        <v>440000</v>
      </c>
      <c r="H12" s="605" t="str">
        <f t="shared" si="1"/>
        <v>○</v>
      </c>
    </row>
    <row r="13" spans="1:8" ht="24.95" customHeight="1">
      <c r="A13" s="521" t="s">
        <v>88</v>
      </c>
      <c r="B13" s="606">
        <v>160000</v>
      </c>
      <c r="C13" s="522">
        <v>160000</v>
      </c>
      <c r="D13" s="607">
        <v>0</v>
      </c>
      <c r="E13" s="607">
        <v>0</v>
      </c>
      <c r="F13" s="607">
        <v>0</v>
      </c>
      <c r="G13" s="608">
        <f t="shared" si="0"/>
        <v>160000</v>
      </c>
      <c r="H13" s="605" t="str">
        <f t="shared" si="1"/>
        <v>○</v>
      </c>
    </row>
    <row r="14" spans="1:8" ht="24.95" customHeight="1">
      <c r="A14" s="521" t="s">
        <v>89</v>
      </c>
      <c r="B14" s="606">
        <v>10000</v>
      </c>
      <c r="C14" s="522">
        <v>9750</v>
      </c>
      <c r="D14" s="609">
        <v>250</v>
      </c>
      <c r="E14" s="607">
        <v>0</v>
      </c>
      <c r="F14" s="607">
        <v>0</v>
      </c>
      <c r="G14" s="608">
        <f t="shared" si="0"/>
        <v>10000</v>
      </c>
      <c r="H14" s="605" t="str">
        <f t="shared" si="1"/>
        <v>○</v>
      </c>
    </row>
    <row r="15" spans="1:8" ht="24.95" customHeight="1">
      <c r="A15" s="521" t="s">
        <v>597</v>
      </c>
      <c r="B15" s="606">
        <v>0</v>
      </c>
      <c r="C15" s="607">
        <v>0</v>
      </c>
      <c r="D15" s="607">
        <v>0</v>
      </c>
      <c r="E15" s="607">
        <v>0</v>
      </c>
      <c r="F15" s="607">
        <v>0</v>
      </c>
      <c r="G15" s="608">
        <f t="shared" si="0"/>
        <v>0</v>
      </c>
      <c r="H15" s="605" t="str">
        <f t="shared" si="1"/>
        <v>○</v>
      </c>
    </row>
    <row r="16" spans="1:8" ht="24.95" customHeight="1">
      <c r="A16" s="601" t="s">
        <v>90</v>
      </c>
      <c r="B16" s="523">
        <f>SUM(B3:B15)</f>
        <v>14846000</v>
      </c>
      <c r="C16" s="523">
        <f t="shared" ref="C16:F16" si="2">SUM(C3:C15)</f>
        <v>5104750</v>
      </c>
      <c r="D16" s="523">
        <f t="shared" si="2"/>
        <v>4051250</v>
      </c>
      <c r="E16" s="523">
        <f t="shared" si="2"/>
        <v>3450000</v>
      </c>
      <c r="F16" s="523">
        <f t="shared" si="2"/>
        <v>2240000</v>
      </c>
      <c r="G16" s="608">
        <f t="shared" si="0"/>
        <v>14846000</v>
      </c>
      <c r="H16" s="605" t="str">
        <f t="shared" si="1"/>
        <v>○</v>
      </c>
    </row>
    <row r="17" spans="1:6" ht="24.95" customHeight="1">
      <c r="A17" s="601" t="s">
        <v>142</v>
      </c>
      <c r="B17" s="523">
        <v>39659000</v>
      </c>
      <c r="C17" s="523"/>
      <c r="D17" s="523"/>
      <c r="E17" s="522"/>
      <c r="F17" s="522"/>
    </row>
    <row r="18" spans="1:6" ht="24.95" customHeight="1">
      <c r="B18" s="295">
        <f>SUM(B16:B17)</f>
        <v>54505000</v>
      </c>
      <c r="C18" s="295"/>
      <c r="D18" s="295"/>
    </row>
    <row r="19" spans="1:6" ht="24.95" customHeight="1">
      <c r="B19" s="295"/>
      <c r="C19" s="295"/>
      <c r="D19" s="295"/>
    </row>
    <row r="20" spans="1:6" ht="24.95" customHeight="1">
      <c r="B20" s="295"/>
      <c r="C20" s="295"/>
      <c r="D20" s="295"/>
    </row>
    <row r="21" spans="1:6" ht="24.95" customHeight="1">
      <c r="B21" s="295"/>
      <c r="C21" s="295"/>
      <c r="D21" s="295"/>
    </row>
    <row r="22" spans="1:6" ht="20.25" customHeight="1">
      <c r="B22" s="295"/>
      <c r="C22" s="295"/>
      <c r="D22" s="295"/>
    </row>
    <row r="23" spans="1:6" ht="20.25" customHeight="1">
      <c r="B23" s="295"/>
      <c r="C23" s="295"/>
      <c r="D23" s="295"/>
    </row>
    <row r="24" spans="1:6" ht="20.25" customHeight="1">
      <c r="B24" s="295"/>
      <c r="C24" s="295"/>
      <c r="D24" s="295"/>
    </row>
    <row r="25" spans="1:6" ht="20.25" customHeight="1">
      <c r="B25" s="295"/>
      <c r="C25" s="295"/>
      <c r="D25" s="295"/>
    </row>
    <row r="26" spans="1:6" ht="20.25" customHeight="1">
      <c r="B26" s="295"/>
      <c r="C26" s="295"/>
      <c r="D26" s="295"/>
    </row>
    <row r="27" spans="1:6" ht="20.25" customHeight="1"/>
    <row r="28" spans="1:6" ht="20.25" customHeight="1"/>
    <row r="31" spans="1:6" ht="15.75" customHeight="1"/>
    <row r="32" spans="1:6" ht="15.75" customHeight="1"/>
  </sheetData>
  <mergeCells count="1">
    <mergeCell ref="A1:H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보조금배정표1</vt:lpstr>
      <vt:lpstr>보조금배정표2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revision>65</cp:revision>
  <cp:lastPrinted>2017-10-12T10:47:03Z</cp:lastPrinted>
  <dcterms:created xsi:type="dcterms:W3CDTF">2003-12-18T04:11:57Z</dcterms:created>
  <dcterms:modified xsi:type="dcterms:W3CDTF">2017-10-12T10:49:30Z</dcterms:modified>
</cp:coreProperties>
</file>