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5" yWindow="-15" windowWidth="9615" windowHeight="11745" tabRatio="656" activeTab="2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배정표1" sheetId="34" r:id="rId6"/>
    <sheet name="보조금배정표2" sheetId="33" r:id="rId7"/>
  </sheets>
  <externalReferences>
    <externalReference r:id="rId8"/>
    <externalReference r:id="rId9"/>
    <externalReference r:id="rId10"/>
  </externalReferences>
  <definedNames>
    <definedName name="_xlnm.Print_Area" localSheetId="1">세입!$A$1:$X$94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5">세입!#REF!</definedName>
    <definedName name="가계보조수당" localSheetId="6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5">세입!#REF!</definedName>
    <definedName name="급식비1" localSheetId="6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5">세입!#REF!</definedName>
    <definedName name="급여총액" localSheetId="6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5">세입!#REF!</definedName>
    <definedName name="기본급" localSheetId="6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5">세입!#REF!</definedName>
    <definedName name="사회보험" localSheetId="6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5">세입!#REF!</definedName>
    <definedName name="상여금" localSheetId="6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5">세입!#REF!</definedName>
    <definedName name="수정제수당총액" localSheetId="6">세입!#REF!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세출!$AD$24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5">세입!#REF!</definedName>
    <definedName name="제수당" localSheetId="6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6">[1]세입!#REF!</definedName>
    <definedName name="증감사유1" localSheetId="4">[1]세입!#REF!</definedName>
    <definedName name="증감사유1">[1]세입!#REF!</definedName>
    <definedName name="직원급식비" localSheetId="5">세입!#REF!</definedName>
    <definedName name="직원급식비" localSheetId="6">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5">세입!#REF!</definedName>
    <definedName name="퇴직금" localSheetId="6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5">세입!#REF!</definedName>
    <definedName name="특수근무수당" localSheetId="6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5">세입!#REF!</definedName>
    <definedName name="특수근무수당1" localSheetId="6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5">세입!#REF!</definedName>
    <definedName name="특수근무수당2" localSheetId="6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5">세입!#REF!</definedName>
    <definedName name="특수근무수당3" localSheetId="6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특수근무수당6">[3]세입!#REF!</definedName>
    <definedName name="프로그램지원금" localSheetId="1">세입!#REF!</definedName>
  </definedNames>
  <calcPr calcId="152511"/>
</workbook>
</file>

<file path=xl/calcChain.xml><?xml version="1.0" encoding="utf-8"?>
<calcChain xmlns="http://schemas.openxmlformats.org/spreadsheetml/2006/main">
  <c r="F11" i="30" l="1"/>
  <c r="D4" i="31"/>
  <c r="AD26" i="5"/>
  <c r="W19" i="4"/>
  <c r="L213" i="5"/>
  <c r="K213" i="5"/>
  <c r="J213" i="5"/>
  <c r="I213" i="5"/>
  <c r="H213" i="5"/>
  <c r="G213" i="5"/>
  <c r="M213" i="5"/>
  <c r="F213" i="5"/>
  <c r="L210" i="5"/>
  <c r="K210" i="5"/>
  <c r="J210" i="5"/>
  <c r="I210" i="5"/>
  <c r="H210" i="5"/>
  <c r="G210" i="5"/>
  <c r="F210" i="5"/>
  <c r="L200" i="5"/>
  <c r="K200" i="5"/>
  <c r="J200" i="5"/>
  <c r="I200" i="5"/>
  <c r="H200" i="5"/>
  <c r="G200" i="5"/>
  <c r="F200" i="5"/>
  <c r="L195" i="5"/>
  <c r="K195" i="5"/>
  <c r="I195" i="5"/>
  <c r="H195" i="5"/>
  <c r="G195" i="5"/>
  <c r="F195" i="5"/>
  <c r="L189" i="5"/>
  <c r="K189" i="5"/>
  <c r="I189" i="5"/>
  <c r="H189" i="5"/>
  <c r="G189" i="5"/>
  <c r="F189" i="5"/>
  <c r="L185" i="5"/>
  <c r="K185" i="5"/>
  <c r="I185" i="5"/>
  <c r="H185" i="5"/>
  <c r="G185" i="5"/>
  <c r="F185" i="5"/>
  <c r="L179" i="5"/>
  <c r="K179" i="5"/>
  <c r="I179" i="5"/>
  <c r="H179" i="5"/>
  <c r="G179" i="5"/>
  <c r="F179" i="5"/>
  <c r="L175" i="5"/>
  <c r="K175" i="5"/>
  <c r="I175" i="5"/>
  <c r="H175" i="5"/>
  <c r="G175" i="5"/>
  <c r="F175" i="5"/>
  <c r="L168" i="5"/>
  <c r="K168" i="5"/>
  <c r="I168" i="5"/>
  <c r="H168" i="5"/>
  <c r="G168" i="5"/>
  <c r="F168" i="5"/>
  <c r="L163" i="5"/>
  <c r="K163" i="5"/>
  <c r="I163" i="5"/>
  <c r="H163" i="5"/>
  <c r="G163" i="5"/>
  <c r="F163" i="5"/>
  <c r="L158" i="5"/>
  <c r="K158" i="5"/>
  <c r="I158" i="5"/>
  <c r="H158" i="5"/>
  <c r="G158" i="5"/>
  <c r="L151" i="5"/>
  <c r="K151" i="5"/>
  <c r="I151" i="5"/>
  <c r="H151" i="5"/>
  <c r="G151" i="5"/>
  <c r="L147" i="5"/>
  <c r="K147" i="5"/>
  <c r="I147" i="5"/>
  <c r="H147" i="5"/>
  <c r="G147" i="5"/>
  <c r="L143" i="5"/>
  <c r="K143" i="5"/>
  <c r="J143" i="5"/>
  <c r="I143" i="5"/>
  <c r="H143" i="5"/>
  <c r="G143" i="5"/>
  <c r="L134" i="5"/>
  <c r="K134" i="5"/>
  <c r="J134" i="5"/>
  <c r="I134" i="5"/>
  <c r="H134" i="5"/>
  <c r="G134" i="5"/>
  <c r="L127" i="5"/>
  <c r="K127" i="5"/>
  <c r="J127" i="5"/>
  <c r="I127" i="5"/>
  <c r="H127" i="5"/>
  <c r="G127" i="5"/>
  <c r="F127" i="5"/>
  <c r="L122" i="5"/>
  <c r="K122" i="5"/>
  <c r="J122" i="5"/>
  <c r="I122" i="5"/>
  <c r="H122" i="5"/>
  <c r="G122" i="5"/>
  <c r="F122" i="5"/>
  <c r="L119" i="5"/>
  <c r="K119" i="5"/>
  <c r="J119" i="5"/>
  <c r="I119" i="5"/>
  <c r="H119" i="5"/>
  <c r="G119" i="5"/>
  <c r="F119" i="5"/>
  <c r="L113" i="5"/>
  <c r="K113" i="5"/>
  <c r="I113" i="5"/>
  <c r="H113" i="5"/>
  <c r="G113" i="5"/>
  <c r="L109" i="5"/>
  <c r="K109" i="5"/>
  <c r="J109" i="5"/>
  <c r="I109" i="5"/>
  <c r="H109" i="5"/>
  <c r="G109" i="5"/>
  <c r="L101" i="5"/>
  <c r="K101" i="5"/>
  <c r="J101" i="5"/>
  <c r="I101" i="5"/>
  <c r="H101" i="5"/>
  <c r="G101" i="5"/>
  <c r="L94" i="5"/>
  <c r="K94" i="5"/>
  <c r="I94" i="5"/>
  <c r="H94" i="5"/>
  <c r="G94" i="5"/>
  <c r="L88" i="5"/>
  <c r="K88" i="5"/>
  <c r="J88" i="5"/>
  <c r="I88" i="5"/>
  <c r="H88" i="5"/>
  <c r="G88" i="5"/>
  <c r="L85" i="5"/>
  <c r="K85" i="5"/>
  <c r="J85" i="5"/>
  <c r="H85" i="5"/>
  <c r="G85" i="5"/>
  <c r="F85" i="5"/>
  <c r="L74" i="5"/>
  <c r="K74" i="5"/>
  <c r="J74" i="5"/>
  <c r="I74" i="5"/>
  <c r="H74" i="5"/>
  <c r="G74" i="5"/>
  <c r="F74" i="5"/>
  <c r="L67" i="5"/>
  <c r="K67" i="5"/>
  <c r="J67" i="5"/>
  <c r="H67" i="5"/>
  <c r="G67" i="5"/>
  <c r="L42" i="5"/>
  <c r="K42" i="5"/>
  <c r="J42" i="5"/>
  <c r="H42" i="5"/>
  <c r="G42" i="5"/>
  <c r="L38" i="5"/>
  <c r="K38" i="5"/>
  <c r="J38" i="5"/>
  <c r="H38" i="5"/>
  <c r="G38" i="5"/>
  <c r="L15" i="5"/>
  <c r="K15" i="5"/>
  <c r="J15" i="5"/>
  <c r="H15" i="5"/>
  <c r="L12" i="5"/>
  <c r="K12" i="5"/>
  <c r="J12" i="5"/>
  <c r="I12" i="5"/>
  <c r="G12" i="5"/>
  <c r="F12" i="5"/>
  <c r="L7" i="5"/>
  <c r="K7" i="5"/>
  <c r="J7" i="5"/>
  <c r="I7" i="5"/>
  <c r="L79" i="5"/>
  <c r="K79" i="5"/>
  <c r="I79" i="5"/>
  <c r="AD114" i="5"/>
  <c r="F113" i="5" s="1"/>
  <c r="AD97" i="5"/>
  <c r="AD82" i="5"/>
  <c r="AD33" i="5"/>
  <c r="AD32" i="5" s="1"/>
  <c r="G4" i="33"/>
  <c r="H4" i="33" s="1"/>
  <c r="AD81" i="5"/>
  <c r="J79" i="5" s="1"/>
  <c r="AD80" i="5"/>
  <c r="F79" i="5" s="1"/>
  <c r="D16" i="34"/>
  <c r="D18" i="34" s="1"/>
  <c r="D20" i="34" s="1"/>
  <c r="C16" i="34"/>
  <c r="C18" i="34" s="1"/>
  <c r="C20" i="34" s="1"/>
  <c r="B16" i="34"/>
  <c r="B18" i="34" s="1"/>
  <c r="B20" i="34" s="1"/>
  <c r="I10" i="34"/>
  <c r="H10" i="34"/>
  <c r="G10" i="34"/>
  <c r="C16" i="33"/>
  <c r="D16" i="33"/>
  <c r="E16" i="33"/>
  <c r="F16" i="33"/>
  <c r="H15" i="33"/>
  <c r="G5" i="33"/>
  <c r="H5" i="33" s="1"/>
  <c r="G6" i="33"/>
  <c r="H6" i="33" s="1"/>
  <c r="G7" i="33"/>
  <c r="H7" i="33" s="1"/>
  <c r="G8" i="33"/>
  <c r="H8" i="33" s="1"/>
  <c r="G9" i="33"/>
  <c r="H9" i="33" s="1"/>
  <c r="G10" i="33"/>
  <c r="H10" i="33" s="1"/>
  <c r="G11" i="33"/>
  <c r="H11" i="33" s="1"/>
  <c r="G12" i="33"/>
  <c r="H12" i="33" s="1"/>
  <c r="G13" i="33"/>
  <c r="H13" i="33" s="1"/>
  <c r="G14" i="33"/>
  <c r="H14" i="33" s="1"/>
  <c r="G15" i="33"/>
  <c r="G3" i="33"/>
  <c r="H3" i="33" s="1"/>
  <c r="B16" i="33"/>
  <c r="B18" i="33" s="1"/>
  <c r="G15" i="5" l="1"/>
  <c r="AD79" i="5"/>
  <c r="G16" i="33"/>
  <c r="H16" i="33" s="1"/>
  <c r="AD197" i="5" l="1"/>
  <c r="AD196" i="5"/>
  <c r="J195" i="5" s="1"/>
  <c r="AD177" i="5"/>
  <c r="AD187" i="5"/>
  <c r="AD186" i="5"/>
  <c r="AD166" i="5"/>
  <c r="AD165" i="5"/>
  <c r="AD164" i="5"/>
  <c r="AD69" i="5"/>
  <c r="AD106" i="5"/>
  <c r="AD90" i="5"/>
  <c r="F88" i="5" s="1"/>
  <c r="AD95" i="5"/>
  <c r="F94" i="5" s="1"/>
  <c r="J163" i="5" l="1"/>
  <c r="J185" i="5"/>
  <c r="AD27" i="5"/>
  <c r="I15" i="5" s="1"/>
  <c r="AD25" i="5"/>
  <c r="AD18" i="5"/>
  <c r="AD17" i="5"/>
  <c r="AD24" i="5" l="1"/>
  <c r="AD36" i="5"/>
  <c r="AD35" i="5" s="1"/>
  <c r="S40" i="5" s="1"/>
  <c r="AD40" i="5" s="1"/>
  <c r="I38" i="5" s="1"/>
  <c r="W21" i="4"/>
  <c r="AD181" i="5"/>
  <c r="AD182" i="5"/>
  <c r="AD183" i="5"/>
  <c r="AD144" i="5"/>
  <c r="F143" i="5" s="1"/>
  <c r="AD135" i="5"/>
  <c r="F134" i="5" s="1"/>
  <c r="AD110" i="5"/>
  <c r="F109" i="5" s="1"/>
  <c r="AD98" i="5"/>
  <c r="AD96" i="5"/>
  <c r="W37" i="4"/>
  <c r="AD122" i="5"/>
  <c r="J94" i="5" l="1"/>
  <c r="S46" i="5"/>
  <c r="AD46" i="5" s="1"/>
  <c r="AD16" i="5"/>
  <c r="AD134" i="5"/>
  <c r="E210" i="5"/>
  <c r="E77" i="5"/>
  <c r="S50" i="5" l="1"/>
  <c r="AD50" i="5" s="1"/>
  <c r="AD213" i="5"/>
  <c r="E213" i="5" s="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4" i="31"/>
  <c r="J25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0" i="30"/>
  <c r="F9" i="30"/>
  <c r="F8" i="30"/>
  <c r="F7" i="30"/>
  <c r="F6" i="30"/>
  <c r="J5" i="30"/>
  <c r="F5" i="30"/>
  <c r="E4" i="30"/>
  <c r="D4" i="30"/>
  <c r="S54" i="5" l="1"/>
  <c r="AD54" i="5" s="1"/>
  <c r="S58" i="5"/>
  <c r="AD58" i="5" s="1"/>
  <c r="F4" i="31"/>
  <c r="F4" i="30"/>
  <c r="S62" i="5" l="1"/>
  <c r="W27" i="4"/>
  <c r="F13" i="18"/>
  <c r="W66" i="4"/>
  <c r="W56" i="4"/>
  <c r="I42" i="5" l="1"/>
  <c r="AD62" i="5"/>
  <c r="E134" i="5"/>
  <c r="L162" i="5"/>
  <c r="K162" i="5"/>
  <c r="I162" i="5"/>
  <c r="H162" i="5"/>
  <c r="G162" i="5"/>
  <c r="F162" i="5"/>
  <c r="D162" i="5"/>
  <c r="AD193" i="5"/>
  <c r="AD191" i="5"/>
  <c r="AD190" i="5"/>
  <c r="J189" i="5" s="1"/>
  <c r="AD180" i="5"/>
  <c r="J179" i="5" s="1"/>
  <c r="AD176" i="5"/>
  <c r="J175" i="5" s="1"/>
  <c r="AD173" i="5"/>
  <c r="AD172" i="5"/>
  <c r="AD171" i="5"/>
  <c r="AD169" i="5"/>
  <c r="AD159" i="5"/>
  <c r="F158" i="5" s="1"/>
  <c r="AD149" i="5"/>
  <c r="J147" i="5" s="1"/>
  <c r="AD115" i="5"/>
  <c r="J113" i="5" s="1"/>
  <c r="AD105" i="5"/>
  <c r="AD104" i="5"/>
  <c r="AD103" i="5"/>
  <c r="AD102" i="5"/>
  <c r="AD155" i="5"/>
  <c r="J151" i="5" s="1"/>
  <c r="AD148" i="5"/>
  <c r="F147" i="5" s="1"/>
  <c r="AD71" i="5"/>
  <c r="I67" i="5" s="1"/>
  <c r="AD68" i="5"/>
  <c r="F67" i="5" s="1"/>
  <c r="AD30" i="5"/>
  <c r="AD22" i="5"/>
  <c r="AD21" i="5"/>
  <c r="F15" i="5" s="1"/>
  <c r="AD9" i="5"/>
  <c r="AD8" i="5"/>
  <c r="W62" i="4"/>
  <c r="W89" i="4"/>
  <c r="W82" i="4"/>
  <c r="W20" i="4"/>
  <c r="W16" i="4" s="1"/>
  <c r="F7" i="5" l="1"/>
  <c r="F101" i="5"/>
  <c r="AD175" i="5"/>
  <c r="AD29" i="5"/>
  <c r="AD101" i="5"/>
  <c r="AD67" i="5"/>
  <c r="E67" i="5" s="1"/>
  <c r="AD7" i="5"/>
  <c r="I27" i="18"/>
  <c r="I25" i="18"/>
  <c r="I23" i="18"/>
  <c r="I16" i="18"/>
  <c r="I12" i="18"/>
  <c r="I8" i="18"/>
  <c r="D22" i="18"/>
  <c r="D20" i="18"/>
  <c r="D18" i="18"/>
  <c r="D15" i="18"/>
  <c r="D10" i="18"/>
  <c r="D8" i="18"/>
  <c r="AD170" i="5"/>
  <c r="J168" i="5" s="1"/>
  <c r="AD195" i="5"/>
  <c r="E195" i="5" s="1"/>
  <c r="AD189" i="5"/>
  <c r="E189" i="5" s="1"/>
  <c r="AD185" i="5"/>
  <c r="E185" i="5" s="1"/>
  <c r="AD179" i="5"/>
  <c r="E179" i="5" s="1"/>
  <c r="AD163" i="5"/>
  <c r="E163" i="5" s="1"/>
  <c r="E7" i="5" l="1"/>
  <c r="E101" i="5"/>
  <c r="I7" i="18"/>
  <c r="AD168" i="5"/>
  <c r="E168" i="5" s="1"/>
  <c r="M189" i="5"/>
  <c r="N189" i="5" s="1"/>
  <c r="M179" i="5"/>
  <c r="N179" i="5" s="1"/>
  <c r="M195" i="5"/>
  <c r="N195" i="5" s="1"/>
  <c r="M163" i="5" l="1"/>
  <c r="N163" i="5" s="1"/>
  <c r="J162" i="5"/>
  <c r="AD160" i="5" l="1"/>
  <c r="J158" i="5" s="1"/>
  <c r="AD88" i="5"/>
  <c r="E88" i="5" s="1"/>
  <c r="AD158" i="5" l="1"/>
  <c r="E158" i="5" s="1"/>
  <c r="W36" i="4" l="1"/>
  <c r="W35" i="4" s="1"/>
  <c r="D7" i="18"/>
  <c r="AD200" i="5"/>
  <c r="E200" i="5" s="1"/>
  <c r="W71" i="4" l="1"/>
  <c r="W59" i="4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M168" i="5" l="1"/>
  <c r="N168" i="5" s="1"/>
  <c r="M185" i="5" l="1"/>
  <c r="N185" i="5" s="1"/>
  <c r="AD162" i="5" l="1"/>
  <c r="E175" i="5"/>
  <c r="E162" i="5" s="1"/>
  <c r="M175" i="5" l="1"/>
  <c r="N175" i="5" s="1"/>
  <c r="AD86" i="5"/>
  <c r="I85" i="5" s="1"/>
  <c r="D212" i="5" l="1"/>
  <c r="D209" i="5"/>
  <c r="D199" i="5"/>
  <c r="D118" i="5"/>
  <c r="D117" i="5" s="1"/>
  <c r="D55" i="4"/>
  <c r="D88" i="4"/>
  <c r="D81" i="4"/>
  <c r="D78" i="4"/>
  <c r="G75" i="4"/>
  <c r="D74" i="4"/>
  <c r="G74" i="4" s="1"/>
  <c r="D70" i="4"/>
  <c r="D47" i="4"/>
  <c r="D50" i="4"/>
  <c r="D30" i="4"/>
  <c r="D35" i="4"/>
  <c r="D26" i="4"/>
  <c r="D23" i="4"/>
  <c r="D54" i="4" l="1"/>
  <c r="D46" i="4"/>
  <c r="D29" i="4"/>
  <c r="D77" i="4"/>
  <c r="D15" i="4"/>
  <c r="G79" i="4"/>
  <c r="G78" i="4"/>
  <c r="G48" i="4"/>
  <c r="G47" i="4"/>
  <c r="G44" i="4"/>
  <c r="G41" i="4"/>
  <c r="W34" i="4"/>
  <c r="W33" i="4" s="1"/>
  <c r="E33" i="4" s="1"/>
  <c r="F33" i="4" s="1"/>
  <c r="G33" i="4" s="1"/>
  <c r="D11" i="4" l="1"/>
  <c r="E89" i="4"/>
  <c r="E88" i="4" s="1"/>
  <c r="F88" i="4" s="1"/>
  <c r="G88" i="4" s="1"/>
  <c r="F89" i="4" l="1"/>
  <c r="G89" i="4" s="1"/>
  <c r="E82" i="4" l="1"/>
  <c r="W70" i="4"/>
  <c r="E66" i="4"/>
  <c r="F66" i="4" s="1"/>
  <c r="G66" i="4" s="1"/>
  <c r="E62" i="4"/>
  <c r="F62" i="4" s="1"/>
  <c r="G62" i="4" s="1"/>
  <c r="E59" i="4"/>
  <c r="F59" i="4" s="1"/>
  <c r="G59" i="4" s="1"/>
  <c r="E56" i="4"/>
  <c r="F56" i="4" s="1"/>
  <c r="G56" i="4" s="1"/>
  <c r="D43" i="4"/>
  <c r="G43" i="4" s="1"/>
  <c r="D40" i="4"/>
  <c r="G40" i="4" s="1"/>
  <c r="W43" i="4"/>
  <c r="W41" i="4"/>
  <c r="W40" i="4" s="1"/>
  <c r="E44" i="4"/>
  <c r="W23" i="4" l="1"/>
  <c r="E23" i="4" s="1"/>
  <c r="E24" i="4"/>
  <c r="F24" i="4" s="1"/>
  <c r="G24" i="4" s="1"/>
  <c r="E41" i="4"/>
  <c r="E40" i="4" s="1"/>
  <c r="F40" i="4" s="1"/>
  <c r="E51" i="4"/>
  <c r="E43" i="4"/>
  <c r="F43" i="4" s="1"/>
  <c r="F44" i="4"/>
  <c r="E81" i="4"/>
  <c r="F81" i="4" s="1"/>
  <c r="G81" i="4" s="1"/>
  <c r="F82" i="4"/>
  <c r="G82" i="4" s="1"/>
  <c r="W39" i="4"/>
  <c r="W55" i="4"/>
  <c r="E71" i="4"/>
  <c r="E55" i="4"/>
  <c r="F55" i="4" s="1"/>
  <c r="G55" i="4" s="1"/>
  <c r="D39" i="4"/>
  <c r="F41" i="4" l="1"/>
  <c r="E16" i="4"/>
  <c r="F16" i="4" s="1"/>
  <c r="G16" i="4" s="1"/>
  <c r="W15" i="4"/>
  <c r="E50" i="4"/>
  <c r="F50" i="4" s="1"/>
  <c r="G50" i="4" s="1"/>
  <c r="F51" i="4"/>
  <c r="G51" i="4" s="1"/>
  <c r="E39" i="4"/>
  <c r="F39" i="4" s="1"/>
  <c r="D4" i="4"/>
  <c r="G39" i="4"/>
  <c r="E70" i="4"/>
  <c r="F70" i="4" s="1"/>
  <c r="G70" i="4" s="1"/>
  <c r="F71" i="4"/>
  <c r="G71" i="4" s="1"/>
  <c r="W9" i="4" l="1"/>
  <c r="E27" i="4"/>
  <c r="W88" i="4"/>
  <c r="W81" i="4"/>
  <c r="W80" i="4"/>
  <c r="W79" i="4" s="1"/>
  <c r="E79" i="4" s="1"/>
  <c r="W75" i="4"/>
  <c r="W50" i="4"/>
  <c r="W26" i="4"/>
  <c r="E78" i="4" l="1"/>
  <c r="F79" i="4"/>
  <c r="E26" i="4"/>
  <c r="F26" i="4" s="1"/>
  <c r="G26" i="4" s="1"/>
  <c r="F27" i="4"/>
  <c r="G27" i="4" s="1"/>
  <c r="W47" i="4"/>
  <c r="E48" i="4"/>
  <c r="W74" i="4"/>
  <c r="W54" i="4" s="1"/>
  <c r="E75" i="4"/>
  <c r="W78" i="4"/>
  <c r="W77" i="4" s="1"/>
  <c r="W46" i="4"/>
  <c r="E77" i="4" l="1"/>
  <c r="F77" i="4" s="1"/>
  <c r="G77" i="4" s="1"/>
  <c r="F78" i="4"/>
  <c r="E74" i="4"/>
  <c r="F75" i="4"/>
  <c r="E47" i="4"/>
  <c r="F48" i="4"/>
  <c r="E9" i="4"/>
  <c r="F9" i="4" s="1"/>
  <c r="G9" i="4"/>
  <c r="W7" i="4"/>
  <c r="W11" i="4" l="1"/>
  <c r="E46" i="4"/>
  <c r="F46" i="4" s="1"/>
  <c r="G46" i="4" s="1"/>
  <c r="F47" i="4"/>
  <c r="E54" i="4"/>
  <c r="F54" i="4" s="1"/>
  <c r="G54" i="4" s="1"/>
  <c r="F74" i="4"/>
  <c r="F23" i="4"/>
  <c r="G23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l="1"/>
  <c r="G11" i="4" s="1"/>
  <c r="F7" i="18"/>
  <c r="AD109" i="5"/>
  <c r="E109" i="5" s="1"/>
  <c r="E122" i="5"/>
  <c r="W31" i="4"/>
  <c r="D133" i="5"/>
  <c r="D132" i="5" s="1"/>
  <c r="D84" i="5"/>
  <c r="D73" i="5"/>
  <c r="W30" i="4" l="1"/>
  <c r="E36" i="4"/>
  <c r="F212" i="5"/>
  <c r="G212" i="5"/>
  <c r="H212" i="5"/>
  <c r="I212" i="5"/>
  <c r="J212" i="5"/>
  <c r="K212" i="5"/>
  <c r="L212" i="5"/>
  <c r="AD212" i="5"/>
  <c r="F209" i="5"/>
  <c r="G209" i="5"/>
  <c r="H209" i="5"/>
  <c r="I209" i="5"/>
  <c r="J209" i="5"/>
  <c r="K209" i="5"/>
  <c r="L209" i="5"/>
  <c r="I199" i="5"/>
  <c r="J199" i="5"/>
  <c r="K199" i="5"/>
  <c r="L199" i="5"/>
  <c r="H199" i="5"/>
  <c r="G199" i="5"/>
  <c r="F199" i="5"/>
  <c r="G84" i="5"/>
  <c r="H84" i="5"/>
  <c r="G133" i="5"/>
  <c r="K133" i="5"/>
  <c r="AD143" i="5"/>
  <c r="E143" i="5" s="1"/>
  <c r="G118" i="5"/>
  <c r="G117" i="5" s="1"/>
  <c r="H118" i="5"/>
  <c r="H117" i="5" s="1"/>
  <c r="I118" i="5"/>
  <c r="I117" i="5" s="1"/>
  <c r="J118" i="5"/>
  <c r="J117" i="5" s="1"/>
  <c r="K118" i="5"/>
  <c r="K117" i="5" s="1"/>
  <c r="L118" i="5"/>
  <c r="L117" i="5" s="1"/>
  <c r="AD119" i="5"/>
  <c r="AD85" i="5"/>
  <c r="E85" i="5" s="1"/>
  <c r="G73" i="5"/>
  <c r="H73" i="5"/>
  <c r="I73" i="5"/>
  <c r="J73" i="5"/>
  <c r="L73" i="5"/>
  <c r="AD74" i="5"/>
  <c r="E74" i="5" s="1"/>
  <c r="E119" i="5" l="1"/>
  <c r="M119" i="5" s="1"/>
  <c r="N119" i="5" s="1"/>
  <c r="AD127" i="5"/>
  <c r="AD94" i="5"/>
  <c r="E94" i="5" s="1"/>
  <c r="E35" i="4"/>
  <c r="F35" i="4" s="1"/>
  <c r="G35" i="4" s="1"/>
  <c r="F36" i="4"/>
  <c r="G36" i="4" s="1"/>
  <c r="W29" i="4"/>
  <c r="E31" i="4"/>
  <c r="K132" i="5"/>
  <c r="G132" i="5"/>
  <c r="AD118" i="5" l="1"/>
  <c r="E127" i="5"/>
  <c r="J84" i="5"/>
  <c r="F118" i="5"/>
  <c r="F117" i="5" s="1"/>
  <c r="E30" i="4"/>
  <c r="F31" i="4"/>
  <c r="J133" i="5"/>
  <c r="J132" i="5" l="1"/>
  <c r="I133" i="5"/>
  <c r="E29" i="4"/>
  <c r="F29" i="4" s="1"/>
  <c r="G29" i="4" s="1"/>
  <c r="F30" i="4"/>
  <c r="AD147" i="5"/>
  <c r="E147" i="5" s="1"/>
  <c r="I132" i="5" l="1"/>
  <c r="W6" i="4" l="1"/>
  <c r="W5" i="4" s="1"/>
  <c r="E5" i="4" l="1"/>
  <c r="E4" i="4" s="1"/>
  <c r="W4" i="4"/>
  <c r="M7" i="5"/>
  <c r="F5" i="4" l="1"/>
  <c r="F4" i="4" s="1"/>
  <c r="G4" i="4" s="1"/>
  <c r="AD199" i="5" l="1"/>
  <c r="F73" i="5"/>
  <c r="AD20" i="5"/>
  <c r="AD15" i="5" s="1"/>
  <c r="S39" i="5" s="1"/>
  <c r="AD39" i="5" s="1"/>
  <c r="AD13" i="5"/>
  <c r="H12" i="5" s="1"/>
  <c r="AD152" i="5"/>
  <c r="F151" i="5" s="1"/>
  <c r="F38" i="5" l="1"/>
  <c r="AD38" i="5"/>
  <c r="AD12" i="5"/>
  <c r="H6" i="5"/>
  <c r="H5" i="5" s="1"/>
  <c r="J6" i="5"/>
  <c r="J5" i="5" s="1"/>
  <c r="J4" i="5" s="1"/>
  <c r="E79" i="5"/>
  <c r="K73" i="5"/>
  <c r="L133" i="5"/>
  <c r="L132" i="5" s="1"/>
  <c r="M101" i="5"/>
  <c r="N101" i="5" s="1"/>
  <c r="F84" i="5"/>
  <c r="AD151" i="5"/>
  <c r="E151" i="5" s="1"/>
  <c r="E133" i="5" s="1"/>
  <c r="I6" i="5"/>
  <c r="L84" i="5"/>
  <c r="L6" i="5"/>
  <c r="M122" i="5"/>
  <c r="N122" i="5" s="1"/>
  <c r="AD113" i="5"/>
  <c r="E113" i="5" s="1"/>
  <c r="N7" i="5"/>
  <c r="M143" i="5"/>
  <c r="N143" i="5" s="1"/>
  <c r="E12" i="5" l="1"/>
  <c r="E15" i="5"/>
  <c r="M151" i="5"/>
  <c r="N151" i="5" s="1"/>
  <c r="K84" i="5"/>
  <c r="M113" i="5"/>
  <c r="N113" i="5" s="1"/>
  <c r="AD73" i="5"/>
  <c r="M79" i="5"/>
  <c r="N79" i="5" s="1"/>
  <c r="M67" i="5"/>
  <c r="N67" i="5" s="1"/>
  <c r="I84" i="5"/>
  <c r="I5" i="5" s="1"/>
  <c r="I4" i="5" s="1"/>
  <c r="H133" i="5"/>
  <c r="H132" i="5" s="1"/>
  <c r="H4" i="5" s="1"/>
  <c r="L5" i="5"/>
  <c r="L4" i="5" s="1"/>
  <c r="G6" i="5"/>
  <c r="G5" i="5" s="1"/>
  <c r="G4" i="5" s="1"/>
  <c r="M134" i="5"/>
  <c r="N134" i="5" s="1"/>
  <c r="AD133" i="5"/>
  <c r="AD132" i="5" s="1"/>
  <c r="M85" i="5"/>
  <c r="N85" i="5" s="1"/>
  <c r="F133" i="5"/>
  <c r="F132" i="5" s="1"/>
  <c r="M127" i="5"/>
  <c r="N127" i="5" s="1"/>
  <c r="E118" i="5"/>
  <c r="E117" i="5" s="1"/>
  <c r="AD117" i="5"/>
  <c r="M109" i="5"/>
  <c r="N109" i="5" s="1"/>
  <c r="K6" i="5"/>
  <c r="M74" i="5"/>
  <c r="N74" i="5" s="1"/>
  <c r="M94" i="5"/>
  <c r="N94" i="5" s="1"/>
  <c r="M147" i="5"/>
  <c r="N147" i="5" s="1"/>
  <c r="M158" i="5"/>
  <c r="N158" i="5" s="1"/>
  <c r="M200" i="5"/>
  <c r="N200" i="5" s="1"/>
  <c r="E199" i="5"/>
  <c r="D6" i="5"/>
  <c r="M162" i="5"/>
  <c r="N162" i="5" s="1"/>
  <c r="M77" i="5"/>
  <c r="N77" i="5" s="1"/>
  <c r="G5" i="4"/>
  <c r="S45" i="5" l="1"/>
  <c r="AD45" i="5" s="1"/>
  <c r="D5" i="5"/>
  <c r="D4" i="5" s="1"/>
  <c r="K5" i="5"/>
  <c r="K4" i="5" s="1"/>
  <c r="AD84" i="5"/>
  <c r="M12" i="5"/>
  <c r="N12" i="5" s="1"/>
  <c r="M199" i="5"/>
  <c r="N199" i="5" s="1"/>
  <c r="AD209" i="5"/>
  <c r="E132" i="5"/>
  <c r="M117" i="5"/>
  <c r="N117" i="5" s="1"/>
  <c r="M118" i="5"/>
  <c r="N118" i="5" s="1"/>
  <c r="E73" i="5"/>
  <c r="M73" i="5" s="1"/>
  <c r="N73" i="5" s="1"/>
  <c r="M15" i="5"/>
  <c r="N15" i="5" s="1"/>
  <c r="N213" i="5"/>
  <c r="E212" i="5"/>
  <c r="M212" i="5" s="1"/>
  <c r="N212" i="5" s="1"/>
  <c r="AD44" i="5" l="1"/>
  <c r="S49" i="5"/>
  <c r="AD49" i="5" s="1"/>
  <c r="E38" i="5"/>
  <c r="M38" i="5" s="1"/>
  <c r="N38" i="5" s="1"/>
  <c r="M133" i="5"/>
  <c r="N133" i="5" s="1"/>
  <c r="M210" i="5"/>
  <c r="N210" i="5" s="1"/>
  <c r="E209" i="5"/>
  <c r="M209" i="5" s="1"/>
  <c r="N209" i="5" s="1"/>
  <c r="M88" i="5"/>
  <c r="N88" i="5" s="1"/>
  <c r="E84" i="5"/>
  <c r="M84" i="5" s="1"/>
  <c r="N84" i="5" s="1"/>
  <c r="AD48" i="5" l="1"/>
  <c r="S57" i="5"/>
  <c r="AD57" i="5" s="1"/>
  <c r="M132" i="5"/>
  <c r="N132" i="5" s="1"/>
  <c r="S53" i="5" l="1"/>
  <c r="AD53" i="5" s="1"/>
  <c r="AD56" i="5"/>
  <c r="S61" i="5"/>
  <c r="AD61" i="5" s="1"/>
  <c r="F42" i="5" l="1"/>
  <c r="F6" i="5" s="1"/>
  <c r="F5" i="5" s="1"/>
  <c r="F4" i="5" s="1"/>
  <c r="AD52" i="5"/>
  <c r="AD60" i="5"/>
  <c r="AD42" i="5" l="1"/>
  <c r="E42" i="5" l="1"/>
  <c r="E6" i="5" s="1"/>
  <c r="E5" i="5" s="1"/>
  <c r="M5" i="5" s="1"/>
  <c r="N5" i="5" s="1"/>
  <c r="AD6" i="5"/>
  <c r="AD5" i="5" s="1"/>
  <c r="AD4" i="5" s="1"/>
  <c r="M42" i="5" l="1"/>
  <c r="N42" i="5" s="1"/>
  <c r="E4" i="5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<sst xmlns="http://schemas.openxmlformats.org/spreadsheetml/2006/main" count="1482" uniqueCount="670">
  <si>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</si>
  <si>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</si>
  <si>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</si>
  <si>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</si>
  <si>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</si>
  <si>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</si>
  <si>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</si>
  <si>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</si>
  <si>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</si>
  <si>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</si>
  <si>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</si>
  <si>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</si>
  <si>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</si>
  <si>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</si>
  <si>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</si>
  <si>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</si>
  <si>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</si>
  <si>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</si>
  <si>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</si>
  <si>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</si>
  <si>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</si>
  <si>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</si>
  <si>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</si>
  <si>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</si>
  <si>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</si>
  <si>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</si>
  <si>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</si>
  <si>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</si>
  <si>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</si>
  <si>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</si>
  <si>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</si>
  <si>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</si>
  <si>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</si>
  <si>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</si>
  <si>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</si>
  <si>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</si>
  <si>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</si>
  <si>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</si>
  <si>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</si>
  <si>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</si>
  <si>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</si>
  <si>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</si>
  <si>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</si>
  <si>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</si>
  <si>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</si>
  <si>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</si>
  <si>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</si>
  <si>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</si>
  <si>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</si>
  <si>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</si>
  <si>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</si>
  <si>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</si>
  <si>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</si>
  <si>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</si>
  <si>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</si>
  <si>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</si>
  <si>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</si>
  <si>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</si>
  <si>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</si>
  <si>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</si>
  <si>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</si>
  <si>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</si>
  <si>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</si>
  <si>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</si>
  <si>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</si>
  <si>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</si>
  <si>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</si>
  <si>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</si>
  <si>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</si>
  <si>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</si>
  <si>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</si>
  <si>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</si>
  <si>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</si>
  <si>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</si>
  <si>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</si>
  <si>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</si>
  <si>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</si>
  <si>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</si>
  <si>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</si>
  <si>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</si>
  <si>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</si>
  <si>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</si>
  <si>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</si>
  <si>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</si>
  <si>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</si>
  <si>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</si>
  <si>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</si>
  <si>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</si>
  <si>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</si>
  <si>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</si>
  <si>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</si>
  <si>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</si>
  <si>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</si>
  <si>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</si>
  <si>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</si>
  <si>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</si>
  <si>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</si>
  <si>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</si>
  <si>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</si>
  <si>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</si>
  <si>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</si>
  <si>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</si>
  <si>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</si>
  <si>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</si>
  <si>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</si>
  <si>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</si>
  <si>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</si>
  <si>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</si>
  <si>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</si>
  <si>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</si>
  <si>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</si>
  <si>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</si>
  <si>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</si>
  <si>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</si>
  <si>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</si>
  <si>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</si>
  <si>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</si>
  <si>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</si>
  <si>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</si>
  <si>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</si>
  <si>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</si>
  <si>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</si>
  <si>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</si>
  <si>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</si>
  <si>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</si>
  <si>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</si>
  <si>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</si>
  <si>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</si>
  <si>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</si>
  <si>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</si>
  <si>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</si>
  <si>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</si>
  <si>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</si>
  <si>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</si>
  <si>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</si>
  <si>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</si>
  <si>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</si>
  <si>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</si>
  <si>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</si>
  <si>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</si>
  <si>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</si>
  <si>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</si>
  <si>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</si>
  <si>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</si>
  <si>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</si>
  <si>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</si>
  <si>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인건비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</si>
  <si>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</si>
  <si>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</si>
  <si>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</si>
  <si>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</si>
  <si>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</si>
  <si>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</si>
  <si>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</si>
  <si>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</si>
  <si>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</si>
  <si>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</si>
  <si>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</si>
  <si>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</si>
  <si>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</si>
  <si>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</si>
  <si>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</si>
  <si>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</si>
  <si>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</si>
  <si>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</si>
  <si>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</si>
  <si>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</si>
  <si>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</si>
  <si>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</si>
  <si>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</si>
  <si>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</si>
  <si>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</si>
  <si>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</si>
  <si>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</si>
  <si>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</si>
  <si>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</si>
  <si>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</si>
  <si>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</si>
  <si>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</si>
  <si>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</si>
  <si>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</si>
  <si>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</si>
  <si>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</si>
  <si>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</si>
  <si>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</si>
  <si>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</si>
  <si>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</si>
  <si>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</si>
  <si>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</si>
  <si>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</si>
  <si>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</si>
  <si>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</si>
  <si>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</si>
  <si>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</si>
  <si>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</si>
  <si>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</si>
  <si>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</si>
  <si>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</si>
  <si>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</si>
  <si>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</si>
  <si>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</si>
  <si>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</si>
  <si>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</si>
  <si>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</si>
  <si>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 *금융기관 차입금</t>
    <phoneticPr fontId="8" type="noConversion"/>
  </si>
  <si>
    <t xml:space="preserve"> &lt;기타 차입금&gt;</t>
    <phoneticPr fontId="8" type="noConversion"/>
  </si>
  <si>
    <t xml:space="preserve">  *기타 차입금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</si>
  <si>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</si>
  <si>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</si>
  <si>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</si>
  <si>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</si>
  <si>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</si>
  <si>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</si>
  <si>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</si>
  <si>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</si>
  <si>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</si>
  <si>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</si>
  <si>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</si>
  <si>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</si>
  <si>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</si>
  <si>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</si>
  <si>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</si>
  <si>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</si>
  <si>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</si>
  <si>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</si>
  <si>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</si>
  <si>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</si>
  <si>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</si>
  <si>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</si>
  <si>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</si>
  <si>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</si>
  <si>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</si>
  <si>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</si>
  <si>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</si>
  <si>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</si>
  <si>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=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</si>
  <si>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</si>
  <si>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</si>
  <si>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</si>
  <si>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</si>
  <si>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</si>
  <si>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</si>
  <si>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</si>
  <si>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</si>
  <si>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</si>
  <si>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</si>
  <si>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 xml:space="preserve">  *결연후원금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</si>
  <si>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</si>
  <si>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</si>
  <si>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</si>
  <si>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</si>
  <si>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</si>
  <si>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</si>
  <si>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</si>
  <si>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</si>
  <si>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</si>
  <si>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</si>
  <si>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</si>
  <si>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</si>
  <si>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</si>
  <si>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</si>
  <si>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</si>
  <si>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</si>
  <si>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</si>
  <si>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</si>
  <si>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8" type="noConversion"/>
  </si>
  <si>
    <t>과  목</t>
    <phoneticPr fontId="8" type="noConversion"/>
  </si>
  <si>
    <t>관</t>
    <phoneticPr fontId="8" type="noConversion"/>
  </si>
  <si>
    <t>항</t>
    <phoneticPr fontId="8" type="noConversion"/>
  </si>
  <si>
    <t>내    역</t>
    <phoneticPr fontId="8" type="noConversion"/>
  </si>
  <si>
    <t>산출내역</t>
    <phoneticPr fontId="8" type="noConversion"/>
  </si>
  <si>
    <t>증, (△)감</t>
    <phoneticPr fontId="8" type="noConversion"/>
  </si>
  <si>
    <t>합     계</t>
    <phoneticPr fontId="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</si>
  <si>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</si>
  <si>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</si>
  <si>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</si>
  <si>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</si>
  <si>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</si>
  <si>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</si>
  <si>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잡수입이월액</t>
    <phoneticPr fontId="8" type="noConversion"/>
  </si>
  <si>
    <t xml:space="preserve"> * 예금이자(잡수입)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</si>
  <si>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</si>
  <si>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</si>
  <si>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</si>
  <si>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</si>
  <si>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</si>
  <si>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</si>
  <si>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</si>
  <si>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</si>
  <si>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</si>
  <si>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</si>
  <si>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</si>
  <si>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</si>
  <si>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</si>
  <si>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</si>
  <si>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</si>
  <si>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공공요금</t>
    <phoneticPr fontId="8" type="noConversion"/>
  </si>
  <si>
    <t>차량비</t>
    <phoneticPr fontId="8" type="noConversion"/>
  </si>
  <si>
    <t>검증</t>
    <phoneticPr fontId="8" type="noConversion"/>
  </si>
  <si>
    <t>합계</t>
    <phoneticPr fontId="8" type="noConversion"/>
  </si>
  <si>
    <t>명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</si>
  <si>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</si>
  <si>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</si>
  <si>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</si>
  <si>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</si>
  <si>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</si>
  <si>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</si>
  <si>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</si>
  <si>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</si>
  <si>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</si>
  <si>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</si>
  <si>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</si>
  <si>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</si>
  <si>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</si>
  <si>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</si>
  <si>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</si>
  <si>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</si>
  <si>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>×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</si>
  <si>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</si>
  <si>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</si>
  <si>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</si>
  <si>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</si>
  <si>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원</t>
    <phoneticPr fontId="8" type="noConversion"/>
  </si>
  <si>
    <t>=</t>
    <phoneticPr fontId="8" type="noConversion"/>
  </si>
  <si>
    <t>보조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</si>
  <si>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</si>
  <si>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</si>
  <si>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</si>
  <si>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</si>
  <si>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</si>
  <si>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</si>
  <si>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</si>
  <si>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</si>
  <si>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</si>
  <si>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예 산 액
(단위:천원)</t>
    <phoneticPr fontId="8" type="noConversion"/>
  </si>
  <si>
    <t>&lt;비지정후원금&gt;</t>
    <phoneticPr fontId="8" type="noConversion"/>
  </si>
  <si>
    <t>수용비및수수료</t>
    <phoneticPr fontId="8" type="noConversion"/>
  </si>
  <si>
    <t>제세공과금</t>
    <phoneticPr fontId="8" type="noConversion"/>
  </si>
  <si>
    <t>수용기관경비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</si>
  <si>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</si>
  <si>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</si>
  <si>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</si>
  <si>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</si>
  <si>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</si>
  <si>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</si>
  <si>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회</t>
    <phoneticPr fontId="8" type="noConversion"/>
  </si>
  <si>
    <t>보조금</t>
    <phoneticPr fontId="8" type="noConversion"/>
  </si>
  <si>
    <t>* 환경개선사업비(7종)</t>
    <phoneticPr fontId="8" type="noConversion"/>
  </si>
  <si>
    <t>* 종사자근무수당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</si>
  <si>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</si>
  <si>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</si>
  <si>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</si>
  <si>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</si>
  <si>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</si>
  <si>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</si>
  <si>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</si>
  <si>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 xml:space="preserve">  *공동모금회 환경개선사업비</t>
    <phoneticPr fontId="8" type="noConversion"/>
  </si>
  <si>
    <t>(후원)</t>
    <phoneticPr fontId="8" type="noConversion"/>
  </si>
  <si>
    <t>※ 체크카드환급</t>
    <phoneticPr fontId="8" type="noConversion"/>
  </si>
  <si>
    <t>합계:</t>
    <phoneticPr fontId="8" type="noConversion"/>
  </si>
  <si>
    <t>1. 보조금 체크카드환급금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</si>
  <si>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</si>
  <si>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</si>
  <si>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</si>
  <si>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</si>
  <si>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</si>
  <si>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</si>
  <si>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* 사회재활교사(김민제)</t>
    <phoneticPr fontId="8" type="noConversion"/>
  </si>
  <si>
    <t>보조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</si>
  <si>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</si>
  <si>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</si>
  <si>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</si>
  <si>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</si>
  <si>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</si>
  <si>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보조</t>
    <phoneticPr fontId="8" type="noConversion"/>
  </si>
  <si>
    <t>* 직원 축일 및 생일 축하 문화상품권</t>
    <phoneticPr fontId="8" type="noConversion"/>
  </si>
  <si>
    <t>후원</t>
    <phoneticPr fontId="8" type="noConversion"/>
  </si>
  <si>
    <t>* 대체인건비 인건비(직원 연차, 교육 등)</t>
    <phoneticPr fontId="8" type="noConversion"/>
  </si>
  <si>
    <t>보조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</si>
  <si>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</si>
  <si>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</si>
  <si>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입소</t>
    <phoneticPr fontId="8" type="noConversion"/>
  </si>
  <si>
    <t>* 이용인 독감예방접종</t>
    <phoneticPr fontId="8" type="noConversion"/>
  </si>
  <si>
    <t>* 기타 의료비</t>
    <phoneticPr fontId="8" type="noConversion"/>
  </si>
  <si>
    <t>보조금(7종)</t>
    <phoneticPr fontId="8" type="noConversion"/>
  </si>
  <si>
    <t>보조금
(도비)</t>
    <phoneticPr fontId="8" type="noConversion"/>
  </si>
  <si>
    <t>보조금
(시비)</t>
    <phoneticPr fontId="8" type="noConversion"/>
  </si>
  <si>
    <t>* 이용인 직장 방문 경비(음료 등)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</si>
  <si>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</si>
  <si>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</si>
  <si>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</si>
  <si>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</si>
  <si>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</si>
  <si>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</si>
  <si>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소방안전점검비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</si>
  <si>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</si>
  <si>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</si>
  <si>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</si>
  <si>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</si>
  <si>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</si>
  <si>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</si>
  <si>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</si>
  <si>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</si>
  <si>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</t>
    <phoneticPr fontId="8" type="noConversion"/>
  </si>
  <si>
    <t>* 기타 시설물 관리유지비</t>
    <phoneticPr fontId="8" type="noConversion"/>
  </si>
  <si>
    <t>* 주부식비</t>
    <phoneticPr fontId="8" type="noConversion"/>
  </si>
  <si>
    <t>* 주부식비(보충액)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</si>
  <si>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</si>
  <si>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</si>
  <si>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</si>
  <si>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법인</t>
    <phoneticPr fontId="8" type="noConversion"/>
  </si>
  <si>
    <t>입소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</si>
  <si>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</si>
  <si>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</si>
  <si>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</si>
  <si>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</si>
  <si>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</si>
  <si>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</si>
  <si>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</si>
  <si>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* 찜질방 이용</t>
    <phoneticPr fontId="8" type="noConversion"/>
  </si>
  <si>
    <t>* 노래방 이용</t>
    <phoneticPr fontId="8" type="noConversion"/>
  </si>
  <si>
    <t>교육지원</t>
    <phoneticPr fontId="8" type="noConversion"/>
  </si>
  <si>
    <t>* 성교육</t>
    <phoneticPr fontId="8" type="noConversion"/>
  </si>
  <si>
    <t>* 인권교육</t>
    <phoneticPr fontId="8" type="noConversion"/>
  </si>
  <si>
    <t>* 금전관리교육</t>
    <phoneticPr fontId="8" type="noConversion"/>
  </si>
  <si>
    <t>* 독서치료교육</t>
    <phoneticPr fontId="8" type="noConversion"/>
  </si>
  <si>
    <t>* 교육(학습)지원 비용</t>
    <phoneticPr fontId="8" type="noConversion"/>
  </si>
  <si>
    <t>자치회의</t>
    <phoneticPr fontId="8" type="noConversion"/>
  </si>
  <si>
    <t>* 자치회의</t>
    <phoneticPr fontId="8" type="noConversion"/>
  </si>
  <si>
    <t>* 봄</t>
    <phoneticPr fontId="8" type="noConversion"/>
  </si>
  <si>
    <t>* 여름캠프</t>
    <phoneticPr fontId="8" type="noConversion"/>
  </si>
  <si>
    <t>* 가을여행</t>
    <phoneticPr fontId="8" type="noConversion"/>
  </si>
  <si>
    <t>* 겨울</t>
    <phoneticPr fontId="8" type="noConversion"/>
  </si>
  <si>
    <t>계절별</t>
    <phoneticPr fontId="8" type="noConversion"/>
  </si>
  <si>
    <t>나들이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</si>
  <si>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</si>
  <si>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</si>
  <si>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</si>
  <si>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헬스프로그램</t>
    <phoneticPr fontId="8" type="noConversion"/>
  </si>
  <si>
    <t>* 수영프로그램</t>
    <phoneticPr fontId="8" type="noConversion"/>
  </si>
  <si>
    <t>* 헬스용품 구입비</t>
    <phoneticPr fontId="8" type="noConversion"/>
  </si>
  <si>
    <t>* 송년회</t>
    <phoneticPr fontId="8" type="noConversion"/>
  </si>
  <si>
    <t>* 개원기념일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</si>
  <si>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</si>
  <si>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</si>
  <si>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</si>
  <si>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</si>
  <si>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</si>
  <si>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</si>
  <si>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* 보조금 체크카드 환급액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</si>
  <si>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</si>
  <si>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</si>
  <si>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</si>
  <si>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간식비(우유대금)</t>
    <phoneticPr fontId="8" type="noConversion"/>
  </si>
  <si>
    <t>* 주민세 등 기타 공과금</t>
    <phoneticPr fontId="8" type="noConversion"/>
  </si>
  <si>
    <t>기타 보조금</t>
    <phoneticPr fontId="28" type="noConversion"/>
  </si>
  <si>
    <t>보조</t>
    <phoneticPr fontId="8" type="noConversion"/>
  </si>
  <si>
    <t>일</t>
    <phoneticPr fontId="8" type="noConversion"/>
  </si>
  <si>
    <t>* 경장연 대체인력지원금</t>
    <phoneticPr fontId="8" type="noConversion"/>
  </si>
  <si>
    <t xml:space="preserve"> &lt;기타 보조금 합계&gt;</t>
    <phoneticPr fontId="8" type="noConversion"/>
  </si>
  <si>
    <t>입소
비용</t>
    <phoneticPr fontId="8" type="noConversion"/>
  </si>
  <si>
    <t>보조금
수   입</t>
    <phoneticPr fontId="8" type="noConversion"/>
  </si>
  <si>
    <t>국   고
보조금</t>
    <phoneticPr fontId="8" type="noConversion"/>
  </si>
  <si>
    <t>생계비</t>
    <phoneticPr fontId="8" type="noConversion"/>
  </si>
  <si>
    <t xml:space="preserve">* </t>
    <phoneticPr fontId="8" type="noConversion"/>
  </si>
  <si>
    <t>운영비</t>
    <phoneticPr fontId="8" type="noConversion"/>
  </si>
  <si>
    <t>시   도
보조금</t>
    <phoneticPr fontId="8" type="noConversion"/>
  </si>
  <si>
    <t>환경개선
사업비</t>
    <phoneticPr fontId="8" type="noConversion"/>
  </si>
  <si>
    <t>기타
지원금</t>
    <phoneticPr fontId="8" type="noConversion"/>
  </si>
  <si>
    <t>시군구
보조금</t>
    <phoneticPr fontId="8" type="noConversion"/>
  </si>
  <si>
    <t>직원건강
진단비</t>
    <phoneticPr fontId="8" type="noConversion"/>
  </si>
  <si>
    <t>기타
보조금</t>
    <phoneticPr fontId="8" type="noConversion"/>
  </si>
  <si>
    <t>경장연
지원금</t>
    <phoneticPr fontId="8" type="noConversion"/>
  </si>
  <si>
    <t>후원금</t>
    <phoneticPr fontId="8" type="noConversion"/>
  </si>
  <si>
    <t>지정
후원금</t>
    <phoneticPr fontId="8" type="noConversion"/>
  </si>
  <si>
    <t>비지정
후원금</t>
    <phoneticPr fontId="8" type="noConversion"/>
  </si>
  <si>
    <t>전입금</t>
    <phoneticPr fontId="8" type="noConversion"/>
  </si>
  <si>
    <t>법인
전입금</t>
    <phoneticPr fontId="8" type="noConversion"/>
  </si>
  <si>
    <t>법인
전입금
(후원금)</t>
    <phoneticPr fontId="8" type="noConversion"/>
  </si>
  <si>
    <t xml:space="preserve">* </t>
    <phoneticPr fontId="8" type="noConversion"/>
  </si>
  <si>
    <t>이월금</t>
    <phoneticPr fontId="8" type="noConversion"/>
  </si>
  <si>
    <t>전년도
이월금</t>
    <phoneticPr fontId="8" type="noConversion"/>
  </si>
  <si>
    <t>입소비용
이월금</t>
    <phoneticPr fontId="8" type="noConversion"/>
  </si>
  <si>
    <t>보조금
이월금</t>
    <phoneticPr fontId="8" type="noConversion"/>
  </si>
  <si>
    <t>법인
전입금
이월금</t>
    <phoneticPr fontId="8" type="noConversion"/>
  </si>
  <si>
    <t>잡수입
이월금</t>
    <phoneticPr fontId="8" type="noConversion"/>
  </si>
  <si>
    <t>전년도
이월금
(후원)</t>
    <phoneticPr fontId="8" type="noConversion"/>
  </si>
  <si>
    <t>전년도
이월금
(후원금)</t>
    <phoneticPr fontId="8" type="noConversion"/>
  </si>
  <si>
    <t>잡수입</t>
    <phoneticPr fontId="8" type="noConversion"/>
  </si>
  <si>
    <t>과  목</t>
    <phoneticPr fontId="8" type="noConversion"/>
  </si>
  <si>
    <t>예 산 액
(단위:원)</t>
    <phoneticPr fontId="8" type="noConversion"/>
  </si>
  <si>
    <t>증, (△)감</t>
    <phoneticPr fontId="8" type="noConversion"/>
  </si>
  <si>
    <t>산출내역</t>
    <phoneticPr fontId="8" type="noConversion"/>
  </si>
  <si>
    <t>내    역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</si>
  <si>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</si>
  <si>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</si>
  <si>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</si>
  <si>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합     계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</si>
  <si>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</si>
  <si>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</si>
  <si>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</si>
  <si>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일용잡급</t>
    <phoneticPr fontId="8" type="noConversion"/>
  </si>
  <si>
    <t>제수당</t>
    <phoneticPr fontId="8" type="noConversion"/>
  </si>
  <si>
    <t>퇴직금
적립금</t>
    <phoneticPr fontId="8" type="noConversion"/>
  </si>
  <si>
    <t>사회보험
부담금</t>
    <phoneticPr fontId="8" type="noConversion"/>
  </si>
  <si>
    <t>기타
후생경비</t>
    <phoneticPr fontId="8" type="noConversion"/>
  </si>
  <si>
    <t>업무
추진비</t>
    <phoneticPr fontId="8" type="noConversion"/>
  </si>
  <si>
    <t>기관
운영비</t>
    <phoneticPr fontId="8" type="noConversion"/>
  </si>
  <si>
    <t>직책
보조비</t>
    <phoneticPr fontId="8" type="noConversion"/>
  </si>
  <si>
    <t>회의비</t>
    <phoneticPr fontId="8" type="noConversion"/>
  </si>
  <si>
    <t>운영비</t>
    <phoneticPr fontId="8" type="noConversion"/>
  </si>
  <si>
    <t>여비</t>
    <phoneticPr fontId="8" type="noConversion"/>
  </si>
  <si>
    <t>수용비 및
수수료</t>
    <phoneticPr fontId="8" type="noConversion"/>
  </si>
  <si>
    <t>공공요금</t>
    <phoneticPr fontId="8" type="noConversion"/>
  </si>
  <si>
    <t>제세
공과금</t>
    <phoneticPr fontId="8" type="noConversion"/>
  </si>
  <si>
    <t>차량비</t>
    <phoneticPr fontId="8" type="noConversion"/>
  </si>
  <si>
    <t>기타
운영비</t>
    <phoneticPr fontId="8" type="noConversion"/>
  </si>
  <si>
    <t>재산
조성비</t>
    <phoneticPr fontId="8" type="noConversion"/>
  </si>
  <si>
    <t>시설비</t>
    <phoneticPr fontId="8" type="noConversion"/>
  </si>
  <si>
    <t>자산
취득비</t>
    <phoneticPr fontId="8" type="noConversion"/>
  </si>
  <si>
    <t>시설장비
유지비</t>
    <phoneticPr fontId="8" type="noConversion"/>
  </si>
  <si>
    <t>사업비</t>
    <phoneticPr fontId="8" type="noConversion"/>
  </si>
  <si>
    <t>생계비</t>
    <phoneticPr fontId="8" type="noConversion"/>
  </si>
  <si>
    <t>수용기관
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</si>
  <si>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</si>
  <si>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</si>
  <si>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</si>
  <si>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
사업비</t>
    <phoneticPr fontId="8" type="noConversion"/>
  </si>
  <si>
    <t>보조금
반환금</t>
    <phoneticPr fontId="8" type="noConversion"/>
  </si>
  <si>
    <t>예비비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</si>
  <si>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</si>
  <si>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</si>
  <si>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</si>
  <si>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</si>
  <si>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</si>
  <si>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</si>
  <si>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</si>
  <si>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</si>
  <si>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</si>
  <si>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</si>
  <si>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2. 입소비용 체크카드환급액</t>
    <phoneticPr fontId="8" type="noConversion"/>
  </si>
  <si>
    <t>4. 후원금 체크카드환급금</t>
    <phoneticPr fontId="8" type="noConversion"/>
  </si>
  <si>
    <t>3. 잡수입 체크카드환급금</t>
    <phoneticPr fontId="8" type="noConversion"/>
  </si>
  <si>
    <t>월</t>
    <phoneticPr fontId="8" type="noConversion"/>
  </si>
  <si>
    <t>3호봉</t>
    <phoneticPr fontId="8" type="noConversion"/>
  </si>
  <si>
    <t>4호봉</t>
    <phoneticPr fontId="8" type="noConversion"/>
  </si>
  <si>
    <t>입소</t>
    <phoneticPr fontId="8" type="noConversion"/>
  </si>
  <si>
    <t>* 정수기 대여료 및 수질검사 등</t>
    <phoneticPr fontId="8" type="noConversion"/>
  </si>
  <si>
    <t>보조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</si>
  <si>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</si>
  <si>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</si>
  <si>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피복비(이용인 피복, 이불, 베게 등)</t>
    <phoneticPr fontId="8" type="noConversion"/>
  </si>
  <si>
    <t>* 환경개선사업(7종)</t>
    <phoneticPr fontId="8" type="noConversion"/>
  </si>
  <si>
    <t>* 2017년 시설당 기본지원</t>
    <phoneticPr fontId="8" type="noConversion"/>
  </si>
  <si>
    <t>* 공공요금 예산 증액</t>
    <phoneticPr fontId="8" type="noConversion"/>
  </si>
  <si>
    <t>* 종사자처우개선비(경기도)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</si>
  <si>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</si>
  <si>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</si>
  <si>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</si>
  <si>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</si>
  <si>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</si>
  <si>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후원</t>
    <phoneticPr fontId="8" type="noConversion"/>
  </si>
  <si>
    <t>입소</t>
    <phoneticPr fontId="8" type="noConversion"/>
  </si>
  <si>
    <t>프로그램비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</si>
  <si>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</si>
  <si>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</si>
  <si>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</si>
  <si>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기타후생경비</t>
    <phoneticPr fontId="8" type="noConversion"/>
  </si>
  <si>
    <t>입소</t>
    <phoneticPr fontId="8" type="noConversion"/>
  </si>
  <si>
    <t>보조</t>
    <phoneticPr fontId="8" type="noConversion"/>
  </si>
  <si>
    <t>6. 사회보험부담금(정산보험)</t>
    <phoneticPr fontId="8" type="noConversion"/>
  </si>
  <si>
    <t>후원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</si>
  <si>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</si>
  <si>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</si>
  <si>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</si>
  <si>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</si>
  <si>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</si>
  <si>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(음식점)</t>
    <phoneticPr fontId="8" type="noConversion"/>
  </si>
  <si>
    <t>(카페)</t>
    <phoneticPr fontId="8" type="noConversion"/>
  </si>
  <si>
    <t>2017년
1추경 예산</t>
    <phoneticPr fontId="28" type="noConversion"/>
  </si>
  <si>
    <t>1/4분기
신청액</t>
    <phoneticPr fontId="8" type="noConversion"/>
  </si>
  <si>
    <t>2/4분기
신청액</t>
    <phoneticPr fontId="8" type="noConversion"/>
  </si>
  <si>
    <t>2017년 몬띠의 집 분기별 운영비(보조금) 신청액</t>
    <phoneticPr fontId="8" type="noConversion"/>
  </si>
  <si>
    <t>3/4분기
신청액</t>
    <phoneticPr fontId="8" type="noConversion"/>
  </si>
  <si>
    <t>4/4분기
신청액</t>
    <phoneticPr fontId="8" type="noConversion"/>
  </si>
  <si>
    <t>몬띠</t>
    <phoneticPr fontId="8" type="noConversion"/>
  </si>
  <si>
    <t>마르따</t>
    <phoneticPr fontId="8" type="noConversion"/>
  </si>
  <si>
    <t>바르나바</t>
    <phoneticPr fontId="8" type="noConversion"/>
  </si>
  <si>
    <t>기타후생경비</t>
    <phoneticPr fontId="8" type="noConversion"/>
  </si>
  <si>
    <t>시설당 지원금</t>
    <phoneticPr fontId="8" type="noConversion"/>
  </si>
  <si>
    <t>환경개선사업비</t>
    <phoneticPr fontId="8" type="noConversion"/>
  </si>
  <si>
    <t>종사자근무수당</t>
    <phoneticPr fontId="8" type="noConversion"/>
  </si>
  <si>
    <t>직원건강진단비</t>
    <phoneticPr fontId="8" type="noConversion"/>
  </si>
  <si>
    <t>종사자처우개선비</t>
    <phoneticPr fontId="8" type="noConversion"/>
  </si>
  <si>
    <t>기타운영비</t>
    <phoneticPr fontId="8" type="noConversion"/>
  </si>
  <si>
    <t>경장연 대체인력</t>
    <phoneticPr fontId="8" type="noConversion"/>
  </si>
  <si>
    <t>생계비</t>
    <phoneticPr fontId="8" type="noConversion"/>
  </si>
  <si>
    <t>반환금</t>
    <phoneticPr fontId="8" type="noConversion"/>
  </si>
  <si>
    <t>수용기관경비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</si>
  <si>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</si>
  <si>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</si>
  <si>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</si>
  <si>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프로그램비</t>
    <phoneticPr fontId="8" type="noConversion"/>
  </si>
  <si>
    <t>운영비</t>
    <phoneticPr fontId="8" type="noConversion"/>
  </si>
  <si>
    <t>인건비</t>
    <phoneticPr fontId="8" type="noConversion"/>
  </si>
  <si>
    <t>입소</t>
    <phoneticPr fontId="8" type="noConversion"/>
  </si>
  <si>
    <t>2017년
1차추경 예산</t>
    <phoneticPr fontId="8" type="noConversion"/>
  </si>
  <si>
    <t>* 의료비 증액</t>
    <phoneticPr fontId="8" type="noConversion"/>
  </si>
  <si>
    <t>회의비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</si>
  <si>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</si>
  <si>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</si>
  <si>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</si>
  <si>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</si>
  <si>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* 우편물발송료 등 기타 공공요금</t>
    <phoneticPr fontId="8" type="noConversion"/>
  </si>
  <si>
    <t>&lt;몬띠의 집 2017년도 2차추경예산 세출내역&gt;</t>
    <phoneticPr fontId="8" type="noConversion"/>
  </si>
  <si>
    <t>2017년
1차추경
예산액(A)
(단위:천원)</t>
    <phoneticPr fontId="8" type="noConversion"/>
  </si>
  <si>
    <t>2017년 2차추경 예산액(B)(단위:천원)</t>
    <phoneticPr fontId="8" type="noConversion"/>
  </si>
  <si>
    <t>5.종사자특수근무수당(7종)</t>
    <phoneticPr fontId="8" type="noConversion"/>
  </si>
  <si>
    <t>4.지역사회 종사자수당</t>
    <phoneticPr fontId="8" type="noConversion"/>
  </si>
  <si>
    <t>6.종사자처우개선비(경기도)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</si>
  <si>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</si>
  <si>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</si>
  <si>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</si>
  <si>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</si>
  <si>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보조</t>
    <phoneticPr fontId="8" type="noConversion"/>
  </si>
  <si>
    <t>회</t>
    <phoneticPr fontId="8" type="noConversion"/>
  </si>
  <si>
    <t>입소</t>
    <phoneticPr fontId="8" type="noConversion"/>
  </si>
  <si>
    <t>7종</t>
    <phoneticPr fontId="8" type="noConversion"/>
  </si>
  <si>
    <t>보조</t>
    <phoneticPr fontId="8" type="noConversion"/>
  </si>
  <si>
    <t>7종</t>
    <phoneticPr fontId="8" type="noConversion"/>
  </si>
  <si>
    <t>시비</t>
    <phoneticPr fontId="8" type="noConversion"/>
  </si>
  <si>
    <t>시비</t>
    <phoneticPr fontId="8" type="noConversion"/>
  </si>
  <si>
    <t>입소</t>
    <phoneticPr fontId="8" type="noConversion"/>
  </si>
  <si>
    <t>후원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</si>
  <si>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</si>
  <si>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</si>
  <si>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</si>
  <si>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&lt;몬띠의 집 2017년도 2차추경예산 세입내역&gt;</t>
    <phoneticPr fontId="8" type="noConversion"/>
  </si>
  <si>
    <t>2017년
1차추경
예산액(B)
(단위:천원)</t>
    <phoneticPr fontId="8" type="noConversion"/>
  </si>
  <si>
    <t>2017년
2차추경예산
(B)
(단위:천원)</t>
    <phoneticPr fontId="8" type="noConversion"/>
  </si>
  <si>
    <t>* 종사자특수근무수당(7종)</t>
    <phoneticPr fontId="8" type="noConversion"/>
  </si>
  <si>
    <t>원</t>
    <phoneticPr fontId="8" type="noConversion"/>
  </si>
  <si>
    <t>* 환경개선사업(7종) - 컴퓨터, 쇼파 교체</t>
    <phoneticPr fontId="8" type="noConversion"/>
  </si>
  <si>
    <t>* 거실 장판교체</t>
    <phoneticPr fontId="8" type="noConversion"/>
  </si>
  <si>
    <t>원</t>
    <phoneticPr fontId="8" type="noConversion"/>
  </si>
  <si>
    <t>입소</t>
    <phoneticPr fontId="8" type="noConversion"/>
  </si>
  <si>
    <t>□ 2017년도 2차추경예산 세 입 · 세 출 총  괄  표</t>
    <phoneticPr fontId="28" type="noConversion"/>
  </si>
  <si>
    <t>2017년
2추경 예산</t>
    <phoneticPr fontId="28" type="noConversion"/>
  </si>
  <si>
    <t>2017년 2차추경 예산 세출증감내역</t>
    <phoneticPr fontId="8" type="noConversion"/>
  </si>
  <si>
    <t>2017년
2차추경 예산</t>
    <phoneticPr fontId="8" type="noConversion"/>
  </si>
  <si>
    <t>* 생계비 증액</t>
    <phoneticPr fontId="8" type="noConversion"/>
  </si>
  <si>
    <t xml:space="preserve">* </t>
    <phoneticPr fontId="8" type="noConversion"/>
  </si>
  <si>
    <t>* 보조금 연료비 삭감</t>
    <phoneticPr fontId="8" type="noConversion"/>
  </si>
  <si>
    <t>* 프로그램사업비 삭감</t>
    <phoneticPr fontId="8" type="noConversion"/>
  </si>
  <si>
    <t>* 보조금 예산조정으로 감액</t>
    <phoneticPr fontId="8" type="noConversion"/>
  </si>
  <si>
    <t>* 직원교육훈련비(보조금) 삭감</t>
    <phoneticPr fontId="8" type="noConversion"/>
  </si>
  <si>
    <t>* 대체인력 20일 -&gt;1일 이용 예산반영</t>
    <phoneticPr fontId="8" type="noConversion"/>
  </si>
  <si>
    <t>* 연장근로수당 자부담분 조정 82,000원 삭감
* 지역사회 종사자수당 120만원 -&gt;60만원으로 삭감
* 종사자특수근무수당(7종) 신설로 180만원 증액</t>
    <phoneticPr fontId="8" type="noConversion"/>
  </si>
  <si>
    <t>* 인건비 조정으로 증액</t>
    <phoneticPr fontId="8" type="noConversion"/>
  </si>
  <si>
    <t>* 사회보험부담금 예산조정으로 감액</t>
    <phoneticPr fontId="8" type="noConversion"/>
  </si>
  <si>
    <t>* 수용비 및 수수료 예산조정으로 감액</t>
    <phoneticPr fontId="8" type="noConversion"/>
  </si>
  <si>
    <t>* 환경개선사업비(7종) 증액 : 거실 쇼파, 제습기, 업무용 컴퓨터 구입</t>
    <phoneticPr fontId="8" type="noConversion"/>
  </si>
  <si>
    <t>* 환경개선사업비(7종) 증액 : 거실 장판교체 증액</t>
    <phoneticPr fontId="8" type="noConversion"/>
  </si>
  <si>
    <t>종사자
근무수당</t>
    <phoneticPr fontId="8" type="noConversion"/>
  </si>
  <si>
    <t>종사자
특수근무수당(7종)</t>
    <phoneticPr fontId="8" type="noConversion"/>
  </si>
  <si>
    <t>* 종사자특수근무수당(7종) 신설반영</t>
    <phoneticPr fontId="8" type="noConversion"/>
  </si>
  <si>
    <t>* 3분기부터 보조금 지원 중단</t>
    <phoneticPr fontId="8" type="noConversion"/>
  </si>
  <si>
    <t>* 경장연 대체인력지원 인건비(20일-&gt;1일) 삭감</t>
    <phoneticPr fontId="8" type="noConversion"/>
  </si>
  <si>
    <t>2017년 2차추경 예산 세입증감내역</t>
    <phoneticPr fontId="8" type="noConversion"/>
  </si>
  <si>
    <t xml:space="preserve">*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</si>
</sst>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00%"/>
    <numFmt numFmtId="187" formatCode="0.0%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  <numFmt numFmtId="192" formatCode="#,##0_ ;[Red]\-#,##0\ "/>
    <numFmt numFmtId="193" formatCode="#,##0.0;[Red]#,##0.0"/>
    <numFmt numFmtId="194" formatCode="#,##0&quot;×&quot;;\-#,##0&quot;원×&quot;"/>
    <numFmt numFmtId="195" formatCode="#,##0&quot;월&quot;;\-#,##0&quot;월&quot;"/>
    <numFmt numFmtId="196" formatCode="#,##0&quot;h×&quot;;\-#,##0&quot;h×&quot;"/>
    <numFmt numFmtId="197" formatCode="#,##0&quot;회&quot;;[Red]#,##0"/>
    <numFmt numFmtId="198" formatCode="#,##0&quot;명&quot;;[Red]#,##0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96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4" xfId="3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176" fontId="17" fillId="0" borderId="45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4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3" xfId="3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5" xfId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8" fontId="18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188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89" fontId="0" fillId="0" borderId="62" xfId="0" applyNumberForma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191" fontId="0" fillId="0" borderId="63" xfId="0" applyNumberFormat="1" applyFill="1" applyBorder="1" applyAlignment="1">
      <alignment vertical="center"/>
    </xf>
    <xf numFmtId="188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88" fontId="35" fillId="0" borderId="26" xfId="0" applyNumberFormat="1" applyFont="1" applyFill="1" applyBorder="1" applyAlignment="1">
      <alignment vertical="center"/>
    </xf>
    <xf numFmtId="188" fontId="0" fillId="0" borderId="52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88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88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88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2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7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6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50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4" fontId="24" fillId="0" borderId="0" xfId="3" applyNumberFormat="1" applyFont="1" applyFill="1" applyBorder="1" applyAlignment="1">
      <alignment horizontal="left" vertical="center"/>
    </xf>
    <xf numFmtId="193" fontId="24" fillId="0" borderId="0" xfId="3" applyNumberFormat="1" applyFont="1" applyFill="1" applyBorder="1" applyAlignment="1">
      <alignment vertical="center"/>
    </xf>
    <xf numFmtId="195" fontId="24" fillId="0" borderId="0" xfId="3" applyNumberFormat="1" applyFont="1" applyFill="1" applyBorder="1" applyAlignment="1">
      <alignment vertical="center"/>
    </xf>
    <xf numFmtId="196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1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88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1" fontId="0" fillId="5" borderId="20" xfId="2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41" fontId="0" fillId="4" borderId="20" xfId="2" applyFont="1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41" fontId="0" fillId="2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 wrapText="1"/>
    </xf>
    <xf numFmtId="197" fontId="33" fillId="0" borderId="0" xfId="3" applyNumberFormat="1" applyFont="1" applyFill="1" applyBorder="1" applyAlignment="1">
      <alignment vertical="center"/>
    </xf>
    <xf numFmtId="198" fontId="33" fillId="0" borderId="0" xfId="3" applyNumberFormat="1" applyFont="1" applyFill="1" applyBorder="1" applyAlignment="1">
      <alignment vertical="center"/>
    </xf>
    <xf numFmtId="41" fontId="33" fillId="0" borderId="0" xfId="2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2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29" xfId="3" applyNumberFormat="1" applyFont="1" applyFill="1" applyBorder="1" applyAlignment="1">
      <alignment horizontal="center" vertical="center" wrapText="1"/>
    </xf>
    <xf numFmtId="178" fontId="16" fillId="0" borderId="44" xfId="3" applyNumberFormat="1" applyFont="1" applyFill="1" applyBorder="1" applyAlignment="1">
      <alignment horizontal="center" vertical="center" wrapText="1"/>
    </xf>
    <xf numFmtId="178" fontId="16" fillId="0" borderId="52" xfId="3" applyNumberFormat="1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6&#45380;&#46020;%202&#52264;&#52628;&#44221;&#50696;&#49328;&#50504;(&#47560;&#47476;&#4638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J9" sqref="J9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646</v>
      </c>
      <c r="K2" s="204" t="s">
        <v>333</v>
      </c>
    </row>
    <row r="3" spans="2:11" ht="9.9499999999999993" customHeight="1" thickBot="1"/>
    <row r="4" spans="2:11" ht="30" customHeight="1">
      <c r="B4" s="619" t="s">
        <v>167</v>
      </c>
      <c r="C4" s="620"/>
      <c r="D4" s="620"/>
      <c r="E4" s="620"/>
      <c r="F4" s="621"/>
      <c r="G4" s="619" t="s">
        <v>168</v>
      </c>
      <c r="H4" s="620"/>
      <c r="I4" s="620"/>
      <c r="J4" s="620"/>
      <c r="K4" s="622"/>
    </row>
    <row r="5" spans="2:11" ht="16.5" customHeight="1">
      <c r="B5" s="623" t="s">
        <v>169</v>
      </c>
      <c r="C5" s="624"/>
      <c r="D5" s="627" t="s">
        <v>579</v>
      </c>
      <c r="E5" s="627" t="s">
        <v>647</v>
      </c>
      <c r="F5" s="629" t="s">
        <v>170</v>
      </c>
      <c r="G5" s="623" t="s">
        <v>169</v>
      </c>
      <c r="H5" s="624"/>
      <c r="I5" s="627" t="s">
        <v>579</v>
      </c>
      <c r="J5" s="627" t="s">
        <v>647</v>
      </c>
      <c r="K5" s="631" t="s">
        <v>170</v>
      </c>
    </row>
    <row r="6" spans="2:11" ht="22.5" customHeight="1" thickBot="1">
      <c r="B6" s="625"/>
      <c r="C6" s="626"/>
      <c r="D6" s="628"/>
      <c r="E6" s="628"/>
      <c r="F6" s="630"/>
      <c r="G6" s="625"/>
      <c r="H6" s="626"/>
      <c r="I6" s="628"/>
      <c r="J6" s="628"/>
      <c r="K6" s="632"/>
    </row>
    <row r="7" spans="2:11" ht="24.95" customHeight="1" thickTop="1">
      <c r="B7" s="633" t="s">
        <v>171</v>
      </c>
      <c r="C7" s="634"/>
      <c r="D7" s="516">
        <f>SUM(D8:D23)/2</f>
        <v>71949000</v>
      </c>
      <c r="E7" s="516">
        <f>SUM(E8:E23)/2</f>
        <v>72629000</v>
      </c>
      <c r="F7" s="517">
        <f>SUM(F8:F23)/2</f>
        <v>680000</v>
      </c>
      <c r="G7" s="633" t="s">
        <v>171</v>
      </c>
      <c r="H7" s="634"/>
      <c r="I7" s="516">
        <f>SUM(I8:I28)/2</f>
        <v>71949000</v>
      </c>
      <c r="J7" s="516">
        <f>SUM(J8:J28)/2</f>
        <v>72629000</v>
      </c>
      <c r="K7" s="518">
        <f>SUM(K8:K28)/2</f>
        <v>680000</v>
      </c>
    </row>
    <row r="8" spans="2:11" ht="24.95" customHeight="1">
      <c r="B8" s="635" t="s">
        <v>172</v>
      </c>
      <c r="C8" s="519" t="s">
        <v>332</v>
      </c>
      <c r="D8" s="520">
        <f>D9</f>
        <v>7200000</v>
      </c>
      <c r="E8" s="520">
        <f>E9</f>
        <v>7200000</v>
      </c>
      <c r="F8" s="521">
        <f>F9</f>
        <v>0</v>
      </c>
      <c r="G8" s="635" t="s">
        <v>174</v>
      </c>
      <c r="H8" s="519" t="s">
        <v>332</v>
      </c>
      <c r="I8" s="520">
        <f>SUM(I9:I11)</f>
        <v>50550000</v>
      </c>
      <c r="J8" s="520">
        <f>SUM(J9:J11)</f>
        <v>50194000</v>
      </c>
      <c r="K8" s="525">
        <f>SUM(K9:K11)</f>
        <v>-356000</v>
      </c>
    </row>
    <row r="9" spans="2:11" ht="24.95" customHeight="1">
      <c r="B9" s="636"/>
      <c r="C9" s="205" t="s">
        <v>173</v>
      </c>
      <c r="D9" s="206">
        <v>7200000</v>
      </c>
      <c r="E9" s="206">
        <v>7200000</v>
      </c>
      <c r="F9" s="207">
        <f>E9-D9</f>
        <v>0</v>
      </c>
      <c r="G9" s="637"/>
      <c r="H9" s="205" t="s">
        <v>175</v>
      </c>
      <c r="I9" s="206">
        <v>40009000</v>
      </c>
      <c r="J9" s="206">
        <v>39488000</v>
      </c>
      <c r="K9" s="208">
        <f>J9-I9</f>
        <v>-521000</v>
      </c>
    </row>
    <row r="10" spans="2:11" ht="24.95" customHeight="1">
      <c r="B10" s="635" t="s">
        <v>176</v>
      </c>
      <c r="C10" s="522" t="s">
        <v>332</v>
      </c>
      <c r="D10" s="523">
        <f>SUM(D11:D14)</f>
        <v>58905000</v>
      </c>
      <c r="E10" s="523">
        <f>SUM(E11:E14)</f>
        <v>59585000</v>
      </c>
      <c r="F10" s="524">
        <f>SUM(F11:F14)</f>
        <v>680000</v>
      </c>
      <c r="G10" s="637"/>
      <c r="H10" s="205" t="s">
        <v>177</v>
      </c>
      <c r="I10" s="206">
        <v>400000</v>
      </c>
      <c r="J10" s="206">
        <v>400000</v>
      </c>
      <c r="K10" s="208">
        <f t="shared" ref="K10:K11" si="0">J10-I10</f>
        <v>0</v>
      </c>
    </row>
    <row r="11" spans="2:11" ht="24.95" customHeight="1">
      <c r="B11" s="637"/>
      <c r="C11" s="288" t="s">
        <v>262</v>
      </c>
      <c r="D11" s="206">
        <v>0</v>
      </c>
      <c r="E11" s="206">
        <v>0</v>
      </c>
      <c r="F11" s="207">
        <f t="shared" ref="F11:F23" si="1">E11-D11</f>
        <v>0</v>
      </c>
      <c r="G11" s="636"/>
      <c r="H11" s="205" t="s">
        <v>101</v>
      </c>
      <c r="I11" s="206">
        <v>10141000</v>
      </c>
      <c r="J11" s="206">
        <v>10306000</v>
      </c>
      <c r="K11" s="208">
        <f t="shared" si="0"/>
        <v>165000</v>
      </c>
    </row>
    <row r="12" spans="2:11" ht="24.95" customHeight="1">
      <c r="B12" s="637"/>
      <c r="C12" s="288" t="s">
        <v>263</v>
      </c>
      <c r="D12" s="206">
        <v>57305000</v>
      </c>
      <c r="E12" s="206">
        <v>59505000</v>
      </c>
      <c r="F12" s="207">
        <f t="shared" si="1"/>
        <v>2200000</v>
      </c>
      <c r="G12" s="635" t="s">
        <v>102</v>
      </c>
      <c r="H12" s="522" t="s">
        <v>332</v>
      </c>
      <c r="I12" s="523">
        <f>SUM(I13:I15)</f>
        <v>1600000</v>
      </c>
      <c r="J12" s="523">
        <f>SUM(J13:J15)</f>
        <v>3500000</v>
      </c>
      <c r="K12" s="526">
        <f>SUM(K13:K15)</f>
        <v>1900000</v>
      </c>
    </row>
    <row r="13" spans="2:11" ht="24.95" customHeight="1">
      <c r="B13" s="637"/>
      <c r="C13" s="288" t="s">
        <v>264</v>
      </c>
      <c r="D13" s="206">
        <v>0</v>
      </c>
      <c r="E13" s="206">
        <v>0</v>
      </c>
      <c r="F13" s="207">
        <f t="shared" ref="F13" si="2">E13-D13</f>
        <v>0</v>
      </c>
      <c r="G13" s="637"/>
      <c r="H13" s="205" t="s">
        <v>103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636"/>
      <c r="C14" s="588" t="s">
        <v>455</v>
      </c>
      <c r="D14" s="206">
        <v>1600000</v>
      </c>
      <c r="E14" s="206">
        <v>80000</v>
      </c>
      <c r="F14" s="207">
        <f t="shared" si="1"/>
        <v>-1520000</v>
      </c>
      <c r="G14" s="637"/>
      <c r="H14" s="205" t="s">
        <v>106</v>
      </c>
      <c r="I14" s="206">
        <v>1100000</v>
      </c>
      <c r="J14" s="206">
        <v>2500000</v>
      </c>
      <c r="K14" s="208">
        <f t="shared" ref="K14:K15" si="4">J14-I14</f>
        <v>1400000</v>
      </c>
    </row>
    <row r="15" spans="2:11" ht="24.95" customHeight="1">
      <c r="B15" s="635" t="s">
        <v>104</v>
      </c>
      <c r="C15" s="522" t="s">
        <v>332</v>
      </c>
      <c r="D15" s="523">
        <f>SUM(D16:D17)</f>
        <v>600000</v>
      </c>
      <c r="E15" s="523">
        <f>SUM(E16:E17)</f>
        <v>600000</v>
      </c>
      <c r="F15" s="524">
        <f>SUM(F16:F17)</f>
        <v>0</v>
      </c>
      <c r="G15" s="636"/>
      <c r="H15" s="205" t="s">
        <v>108</v>
      </c>
      <c r="I15" s="206">
        <v>500000</v>
      </c>
      <c r="J15" s="206">
        <v>1000000</v>
      </c>
      <c r="K15" s="208">
        <f t="shared" si="4"/>
        <v>500000</v>
      </c>
    </row>
    <row r="16" spans="2:11" ht="24.95" customHeight="1">
      <c r="B16" s="637"/>
      <c r="C16" s="205" t="s">
        <v>105</v>
      </c>
      <c r="D16" s="206">
        <v>0</v>
      </c>
      <c r="E16" s="206">
        <v>0</v>
      </c>
      <c r="F16" s="207">
        <f t="shared" si="1"/>
        <v>0</v>
      </c>
      <c r="G16" s="635" t="s">
        <v>111</v>
      </c>
      <c r="H16" s="522" t="s">
        <v>332</v>
      </c>
      <c r="I16" s="523">
        <f>SUM(I17:I22)</f>
        <v>19770000</v>
      </c>
      <c r="J16" s="523">
        <f>SUM(J17:J22)</f>
        <v>18911000</v>
      </c>
      <c r="K16" s="526">
        <f>SUM(K17:K22)</f>
        <v>-859000</v>
      </c>
    </row>
    <row r="17" spans="2:11" ht="24.95" customHeight="1">
      <c r="B17" s="636"/>
      <c r="C17" s="205" t="s">
        <v>107</v>
      </c>
      <c r="D17" s="206">
        <v>600000</v>
      </c>
      <c r="E17" s="206">
        <v>600000</v>
      </c>
      <c r="F17" s="207">
        <f t="shared" si="1"/>
        <v>0</v>
      </c>
      <c r="G17" s="637"/>
      <c r="H17" s="205" t="s">
        <v>112</v>
      </c>
      <c r="I17" s="206">
        <v>11300000</v>
      </c>
      <c r="J17" s="206">
        <v>11441000</v>
      </c>
      <c r="K17" s="208">
        <f t="shared" ref="K17:K22" si="5">J17-I17</f>
        <v>141000</v>
      </c>
    </row>
    <row r="18" spans="2:11" ht="24.95" customHeight="1">
      <c r="B18" s="635" t="s">
        <v>109</v>
      </c>
      <c r="C18" s="522" t="s">
        <v>332</v>
      </c>
      <c r="D18" s="523">
        <f>D19</f>
        <v>0</v>
      </c>
      <c r="E18" s="523">
        <f>E19</f>
        <v>0</v>
      </c>
      <c r="F18" s="524">
        <f>F19</f>
        <v>0</v>
      </c>
      <c r="G18" s="637"/>
      <c r="H18" s="205" t="s">
        <v>115</v>
      </c>
      <c r="I18" s="206">
        <v>750000</v>
      </c>
      <c r="J18" s="206">
        <v>750000</v>
      </c>
      <c r="K18" s="208">
        <f t="shared" si="5"/>
        <v>0</v>
      </c>
    </row>
    <row r="19" spans="2:11" ht="24.95" customHeight="1">
      <c r="B19" s="636"/>
      <c r="C19" s="205" t="s">
        <v>110</v>
      </c>
      <c r="D19" s="206">
        <v>0</v>
      </c>
      <c r="E19" s="206">
        <v>0</v>
      </c>
      <c r="F19" s="207">
        <f t="shared" si="1"/>
        <v>0</v>
      </c>
      <c r="G19" s="637"/>
      <c r="H19" s="205" t="s">
        <v>118</v>
      </c>
      <c r="I19" s="206">
        <v>1200000</v>
      </c>
      <c r="J19" s="206">
        <v>1200000</v>
      </c>
      <c r="K19" s="208">
        <f t="shared" si="5"/>
        <v>0</v>
      </c>
    </row>
    <row r="20" spans="2:11" ht="24.95" customHeight="1">
      <c r="B20" s="635" t="s">
        <v>113</v>
      </c>
      <c r="C20" s="522" t="s">
        <v>332</v>
      </c>
      <c r="D20" s="523">
        <f>D21</f>
        <v>5215000</v>
      </c>
      <c r="E20" s="523">
        <f>E21</f>
        <v>5215000</v>
      </c>
      <c r="F20" s="524">
        <f>F21</f>
        <v>0</v>
      </c>
      <c r="G20" s="637"/>
      <c r="H20" s="205" t="s">
        <v>119</v>
      </c>
      <c r="I20" s="206">
        <v>400000</v>
      </c>
      <c r="J20" s="206">
        <v>430000</v>
      </c>
      <c r="K20" s="208">
        <f t="shared" si="5"/>
        <v>30000</v>
      </c>
    </row>
    <row r="21" spans="2:11" ht="24.95" customHeight="1">
      <c r="B21" s="636"/>
      <c r="C21" s="205" t="s">
        <v>114</v>
      </c>
      <c r="D21" s="206">
        <v>5215000</v>
      </c>
      <c r="E21" s="206">
        <v>5215000</v>
      </c>
      <c r="F21" s="207">
        <f t="shared" si="1"/>
        <v>0</v>
      </c>
      <c r="G21" s="637"/>
      <c r="H21" s="205" t="s">
        <v>120</v>
      </c>
      <c r="I21" s="206">
        <v>180000</v>
      </c>
      <c r="J21" s="206">
        <v>150000</v>
      </c>
      <c r="K21" s="208">
        <f t="shared" si="5"/>
        <v>-30000</v>
      </c>
    </row>
    <row r="22" spans="2:11" ht="24.95" customHeight="1">
      <c r="B22" s="635" t="s">
        <v>116</v>
      </c>
      <c r="C22" s="522" t="s">
        <v>332</v>
      </c>
      <c r="D22" s="523">
        <f>D23</f>
        <v>29000</v>
      </c>
      <c r="E22" s="523">
        <f>E23</f>
        <v>29000</v>
      </c>
      <c r="F22" s="524">
        <f>F23</f>
        <v>0</v>
      </c>
      <c r="G22" s="636"/>
      <c r="H22" s="205" t="s">
        <v>121</v>
      </c>
      <c r="I22" s="206">
        <v>5940000</v>
      </c>
      <c r="J22" s="206">
        <v>4940000</v>
      </c>
      <c r="K22" s="208">
        <f t="shared" si="5"/>
        <v>-1000000</v>
      </c>
    </row>
    <row r="23" spans="2:11" ht="24.95" customHeight="1">
      <c r="B23" s="636"/>
      <c r="C23" s="205" t="s">
        <v>117</v>
      </c>
      <c r="D23" s="206">
        <v>29000</v>
      </c>
      <c r="E23" s="206">
        <v>29000</v>
      </c>
      <c r="F23" s="207">
        <f t="shared" si="1"/>
        <v>0</v>
      </c>
      <c r="G23" s="639" t="s">
        <v>162</v>
      </c>
      <c r="H23" s="522" t="s">
        <v>332</v>
      </c>
      <c r="I23" s="523">
        <f>I24</f>
        <v>11000</v>
      </c>
      <c r="J23" s="523">
        <f>J24</f>
        <v>6000</v>
      </c>
      <c r="K23" s="526">
        <f>K24</f>
        <v>-5000</v>
      </c>
    </row>
    <row r="24" spans="2:11" ht="24.95" customHeight="1">
      <c r="B24" s="589"/>
      <c r="C24" s="590"/>
      <c r="D24" s="590"/>
      <c r="E24" s="590"/>
      <c r="F24" s="590"/>
      <c r="G24" s="640"/>
      <c r="H24" s="205" t="s">
        <v>122</v>
      </c>
      <c r="I24" s="206">
        <v>11000</v>
      </c>
      <c r="J24" s="206">
        <v>6000</v>
      </c>
      <c r="K24" s="208">
        <f t="shared" ref="K24" si="6">J24-I24</f>
        <v>-5000</v>
      </c>
    </row>
    <row r="25" spans="2:11" ht="24.95" customHeight="1">
      <c r="B25" s="591"/>
      <c r="C25" s="592"/>
      <c r="D25" s="592"/>
      <c r="E25" s="592"/>
      <c r="F25" s="592"/>
      <c r="G25" s="635" t="s">
        <v>123</v>
      </c>
      <c r="H25" s="522" t="s">
        <v>332</v>
      </c>
      <c r="I25" s="523">
        <f>I26</f>
        <v>0</v>
      </c>
      <c r="J25" s="523">
        <f>J26</f>
        <v>0</v>
      </c>
      <c r="K25" s="526">
        <f>K26</f>
        <v>0</v>
      </c>
    </row>
    <row r="26" spans="2:11" ht="24.95" customHeight="1">
      <c r="B26" s="591"/>
      <c r="C26" s="592"/>
      <c r="D26" s="592"/>
      <c r="E26" s="592"/>
      <c r="F26" s="592"/>
      <c r="G26" s="636"/>
      <c r="H26" s="205" t="s">
        <v>124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591"/>
      <c r="C27" s="592"/>
      <c r="D27" s="592"/>
      <c r="E27" s="592"/>
      <c r="F27" s="592"/>
      <c r="G27" s="635" t="s">
        <v>125</v>
      </c>
      <c r="H27" s="522" t="s">
        <v>332</v>
      </c>
      <c r="I27" s="523">
        <f>I28</f>
        <v>18000</v>
      </c>
      <c r="J27" s="523">
        <f>J28</f>
        <v>18000</v>
      </c>
      <c r="K27" s="526">
        <f>K28</f>
        <v>0</v>
      </c>
    </row>
    <row r="28" spans="2:11" ht="24.95" customHeight="1" thickBot="1">
      <c r="B28" s="593"/>
      <c r="C28" s="594"/>
      <c r="D28" s="594"/>
      <c r="E28" s="594"/>
      <c r="F28" s="594"/>
      <c r="G28" s="638"/>
      <c r="H28" s="209" t="s">
        <v>126</v>
      </c>
      <c r="I28" s="210">
        <v>18000</v>
      </c>
      <c r="J28" s="210">
        <v>18000</v>
      </c>
      <c r="K28" s="211">
        <f>J28-I28</f>
        <v>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6"/>
  <sheetViews>
    <sheetView zoomScale="85" zoomScaleNormal="85" workbookViewId="0">
      <pane xSplit="3" ySplit="4" topLeftCell="D65" activePane="bottomRight" state="frozen"/>
      <selection pane="topRight" activeCell="E1" sqref="E1"/>
      <selection pane="bottomLeft" activeCell="A5" sqref="A5"/>
      <selection pane="bottomRight" activeCell="H37" sqref="H37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653" t="s">
        <v>637</v>
      </c>
      <c r="B1" s="653"/>
      <c r="C1" s="653"/>
      <c r="D1" s="653"/>
      <c r="E1" s="653"/>
      <c r="F1" s="653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643" t="s">
        <v>66</v>
      </c>
      <c r="B2" s="644"/>
      <c r="C2" s="644"/>
      <c r="D2" s="645" t="s">
        <v>638</v>
      </c>
      <c r="E2" s="645" t="s">
        <v>639</v>
      </c>
      <c r="F2" s="649" t="s">
        <v>23</v>
      </c>
      <c r="G2" s="649"/>
      <c r="H2" s="649" t="s">
        <v>55</v>
      </c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50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178</v>
      </c>
      <c r="D3" s="646"/>
      <c r="E3" s="646"/>
      <c r="F3" s="152" t="s">
        <v>133</v>
      </c>
      <c r="G3" s="27" t="s">
        <v>4</v>
      </c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2"/>
      <c r="Y3" s="8"/>
    </row>
    <row r="4" spans="1:25" s="3" customFormat="1" ht="19.5" customHeight="1">
      <c r="A4" s="647" t="s">
        <v>24</v>
      </c>
      <c r="B4" s="648"/>
      <c r="C4" s="648"/>
      <c r="D4" s="230">
        <f>SUM(D5,D7,D9,D11,D29,D39,D46,D54,D77)</f>
        <v>71949</v>
      </c>
      <c r="E4" s="230">
        <f>SUM(E5,E7,E9,E11,E29,E39,E46,E54,E77)</f>
        <v>72629</v>
      </c>
      <c r="F4" s="383">
        <f>SUM(F5,F7,F9,F11,F29,F39,F46,F54,F77)</f>
        <v>680</v>
      </c>
      <c r="G4" s="231">
        <f t="shared" ref="G4" si="0">IF(D4=0,0,F4/D4)</f>
        <v>9.451139001236987E-3</v>
      </c>
      <c r="H4" s="28" t="s">
        <v>164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SUM(W5,W7,W9,W11,W29,W39,W46,W54,W77)</f>
        <v>72629000</v>
      </c>
      <c r="X4" s="30" t="s">
        <v>165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131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163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129</v>
      </c>
      <c r="C6" s="47" t="s">
        <v>129</v>
      </c>
      <c r="D6" s="48"/>
      <c r="E6" s="48"/>
      <c r="F6" s="49"/>
      <c r="G6" s="31"/>
      <c r="H6" s="377" t="s">
        <v>273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179</v>
      </c>
      <c r="B7" s="36" t="s">
        <v>181</v>
      </c>
      <c r="C7" s="36" t="s">
        <v>179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183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180</v>
      </c>
      <c r="B8" s="59" t="s">
        <v>182</v>
      </c>
      <c r="C8" s="59" t="s">
        <v>180</v>
      </c>
      <c r="D8" s="48"/>
      <c r="E8" s="48"/>
      <c r="F8" s="49"/>
      <c r="G8" s="31"/>
      <c r="H8" s="53" t="s">
        <v>265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185</v>
      </c>
      <c r="B9" s="36" t="s">
        <v>187</v>
      </c>
      <c r="C9" s="36" t="s">
        <v>185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230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227</v>
      </c>
      <c r="B10" s="59" t="s">
        <v>228</v>
      </c>
      <c r="C10" s="59" t="s">
        <v>228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229</v>
      </c>
    </row>
    <row r="11" spans="1:25" s="11" customFormat="1" ht="19.5" customHeight="1">
      <c r="A11" s="35" t="s">
        <v>184</v>
      </c>
      <c r="B11" s="36" t="s">
        <v>184</v>
      </c>
      <c r="C11" s="555" t="s">
        <v>247</v>
      </c>
      <c r="D11" s="260">
        <f>SUM(D12,D15,D23,D26)</f>
        <v>58905</v>
      </c>
      <c r="E11" s="260">
        <f>SUM(E12,E15,E23,E26)</f>
        <v>59585</v>
      </c>
      <c r="F11" s="261">
        <f t="shared" ref="F11:F12" si="1">E11-D11</f>
        <v>680</v>
      </c>
      <c r="G11" s="262">
        <f t="shared" ref="G11:G12" si="2">IF(D11=0,0,F11/D11)</f>
        <v>1.1544011544011544E-2</v>
      </c>
      <c r="H11" s="263" t="s">
        <v>248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SUM(W12,W15,W23,W26)</f>
        <v>59585000</v>
      </c>
      <c r="X11" s="278" t="s">
        <v>25</v>
      </c>
      <c r="Y11" s="6"/>
    </row>
    <row r="12" spans="1:25" s="11" customFormat="1" ht="19.5" customHeight="1">
      <c r="A12" s="45" t="s">
        <v>186</v>
      </c>
      <c r="B12" s="46" t="s">
        <v>182</v>
      </c>
      <c r="C12" s="36" t="s">
        <v>188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189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231</v>
      </c>
      <c r="V12" s="246"/>
      <c r="W12" s="247">
        <v>0</v>
      </c>
      <c r="X12" s="279" t="s">
        <v>232</v>
      </c>
      <c r="Y12" s="6"/>
    </row>
    <row r="13" spans="1:25" s="11" customFormat="1" ht="19.5" customHeight="1">
      <c r="A13" s="45"/>
      <c r="B13" s="46"/>
      <c r="C13" s="46" t="s">
        <v>346</v>
      </c>
      <c r="D13" s="560"/>
      <c r="E13" s="560"/>
      <c r="F13" s="561"/>
      <c r="G13" s="562"/>
      <c r="H13" s="563"/>
      <c r="I13" s="564"/>
      <c r="J13" s="565"/>
      <c r="K13" s="565"/>
      <c r="L13" s="565"/>
      <c r="M13" s="565"/>
      <c r="N13" s="565"/>
      <c r="O13" s="566"/>
      <c r="P13" s="566"/>
      <c r="Q13" s="566"/>
      <c r="R13" s="566"/>
      <c r="S13" s="566"/>
      <c r="T13" s="566"/>
      <c r="U13" s="567"/>
      <c r="V13" s="568"/>
      <c r="W13" s="568"/>
      <c r="X13" s="569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6"/>
      <c r="I14" s="448"/>
      <c r="J14" s="468"/>
      <c r="K14" s="468"/>
      <c r="L14" s="447"/>
      <c r="M14" s="447"/>
      <c r="N14" s="469"/>
      <c r="O14" s="447"/>
      <c r="P14" s="470"/>
      <c r="Q14" s="471"/>
      <c r="R14" s="472"/>
      <c r="S14" s="473"/>
      <c r="T14" s="473"/>
      <c r="U14" s="474"/>
      <c r="V14" s="475"/>
      <c r="W14" s="448"/>
      <c r="X14" s="449"/>
      <c r="Y14" s="6"/>
    </row>
    <row r="15" spans="1:25" s="11" customFormat="1" ht="19.5" customHeight="1">
      <c r="A15" s="60"/>
      <c r="B15" s="46"/>
      <c r="C15" s="36" t="s">
        <v>190</v>
      </c>
      <c r="D15" s="227">
        <f>SUM(D16:D22)</f>
        <v>57305</v>
      </c>
      <c r="E15" s="227">
        <f>SUM(E16:E22)</f>
        <v>59505</v>
      </c>
      <c r="F15" s="228">
        <f t="shared" ref="F15" si="3">E15-D15</f>
        <v>2200</v>
      </c>
      <c r="G15" s="229">
        <f t="shared" ref="G15" si="4">IF(D15=0,0,F15/D15)</f>
        <v>3.8391065352063519E-2</v>
      </c>
      <c r="H15" s="215" t="s">
        <v>233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59505000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346</v>
      </c>
      <c r="D16" s="37">
        <v>57305</v>
      </c>
      <c r="E16" s="248">
        <f>ROUND(W16/1000,0)</f>
        <v>59505</v>
      </c>
      <c r="F16" s="38">
        <f t="shared" ref="F16" si="5">E16-D16</f>
        <v>2200</v>
      </c>
      <c r="G16" s="121">
        <f t="shared" ref="G16" si="6">IF(D16=0,0,F16/D16)</f>
        <v>3.8391065352063519E-2</v>
      </c>
      <c r="H16" s="254" t="s">
        <v>236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226</v>
      </c>
      <c r="V16" s="256"/>
      <c r="W16" s="256">
        <f>SUM(W17:W21)</f>
        <v>59505000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9" t="s">
        <v>354</v>
      </c>
      <c r="I17" s="68"/>
      <c r="J17" s="219"/>
      <c r="K17" s="219"/>
      <c r="L17" s="289"/>
      <c r="M17" s="289"/>
      <c r="N17" s="464"/>
      <c r="O17" s="465"/>
      <c r="P17" s="466"/>
      <c r="Q17" s="426"/>
      <c r="R17" s="467"/>
      <c r="S17" s="429"/>
      <c r="T17" s="427"/>
      <c r="U17" s="641"/>
      <c r="V17" s="641"/>
      <c r="W17" s="68">
        <v>54505000</v>
      </c>
      <c r="X17" s="57" t="s">
        <v>234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347</v>
      </c>
      <c r="I18" s="68"/>
      <c r="J18" s="219"/>
      <c r="K18" s="219"/>
      <c r="L18" s="289"/>
      <c r="M18" s="289"/>
      <c r="N18" s="464"/>
      <c r="O18" s="465"/>
      <c r="P18" s="466"/>
      <c r="Q18" s="426"/>
      <c r="R18" s="467"/>
      <c r="S18" s="429"/>
      <c r="T18" s="427"/>
      <c r="U18" s="641"/>
      <c r="V18" s="641"/>
      <c r="W18" s="68">
        <v>2000000</v>
      </c>
      <c r="X18" s="57" t="s">
        <v>234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640</v>
      </c>
      <c r="I19" s="68"/>
      <c r="J19" s="219"/>
      <c r="K19" s="219"/>
      <c r="L19" s="388">
        <v>200000</v>
      </c>
      <c r="M19" s="388" t="s">
        <v>57</v>
      </c>
      <c r="N19" s="389" t="s">
        <v>58</v>
      </c>
      <c r="O19" s="388">
        <v>1</v>
      </c>
      <c r="P19" s="388" t="s">
        <v>56</v>
      </c>
      <c r="Q19" s="389" t="s">
        <v>58</v>
      </c>
      <c r="R19" s="388">
        <v>9</v>
      </c>
      <c r="S19" s="388" t="s">
        <v>166</v>
      </c>
      <c r="T19" s="388" t="s">
        <v>53</v>
      </c>
      <c r="U19" s="388"/>
      <c r="V19" s="68"/>
      <c r="W19" s="68">
        <f>SUM(L19*O19*R19)</f>
        <v>1800000</v>
      </c>
      <c r="X19" s="57" t="s">
        <v>57</v>
      </c>
      <c r="Y19" s="6"/>
    </row>
    <row r="20" spans="1:25" s="11" customFormat="1" ht="19.5" customHeight="1">
      <c r="A20" s="60"/>
      <c r="B20" s="46"/>
      <c r="C20" s="46"/>
      <c r="D20" s="48"/>
      <c r="E20" s="48"/>
      <c r="F20" s="49"/>
      <c r="G20" s="70"/>
      <c r="H20" s="294" t="s">
        <v>348</v>
      </c>
      <c r="I20" s="68"/>
      <c r="J20" s="219"/>
      <c r="K20" s="219"/>
      <c r="L20" s="388">
        <v>100000</v>
      </c>
      <c r="M20" s="388" t="s">
        <v>349</v>
      </c>
      <c r="N20" s="389" t="s">
        <v>350</v>
      </c>
      <c r="O20" s="388">
        <v>1</v>
      </c>
      <c r="P20" s="388" t="s">
        <v>351</v>
      </c>
      <c r="Q20" s="389" t="s">
        <v>350</v>
      </c>
      <c r="R20" s="388">
        <v>6</v>
      </c>
      <c r="S20" s="388" t="s">
        <v>352</v>
      </c>
      <c r="T20" s="388" t="s">
        <v>353</v>
      </c>
      <c r="U20" s="388"/>
      <c r="V20" s="68"/>
      <c r="W20" s="68">
        <f>SUM(L20*O20*R20)</f>
        <v>600000</v>
      </c>
      <c r="X20" s="57" t="s">
        <v>349</v>
      </c>
      <c r="Y20" s="6"/>
    </row>
    <row r="21" spans="1:25" s="11" customFormat="1" ht="19.5" customHeight="1">
      <c r="A21" s="60"/>
      <c r="B21" s="46"/>
      <c r="C21" s="46"/>
      <c r="D21" s="48"/>
      <c r="E21" s="48"/>
      <c r="F21" s="49"/>
      <c r="G21" s="70"/>
      <c r="H21" s="602" t="s">
        <v>555</v>
      </c>
      <c r="I21" s="603"/>
      <c r="J21" s="270"/>
      <c r="K21" s="270"/>
      <c r="L21" s="604">
        <v>50000</v>
      </c>
      <c r="M21" s="604" t="s">
        <v>556</v>
      </c>
      <c r="N21" s="605" t="s">
        <v>557</v>
      </c>
      <c r="O21" s="604">
        <v>1</v>
      </c>
      <c r="P21" s="604" t="s">
        <v>558</v>
      </c>
      <c r="Q21" s="605" t="s">
        <v>557</v>
      </c>
      <c r="R21" s="604">
        <v>12</v>
      </c>
      <c r="S21" s="604" t="s">
        <v>559</v>
      </c>
      <c r="T21" s="604" t="s">
        <v>560</v>
      </c>
      <c r="U21" s="604"/>
      <c r="V21" s="603"/>
      <c r="W21" s="603">
        <f>SUM(L21*O21*R21)</f>
        <v>600000</v>
      </c>
      <c r="X21" s="606" t="s">
        <v>556</v>
      </c>
      <c r="Y21" s="6"/>
    </row>
    <row r="22" spans="1:25" s="11" customFormat="1" ht="19.5" customHeight="1">
      <c r="A22" s="60"/>
      <c r="B22" s="82"/>
      <c r="C22" s="83"/>
      <c r="D22" s="61"/>
      <c r="E22" s="61"/>
      <c r="F22" s="62"/>
      <c r="G22" s="84"/>
      <c r="H22" s="235"/>
      <c r="I22" s="234"/>
      <c r="J22" s="85"/>
      <c r="K22" s="85"/>
      <c r="L22" s="234"/>
      <c r="M22" s="234"/>
      <c r="N22" s="235"/>
      <c r="O22" s="234"/>
      <c r="P22" s="234"/>
      <c r="Q22" s="235"/>
      <c r="R22" s="235"/>
      <c r="S22" s="235"/>
      <c r="T22" s="235"/>
      <c r="U22" s="235"/>
      <c r="V22" s="235"/>
      <c r="W22" s="234"/>
      <c r="X22" s="73"/>
      <c r="Y22" s="6"/>
    </row>
    <row r="23" spans="1:25" s="11" customFormat="1" ht="19.5" customHeight="1">
      <c r="A23" s="45"/>
      <c r="B23" s="46"/>
      <c r="C23" s="46" t="s">
        <v>192</v>
      </c>
      <c r="D23" s="227">
        <f>SUM(D24:D25)</f>
        <v>0</v>
      </c>
      <c r="E23" s="227">
        <f>W23/1000</f>
        <v>0</v>
      </c>
      <c r="F23" s="228">
        <f t="shared" ref="F23:F24" si="7">E23-D23</f>
        <v>0</v>
      </c>
      <c r="G23" s="229">
        <f t="shared" ref="G23:G24" si="8">IF(D23=0,0,F23/D23)</f>
        <v>0</v>
      </c>
      <c r="H23" s="215" t="s">
        <v>193</v>
      </c>
      <c r="I23" s="216"/>
      <c r="J23" s="217"/>
      <c r="K23" s="217"/>
      <c r="L23" s="217"/>
      <c r="M23" s="217"/>
      <c r="N23" s="217"/>
      <c r="O23" s="218"/>
      <c r="P23" s="218"/>
      <c r="Q23" s="218"/>
      <c r="R23" s="218"/>
      <c r="S23" s="218"/>
      <c r="T23" s="218"/>
      <c r="U23" s="245" t="s">
        <v>70</v>
      </c>
      <c r="V23" s="246"/>
      <c r="W23" s="247">
        <f>W24</f>
        <v>0</v>
      </c>
      <c r="X23" s="279" t="s">
        <v>57</v>
      </c>
      <c r="Y23" s="6"/>
    </row>
    <row r="24" spans="1:25" ht="21" customHeight="1">
      <c r="A24" s="45"/>
      <c r="B24" s="46"/>
      <c r="C24" s="46"/>
      <c r="D24" s="48">
        <v>0</v>
      </c>
      <c r="E24" s="48">
        <f>ROUND(W24/1000,0)</f>
        <v>0</v>
      </c>
      <c r="F24" s="38">
        <f t="shared" si="7"/>
        <v>0</v>
      </c>
      <c r="G24" s="121">
        <f t="shared" si="8"/>
        <v>0</v>
      </c>
      <c r="H24" s="294" t="s">
        <v>355</v>
      </c>
      <c r="I24" s="291"/>
      <c r="J24" s="289"/>
      <c r="K24" s="289"/>
      <c r="L24" s="570">
        <v>300000</v>
      </c>
      <c r="M24" s="571" t="s">
        <v>349</v>
      </c>
      <c r="N24" s="571" t="s">
        <v>350</v>
      </c>
      <c r="O24" s="572">
        <v>1</v>
      </c>
      <c r="P24" s="573"/>
      <c r="Q24" s="571"/>
      <c r="R24" s="574"/>
      <c r="S24" s="571"/>
      <c r="T24" s="571" t="s">
        <v>353</v>
      </c>
      <c r="U24" s="289"/>
      <c r="V24" s="292"/>
      <c r="W24" s="289">
        <v>0</v>
      </c>
      <c r="X24" s="396" t="s">
        <v>349</v>
      </c>
      <c r="Y24" s="575"/>
    </row>
    <row r="25" spans="1:25" ht="21" customHeight="1">
      <c r="A25" s="45"/>
      <c r="B25" s="46"/>
      <c r="C25" s="46"/>
      <c r="D25" s="48"/>
      <c r="E25" s="48"/>
      <c r="F25" s="49"/>
      <c r="G25" s="70"/>
      <c r="H25" s="67"/>
      <c r="I25" s="233"/>
      <c r="J25" s="232"/>
      <c r="K25" s="232"/>
      <c r="L25" s="232"/>
      <c r="M25" s="54"/>
      <c r="N25" s="74"/>
      <c r="O25" s="78"/>
      <c r="P25" s="74"/>
      <c r="Q25" s="74"/>
      <c r="R25" s="77"/>
      <c r="S25" s="76"/>
      <c r="T25" s="258"/>
      <c r="U25" s="232"/>
      <c r="V25" s="68"/>
      <c r="W25" s="68"/>
      <c r="X25" s="57"/>
    </row>
    <row r="26" spans="1:25" ht="21" customHeight="1">
      <c r="A26" s="45"/>
      <c r="B26" s="46"/>
      <c r="C26" s="36" t="s">
        <v>194</v>
      </c>
      <c r="D26" s="227">
        <f>D27</f>
        <v>1600</v>
      </c>
      <c r="E26" s="227">
        <f>E27</f>
        <v>80</v>
      </c>
      <c r="F26" s="228">
        <f t="shared" ref="F26:F27" si="9">E26-D26</f>
        <v>-1520</v>
      </c>
      <c r="G26" s="229">
        <f t="shared" ref="G26:G27" si="10">IF(D26=0,0,F26/D26)</f>
        <v>-0.95</v>
      </c>
      <c r="H26" s="215" t="s">
        <v>459</v>
      </c>
      <c r="I26" s="216"/>
      <c r="J26" s="217"/>
      <c r="K26" s="217"/>
      <c r="L26" s="217"/>
      <c r="M26" s="217"/>
      <c r="N26" s="217"/>
      <c r="O26" s="218"/>
      <c r="P26" s="218"/>
      <c r="Q26" s="218"/>
      <c r="R26" s="218"/>
      <c r="S26" s="218"/>
      <c r="T26" s="218"/>
      <c r="U26" s="245" t="s">
        <v>70</v>
      </c>
      <c r="V26" s="246"/>
      <c r="W26" s="246">
        <f>SUM(W27:W27)</f>
        <v>80000</v>
      </c>
      <c r="X26" s="279" t="s">
        <v>57</v>
      </c>
    </row>
    <row r="27" spans="1:25" ht="21" customHeight="1">
      <c r="A27" s="45"/>
      <c r="B27" s="46"/>
      <c r="C27" s="46" t="s">
        <v>191</v>
      </c>
      <c r="D27" s="48">
        <v>1600</v>
      </c>
      <c r="E27" s="48">
        <f>ROUND(W27/1000,0)</f>
        <v>80</v>
      </c>
      <c r="F27" s="285">
        <f t="shared" si="9"/>
        <v>-1520</v>
      </c>
      <c r="G27" s="194">
        <f t="shared" si="10"/>
        <v>-0.95</v>
      </c>
      <c r="H27" s="67" t="s">
        <v>458</v>
      </c>
      <c r="I27" s="233"/>
      <c r="J27" s="232"/>
      <c r="K27" s="232"/>
      <c r="L27" s="388">
        <v>80000</v>
      </c>
      <c r="M27" s="388" t="s">
        <v>57</v>
      </c>
      <c r="N27" s="389" t="s">
        <v>58</v>
      </c>
      <c r="O27" s="388">
        <v>1</v>
      </c>
      <c r="P27" s="388" t="s">
        <v>56</v>
      </c>
      <c r="Q27" s="389" t="s">
        <v>58</v>
      </c>
      <c r="R27" s="388">
        <v>1</v>
      </c>
      <c r="S27" s="388" t="s">
        <v>457</v>
      </c>
      <c r="T27" s="388" t="s">
        <v>53</v>
      </c>
      <c r="U27" s="388"/>
      <c r="V27" s="68"/>
      <c r="W27" s="68">
        <f>SUM(L27*O27*R27)</f>
        <v>80000</v>
      </c>
      <c r="X27" s="57" t="s">
        <v>57</v>
      </c>
    </row>
    <row r="28" spans="1:25" ht="21" customHeight="1">
      <c r="A28" s="281"/>
      <c r="B28" s="83"/>
      <c r="C28" s="83"/>
      <c r="D28" s="61"/>
      <c r="E28" s="61"/>
      <c r="F28" s="62"/>
      <c r="G28" s="84"/>
      <c r="H28" s="71"/>
      <c r="I28" s="234"/>
      <c r="J28" s="85"/>
      <c r="K28" s="85"/>
      <c r="L28" s="86"/>
      <c r="M28" s="234"/>
      <c r="N28" s="85"/>
      <c r="O28" s="234"/>
      <c r="P28" s="234"/>
      <c r="Q28" s="234"/>
      <c r="R28" s="234"/>
      <c r="S28" s="234"/>
      <c r="T28" s="234"/>
      <c r="U28" s="234"/>
      <c r="V28" s="234"/>
      <c r="W28" s="234"/>
      <c r="X28" s="73"/>
    </row>
    <row r="29" spans="1:25" s="11" customFormat="1" ht="19.5" customHeight="1">
      <c r="A29" s="35" t="s">
        <v>73</v>
      </c>
      <c r="B29" s="36" t="s">
        <v>30</v>
      </c>
      <c r="C29" s="555" t="s">
        <v>249</v>
      </c>
      <c r="D29" s="260">
        <f>SUM(D30,D35)</f>
        <v>600</v>
      </c>
      <c r="E29" s="260">
        <f>SUM(E30,E35)</f>
        <v>600</v>
      </c>
      <c r="F29" s="261">
        <f t="shared" ref="F29" si="11">E29-D29</f>
        <v>0</v>
      </c>
      <c r="G29" s="262">
        <f t="shared" ref="G29" si="12">IF(D29=0,0,F29/D29)</f>
        <v>0</v>
      </c>
      <c r="H29" s="263" t="s">
        <v>250</v>
      </c>
      <c r="I29" s="264"/>
      <c r="J29" s="265"/>
      <c r="K29" s="265"/>
      <c r="L29" s="264"/>
      <c r="M29" s="264"/>
      <c r="N29" s="264"/>
      <c r="O29" s="264"/>
      <c r="P29" s="264" t="s">
        <v>69</v>
      </c>
      <c r="Q29" s="266"/>
      <c r="R29" s="266"/>
      <c r="S29" s="266"/>
      <c r="T29" s="266"/>
      <c r="U29" s="266"/>
      <c r="V29" s="266"/>
      <c r="W29" s="267">
        <f>W30+W35</f>
        <v>600000</v>
      </c>
      <c r="X29" s="278" t="s">
        <v>25</v>
      </c>
      <c r="Y29" s="6"/>
    </row>
    <row r="30" spans="1:25" ht="21" customHeight="1">
      <c r="A30" s="45" t="s">
        <v>182</v>
      </c>
      <c r="B30" s="46" t="s">
        <v>182</v>
      </c>
      <c r="C30" s="36" t="s">
        <v>195</v>
      </c>
      <c r="D30" s="227">
        <f>D31+D33</f>
        <v>0</v>
      </c>
      <c r="E30" s="227">
        <f>E31+E33</f>
        <v>0</v>
      </c>
      <c r="F30" s="228">
        <f t="shared" ref="F30:F31" si="13">E30-D30</f>
        <v>0</v>
      </c>
      <c r="G30" s="229">
        <v>1</v>
      </c>
      <c r="H30" s="215" t="s">
        <v>255</v>
      </c>
      <c r="I30" s="216"/>
      <c r="J30" s="217"/>
      <c r="K30" s="217"/>
      <c r="L30" s="217"/>
      <c r="M30" s="217"/>
      <c r="N30" s="217"/>
      <c r="O30" s="218"/>
      <c r="P30" s="218"/>
      <c r="Q30" s="218"/>
      <c r="R30" s="218"/>
      <c r="S30" s="218"/>
      <c r="T30" s="218"/>
      <c r="U30" s="245" t="s">
        <v>245</v>
      </c>
      <c r="V30" s="246"/>
      <c r="W30" s="247">
        <f>SUM(W31,W33)</f>
        <v>0</v>
      </c>
      <c r="X30" s="279" t="s">
        <v>244</v>
      </c>
    </row>
    <row r="31" spans="1:25" ht="21" customHeight="1">
      <c r="A31" s="45"/>
      <c r="B31" s="46"/>
      <c r="C31" s="46" t="s">
        <v>196</v>
      </c>
      <c r="D31" s="37">
        <v>0</v>
      </c>
      <c r="E31" s="48">
        <f>ROUND(W31/1000,0)</f>
        <v>0</v>
      </c>
      <c r="F31" s="285">
        <f t="shared" si="13"/>
        <v>0</v>
      </c>
      <c r="G31" s="194">
        <v>1</v>
      </c>
      <c r="H31" s="147" t="s">
        <v>197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642" t="s">
        <v>70</v>
      </c>
      <c r="V31" s="642"/>
      <c r="W31" s="149">
        <f>SUM(W32:W32)</f>
        <v>0</v>
      </c>
      <c r="X31" s="150" t="s">
        <v>67</v>
      </c>
    </row>
    <row r="32" spans="1:25" ht="21.75" customHeight="1">
      <c r="A32" s="45"/>
      <c r="B32" s="46"/>
      <c r="C32" s="46"/>
      <c r="D32" s="48"/>
      <c r="E32" s="61"/>
      <c r="F32" s="49"/>
      <c r="G32" s="31"/>
      <c r="H32" s="67" t="s">
        <v>356</v>
      </c>
      <c r="I32" s="233"/>
      <c r="J32" s="232"/>
      <c r="K32" s="232"/>
      <c r="L32" s="232"/>
      <c r="M32" s="258"/>
      <c r="N32" s="74"/>
      <c r="O32" s="69"/>
      <c r="P32" s="74"/>
      <c r="Q32" s="79"/>
      <c r="R32" s="76"/>
      <c r="S32" s="76"/>
      <c r="T32" s="258"/>
      <c r="U32" s="232"/>
      <c r="V32" s="68"/>
      <c r="W32" s="136">
        <v>0</v>
      </c>
      <c r="X32" s="57" t="s">
        <v>67</v>
      </c>
    </row>
    <row r="33" spans="1:26" ht="18" customHeight="1">
      <c r="A33" s="45"/>
      <c r="B33" s="46"/>
      <c r="C33" s="46"/>
      <c r="D33" s="37">
        <v>0</v>
      </c>
      <c r="E33" s="48">
        <f>ROUND(W33/1000,0)</f>
        <v>0</v>
      </c>
      <c r="F33" s="38">
        <f t="shared" ref="F33" si="14">E33-D33</f>
        <v>0</v>
      </c>
      <c r="G33" s="39">
        <f t="shared" ref="G33" si="15">IF(D33=0,0,F33/D33)</f>
        <v>0</v>
      </c>
      <c r="H33" s="147" t="s">
        <v>197</v>
      </c>
      <c r="I33" s="166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642" t="s">
        <v>70</v>
      </c>
      <c r="V33" s="642"/>
      <c r="W33" s="149">
        <f>W34</f>
        <v>0</v>
      </c>
      <c r="X33" s="150" t="s">
        <v>57</v>
      </c>
    </row>
    <row r="34" spans="1:26" ht="18" customHeight="1">
      <c r="A34" s="45"/>
      <c r="B34" s="46"/>
      <c r="C34" s="59"/>
      <c r="D34" s="61"/>
      <c r="E34" s="61"/>
      <c r="F34" s="62"/>
      <c r="G34" s="214"/>
      <c r="H34" s="67" t="s">
        <v>246</v>
      </c>
      <c r="I34" s="233"/>
      <c r="J34" s="232"/>
      <c r="K34" s="232"/>
      <c r="L34" s="232">
        <v>0</v>
      </c>
      <c r="M34" s="258" t="s">
        <v>57</v>
      </c>
      <c r="N34" s="74" t="s">
        <v>58</v>
      </c>
      <c r="O34" s="69">
        <v>12</v>
      </c>
      <c r="P34" s="74" t="s">
        <v>0</v>
      </c>
      <c r="Q34" s="79"/>
      <c r="R34" s="76"/>
      <c r="S34" s="76"/>
      <c r="T34" s="258" t="s">
        <v>53</v>
      </c>
      <c r="U34" s="232"/>
      <c r="V34" s="68"/>
      <c r="W34" s="68">
        <f>L34*O34</f>
        <v>0</v>
      </c>
      <c r="X34" s="57" t="s">
        <v>57</v>
      </c>
    </row>
    <row r="35" spans="1:26" ht="18" customHeight="1">
      <c r="A35" s="45"/>
      <c r="B35" s="46"/>
      <c r="C35" s="46" t="s">
        <v>198</v>
      </c>
      <c r="D35" s="227">
        <f>D36</f>
        <v>600</v>
      </c>
      <c r="E35" s="227">
        <f>E36</f>
        <v>600</v>
      </c>
      <c r="F35" s="228">
        <f t="shared" ref="F35:F36" si="16">E35-D35</f>
        <v>0</v>
      </c>
      <c r="G35" s="229">
        <f t="shared" ref="G35:G36" si="17">IF(D35=0,0,F35/D35)</f>
        <v>0</v>
      </c>
      <c r="H35" s="215" t="s">
        <v>199</v>
      </c>
      <c r="I35" s="216"/>
      <c r="J35" s="217"/>
      <c r="K35" s="217"/>
      <c r="L35" s="217"/>
      <c r="M35" s="217"/>
      <c r="N35" s="217"/>
      <c r="O35" s="218"/>
      <c r="P35" s="218"/>
      <c r="Q35" s="218"/>
      <c r="R35" s="218"/>
      <c r="S35" s="218"/>
      <c r="T35" s="218"/>
      <c r="U35" s="245" t="s">
        <v>70</v>
      </c>
      <c r="V35" s="246"/>
      <c r="W35" s="246">
        <f>W36</f>
        <v>600000</v>
      </c>
      <c r="X35" s="279" t="s">
        <v>57</v>
      </c>
    </row>
    <row r="36" spans="1:26" ht="25.5" customHeight="1">
      <c r="A36" s="45"/>
      <c r="B36" s="46"/>
      <c r="C36" s="46" t="s">
        <v>196</v>
      </c>
      <c r="D36" s="48">
        <v>600</v>
      </c>
      <c r="E36" s="48">
        <f>ROUND(W36/1000,0)</f>
        <v>600</v>
      </c>
      <c r="F36" s="285">
        <f t="shared" si="16"/>
        <v>0</v>
      </c>
      <c r="G36" s="194">
        <f t="shared" si="17"/>
        <v>0</v>
      </c>
      <c r="H36" s="147" t="s">
        <v>335</v>
      </c>
      <c r="I36" s="166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642" t="s">
        <v>70</v>
      </c>
      <c r="V36" s="642"/>
      <c r="W36" s="149">
        <f>SUM(W37:W37)</f>
        <v>600000</v>
      </c>
      <c r="X36" s="150" t="s">
        <v>67</v>
      </c>
    </row>
    <row r="37" spans="1:26" ht="21" customHeight="1">
      <c r="A37" s="45"/>
      <c r="B37" s="46"/>
      <c r="C37" s="46"/>
      <c r="D37" s="48"/>
      <c r="E37" s="48"/>
      <c r="F37" s="283"/>
      <c r="G37" s="284"/>
      <c r="H37" s="67" t="s">
        <v>74</v>
      </c>
      <c r="I37" s="389"/>
      <c r="J37" s="388"/>
      <c r="K37" s="388"/>
      <c r="L37" s="570">
        <v>50000</v>
      </c>
      <c r="M37" s="571" t="s">
        <v>57</v>
      </c>
      <c r="N37" s="571" t="s">
        <v>58</v>
      </c>
      <c r="O37" s="388">
        <v>12</v>
      </c>
      <c r="P37" s="388" t="s">
        <v>543</v>
      </c>
      <c r="Q37" s="571"/>
      <c r="R37" s="574"/>
      <c r="S37" s="571"/>
      <c r="T37" s="571" t="s">
        <v>53</v>
      </c>
      <c r="U37" s="289"/>
      <c r="V37" s="292"/>
      <c r="W37" s="289">
        <f>L37*O37</f>
        <v>600000</v>
      </c>
      <c r="X37" s="396" t="s">
        <v>57</v>
      </c>
    </row>
    <row r="38" spans="1:26" ht="21" customHeight="1">
      <c r="A38" s="58"/>
      <c r="B38" s="59"/>
      <c r="C38" s="59"/>
      <c r="D38" s="61"/>
      <c r="E38" s="61"/>
      <c r="F38" s="62"/>
      <c r="G38" s="214"/>
      <c r="H38" s="71"/>
      <c r="I38" s="235"/>
      <c r="J38" s="234"/>
      <c r="K38" s="234"/>
      <c r="L38" s="234"/>
      <c r="M38" s="212"/>
      <c r="N38" s="220"/>
      <c r="O38" s="221"/>
      <c r="P38" s="220"/>
      <c r="Q38" s="222"/>
      <c r="R38" s="223"/>
      <c r="S38" s="223"/>
      <c r="T38" s="212"/>
      <c r="U38" s="234"/>
      <c r="V38" s="72"/>
      <c r="W38" s="72"/>
      <c r="X38" s="73"/>
    </row>
    <row r="39" spans="1:26" ht="21" customHeight="1">
      <c r="A39" s="35" t="s">
        <v>200</v>
      </c>
      <c r="B39" s="36" t="s">
        <v>200</v>
      </c>
      <c r="C39" s="555" t="s">
        <v>249</v>
      </c>
      <c r="D39" s="260">
        <f>D40+D43</f>
        <v>0</v>
      </c>
      <c r="E39" s="260">
        <f>E40+E43</f>
        <v>0</v>
      </c>
      <c r="F39" s="261">
        <f t="shared" ref="F39:F41" si="18">E39-D39</f>
        <v>0</v>
      </c>
      <c r="G39" s="262">
        <f t="shared" ref="G39:G41" si="19">IF(D39=0,0,F39/D39)</f>
        <v>0</v>
      </c>
      <c r="H39" s="263" t="s">
        <v>251</v>
      </c>
      <c r="I39" s="264"/>
      <c r="J39" s="265"/>
      <c r="K39" s="265"/>
      <c r="L39" s="264"/>
      <c r="M39" s="264"/>
      <c r="N39" s="264"/>
      <c r="O39" s="264"/>
      <c r="P39" s="264" t="s">
        <v>68</v>
      </c>
      <c r="Q39" s="266"/>
      <c r="R39" s="266"/>
      <c r="S39" s="266"/>
      <c r="T39" s="266"/>
      <c r="U39" s="266"/>
      <c r="V39" s="266"/>
      <c r="W39" s="267">
        <f>W40+W43</f>
        <v>0</v>
      </c>
      <c r="X39" s="278" t="s">
        <v>25</v>
      </c>
    </row>
    <row r="40" spans="1:26" ht="21" customHeight="1">
      <c r="A40" s="45"/>
      <c r="B40" s="46"/>
      <c r="C40" s="36" t="s">
        <v>201</v>
      </c>
      <c r="D40" s="227">
        <f>D41</f>
        <v>0</v>
      </c>
      <c r="E40" s="227">
        <f>E41</f>
        <v>0</v>
      </c>
      <c r="F40" s="228">
        <f t="shared" si="18"/>
        <v>0</v>
      </c>
      <c r="G40" s="229">
        <f t="shared" si="19"/>
        <v>0</v>
      </c>
      <c r="H40" s="215" t="s">
        <v>203</v>
      </c>
      <c r="I40" s="216"/>
      <c r="J40" s="217"/>
      <c r="K40" s="217"/>
      <c r="L40" s="217"/>
      <c r="M40" s="217"/>
      <c r="N40" s="217"/>
      <c r="O40" s="218"/>
      <c r="P40" s="218"/>
      <c r="Q40" s="218"/>
      <c r="R40" s="218"/>
      <c r="S40" s="218"/>
      <c r="T40" s="218"/>
      <c r="U40" s="245" t="s">
        <v>70</v>
      </c>
      <c r="V40" s="246"/>
      <c r="W40" s="247">
        <f>W41</f>
        <v>0</v>
      </c>
      <c r="X40" s="279" t="s">
        <v>57</v>
      </c>
    </row>
    <row r="41" spans="1:26" ht="21" customHeight="1">
      <c r="A41" s="45"/>
      <c r="B41" s="46"/>
      <c r="C41" s="46" t="s">
        <v>202</v>
      </c>
      <c r="D41" s="37">
        <v>0</v>
      </c>
      <c r="E41" s="48">
        <f>ROUND(W41/1000,0)</f>
        <v>0</v>
      </c>
      <c r="F41" s="38">
        <f t="shared" si="18"/>
        <v>0</v>
      </c>
      <c r="G41" s="39">
        <f t="shared" si="19"/>
        <v>0</v>
      </c>
      <c r="H41" s="147" t="s">
        <v>203</v>
      </c>
      <c r="I41" s="166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642" t="s">
        <v>70</v>
      </c>
      <c r="V41" s="642"/>
      <c r="W41" s="149">
        <f>W42</f>
        <v>0</v>
      </c>
      <c r="X41" s="150" t="s">
        <v>57</v>
      </c>
    </row>
    <row r="42" spans="1:26" ht="21" customHeight="1">
      <c r="A42" s="45"/>
      <c r="B42" s="46"/>
      <c r="C42" s="46" t="s">
        <v>200</v>
      </c>
      <c r="D42" s="48"/>
      <c r="E42" s="48"/>
      <c r="F42" s="49"/>
      <c r="G42" s="31"/>
      <c r="H42" s="67" t="s">
        <v>204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45"/>
      <c r="B43" s="46"/>
      <c r="C43" s="36" t="s">
        <v>194</v>
      </c>
      <c r="D43" s="227">
        <f>D44</f>
        <v>0</v>
      </c>
      <c r="E43" s="227">
        <f>E44</f>
        <v>0</v>
      </c>
      <c r="F43" s="228">
        <f t="shared" ref="F43:F44" si="20">E43-D43</f>
        <v>0</v>
      </c>
      <c r="G43" s="229">
        <f t="shared" ref="G43:G44" si="21">IF(D43=0,0,F43/D43)</f>
        <v>0</v>
      </c>
      <c r="H43" s="215" t="s">
        <v>205</v>
      </c>
      <c r="I43" s="216"/>
      <c r="J43" s="217"/>
      <c r="K43" s="217"/>
      <c r="L43" s="217"/>
      <c r="M43" s="217"/>
      <c r="N43" s="217"/>
      <c r="O43" s="218"/>
      <c r="P43" s="218"/>
      <c r="Q43" s="218"/>
      <c r="R43" s="218"/>
      <c r="S43" s="218"/>
      <c r="T43" s="218"/>
      <c r="U43" s="245" t="s">
        <v>70</v>
      </c>
      <c r="V43" s="246"/>
      <c r="W43" s="246">
        <f>W44</f>
        <v>0</v>
      </c>
      <c r="X43" s="279" t="s">
        <v>57</v>
      </c>
    </row>
    <row r="44" spans="1:26" ht="21" customHeight="1">
      <c r="A44" s="45"/>
      <c r="B44" s="46"/>
      <c r="C44" s="46" t="s">
        <v>200</v>
      </c>
      <c r="D44" s="48">
        <v>0</v>
      </c>
      <c r="E44" s="48">
        <f>ROUND(W44/1000,0)</f>
        <v>0</v>
      </c>
      <c r="F44" s="38">
        <f t="shared" si="20"/>
        <v>0</v>
      </c>
      <c r="G44" s="39">
        <f t="shared" si="21"/>
        <v>0</v>
      </c>
      <c r="H44" s="67" t="s">
        <v>206</v>
      </c>
      <c r="I44" s="233"/>
      <c r="J44" s="232"/>
      <c r="K44" s="232"/>
      <c r="L44" s="232"/>
      <c r="M44" s="258"/>
      <c r="N44" s="74"/>
      <c r="O44" s="69"/>
      <c r="P44" s="74"/>
      <c r="Q44" s="79"/>
      <c r="R44" s="76"/>
      <c r="S44" s="76"/>
      <c r="T44" s="258"/>
      <c r="U44" s="232"/>
      <c r="V44" s="68"/>
      <c r="W44" s="68">
        <v>0</v>
      </c>
      <c r="X44" s="57" t="s">
        <v>57</v>
      </c>
    </row>
    <row r="45" spans="1:26" ht="21" customHeight="1">
      <c r="A45" s="58"/>
      <c r="B45" s="59"/>
      <c r="C45" s="59"/>
      <c r="D45" s="61"/>
      <c r="E45" s="61"/>
      <c r="F45" s="62"/>
      <c r="G45" s="214"/>
      <c r="H45" s="71"/>
      <c r="I45" s="235"/>
      <c r="J45" s="234"/>
      <c r="K45" s="234"/>
      <c r="L45" s="234"/>
      <c r="M45" s="212"/>
      <c r="N45" s="220"/>
      <c r="O45" s="221"/>
      <c r="P45" s="220"/>
      <c r="Q45" s="222"/>
      <c r="R45" s="223"/>
      <c r="S45" s="223"/>
      <c r="T45" s="212"/>
      <c r="U45" s="234"/>
      <c r="V45" s="72"/>
      <c r="W45" s="72"/>
      <c r="X45" s="73"/>
    </row>
    <row r="46" spans="1:26" ht="21" customHeight="1">
      <c r="A46" s="35" t="s">
        <v>75</v>
      </c>
      <c r="B46" s="36" t="s">
        <v>13</v>
      </c>
      <c r="C46" s="555" t="s">
        <v>249</v>
      </c>
      <c r="D46" s="260">
        <f>SUM(D47,D50)</f>
        <v>0</v>
      </c>
      <c r="E46" s="260">
        <f>SUM(E47,E50)</f>
        <v>0</v>
      </c>
      <c r="F46" s="261">
        <f t="shared" ref="F46:F48" si="22">E46-D46</f>
        <v>0</v>
      </c>
      <c r="G46" s="262">
        <f t="shared" ref="G46:G48" si="23">IF(D46=0,0,F46/D46)</f>
        <v>0</v>
      </c>
      <c r="H46" s="263" t="s">
        <v>252</v>
      </c>
      <c r="I46" s="264"/>
      <c r="J46" s="265"/>
      <c r="K46" s="265"/>
      <c r="L46" s="264"/>
      <c r="M46" s="264"/>
      <c r="N46" s="264"/>
      <c r="O46" s="264"/>
      <c r="P46" s="264" t="s">
        <v>68</v>
      </c>
      <c r="Q46" s="266"/>
      <c r="R46" s="266"/>
      <c r="S46" s="266"/>
      <c r="T46" s="266"/>
      <c r="U46" s="266"/>
      <c r="V46" s="266"/>
      <c r="W46" s="267">
        <f>W48+W50</f>
        <v>0</v>
      </c>
      <c r="X46" s="278" t="s">
        <v>25</v>
      </c>
    </row>
    <row r="47" spans="1:26" ht="21" customHeight="1">
      <c r="A47" s="45"/>
      <c r="B47" s="46"/>
      <c r="C47" s="36" t="s">
        <v>207</v>
      </c>
      <c r="D47" s="227">
        <f>D48</f>
        <v>0</v>
      </c>
      <c r="E47" s="227">
        <f>E48</f>
        <v>0</v>
      </c>
      <c r="F47" s="228">
        <f t="shared" si="22"/>
        <v>0</v>
      </c>
      <c r="G47" s="229">
        <f t="shared" si="23"/>
        <v>0</v>
      </c>
      <c r="H47" s="215" t="s">
        <v>256</v>
      </c>
      <c r="I47" s="216"/>
      <c r="J47" s="217"/>
      <c r="K47" s="217"/>
      <c r="L47" s="217"/>
      <c r="M47" s="217"/>
      <c r="N47" s="217"/>
      <c r="O47" s="218"/>
      <c r="P47" s="218"/>
      <c r="Q47" s="218"/>
      <c r="R47" s="218"/>
      <c r="S47" s="218"/>
      <c r="T47" s="218"/>
      <c r="U47" s="245" t="s">
        <v>245</v>
      </c>
      <c r="V47" s="246"/>
      <c r="W47" s="247">
        <f>SUM(W48:W48)</f>
        <v>0</v>
      </c>
      <c r="X47" s="279" t="s">
        <v>244</v>
      </c>
      <c r="Y47" s="23"/>
      <c r="Z47" s="24"/>
    </row>
    <row r="48" spans="1:26" ht="21" customHeight="1">
      <c r="A48" s="45"/>
      <c r="B48" s="46"/>
      <c r="C48" s="46" t="s">
        <v>208</v>
      </c>
      <c r="D48" s="37">
        <v>0</v>
      </c>
      <c r="E48" s="48">
        <f>ROUND(W48/1000,0)</f>
        <v>0</v>
      </c>
      <c r="F48" s="38">
        <f t="shared" si="22"/>
        <v>0</v>
      </c>
      <c r="G48" s="39">
        <f t="shared" si="23"/>
        <v>0</v>
      </c>
      <c r="H48" s="147" t="s">
        <v>211</v>
      </c>
      <c r="I48" s="166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642" t="s">
        <v>70</v>
      </c>
      <c r="V48" s="642"/>
      <c r="W48" s="149">
        <v>0</v>
      </c>
      <c r="X48" s="150" t="s">
        <v>57</v>
      </c>
      <c r="Y48" s="23"/>
      <c r="Z48" s="24"/>
    </row>
    <row r="49" spans="1:26" ht="21" customHeight="1">
      <c r="A49" s="45"/>
      <c r="B49" s="46"/>
      <c r="C49" s="46"/>
      <c r="D49" s="48"/>
      <c r="E49" s="48"/>
      <c r="F49" s="49"/>
      <c r="G49" s="31"/>
      <c r="H49" s="67" t="s">
        <v>237</v>
      </c>
      <c r="I49" s="233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58"/>
      <c r="V49" s="258"/>
      <c r="W49" s="68"/>
      <c r="X49" s="57" t="s">
        <v>238</v>
      </c>
      <c r="Y49" s="23"/>
      <c r="Z49" s="24"/>
    </row>
    <row r="50" spans="1:26" ht="21" customHeight="1">
      <c r="A50" s="45"/>
      <c r="B50" s="46"/>
      <c r="C50" s="36" t="s">
        <v>209</v>
      </c>
      <c r="D50" s="227">
        <f>D51</f>
        <v>0</v>
      </c>
      <c r="E50" s="227">
        <f>E51</f>
        <v>0</v>
      </c>
      <c r="F50" s="228">
        <f t="shared" ref="F50:F51" si="24">E50-D50</f>
        <v>0</v>
      </c>
      <c r="G50" s="229">
        <f t="shared" ref="G50:G51" si="25">IF(D50=0,0,F50/D50)</f>
        <v>0</v>
      </c>
      <c r="H50" s="215" t="s">
        <v>257</v>
      </c>
      <c r="I50" s="216"/>
      <c r="J50" s="217"/>
      <c r="K50" s="217"/>
      <c r="L50" s="217"/>
      <c r="M50" s="217"/>
      <c r="N50" s="217"/>
      <c r="O50" s="218"/>
      <c r="P50" s="218"/>
      <c r="Q50" s="218"/>
      <c r="R50" s="218"/>
      <c r="S50" s="218"/>
      <c r="T50" s="218"/>
      <c r="U50" s="245" t="s">
        <v>245</v>
      </c>
      <c r="V50" s="246"/>
      <c r="W50" s="246">
        <f>SUM(W51:W51)</f>
        <v>0</v>
      </c>
      <c r="X50" s="279" t="s">
        <v>244</v>
      </c>
      <c r="Y50" s="23"/>
      <c r="Z50" s="24"/>
    </row>
    <row r="51" spans="1:26" ht="21" customHeight="1">
      <c r="A51" s="45"/>
      <c r="B51" s="46"/>
      <c r="C51" s="46" t="s">
        <v>208</v>
      </c>
      <c r="D51" s="48">
        <v>0</v>
      </c>
      <c r="E51" s="48">
        <f>ROUND(W51/1000,0)</f>
        <v>0</v>
      </c>
      <c r="F51" s="38">
        <f t="shared" si="24"/>
        <v>0</v>
      </c>
      <c r="G51" s="39">
        <f t="shared" si="25"/>
        <v>0</v>
      </c>
      <c r="H51" s="147" t="s">
        <v>212</v>
      </c>
      <c r="I51" s="151"/>
      <c r="J51" s="232"/>
      <c r="K51" s="232"/>
      <c r="L51" s="232"/>
      <c r="M51" s="258"/>
      <c r="N51" s="74"/>
      <c r="O51" s="69"/>
      <c r="P51" s="74"/>
      <c r="Q51" s="79"/>
      <c r="R51" s="76"/>
      <c r="S51" s="76"/>
      <c r="T51" s="258"/>
      <c r="U51" s="642" t="s">
        <v>70</v>
      </c>
      <c r="V51" s="642"/>
      <c r="W51" s="149">
        <v>0</v>
      </c>
      <c r="X51" s="150" t="s">
        <v>57</v>
      </c>
      <c r="Y51" s="23"/>
      <c r="Z51" s="24"/>
    </row>
    <row r="52" spans="1:26" ht="21" customHeight="1">
      <c r="A52" s="45"/>
      <c r="B52" s="46"/>
      <c r="C52" s="46" t="s">
        <v>357</v>
      </c>
      <c r="D52" s="48"/>
      <c r="E52" s="48"/>
      <c r="F52" s="49"/>
      <c r="G52" s="31"/>
      <c r="H52" s="71"/>
      <c r="I52" s="462"/>
      <c r="J52" s="388"/>
      <c r="K52" s="388"/>
      <c r="L52" s="388"/>
      <c r="M52" s="554"/>
      <c r="N52" s="74"/>
      <c r="O52" s="69"/>
      <c r="P52" s="74"/>
      <c r="Q52" s="79"/>
      <c r="R52" s="76"/>
      <c r="S52" s="76"/>
      <c r="T52" s="554"/>
      <c r="U52" s="212"/>
      <c r="V52" s="212"/>
      <c r="W52" s="72"/>
      <c r="X52" s="73"/>
      <c r="Y52" s="23"/>
      <c r="Z52" s="24"/>
    </row>
    <row r="53" spans="1:26" ht="21" customHeight="1">
      <c r="A53" s="58"/>
      <c r="B53" s="59"/>
      <c r="C53" s="59"/>
      <c r="D53" s="61"/>
      <c r="E53" s="61"/>
      <c r="F53" s="62"/>
      <c r="G53" s="214"/>
      <c r="H53" s="71"/>
      <c r="I53" s="235"/>
      <c r="J53" s="234"/>
      <c r="K53" s="234"/>
      <c r="L53" s="234"/>
      <c r="M53" s="212"/>
      <c r="N53" s="220"/>
      <c r="O53" s="221"/>
      <c r="P53" s="220"/>
      <c r="Q53" s="222"/>
      <c r="R53" s="223"/>
      <c r="S53" s="223"/>
      <c r="T53" s="212"/>
      <c r="U53" s="234"/>
      <c r="V53" s="72"/>
      <c r="W53" s="72"/>
      <c r="X53" s="73"/>
    </row>
    <row r="54" spans="1:26" ht="21" customHeight="1">
      <c r="A54" s="35" t="s">
        <v>14</v>
      </c>
      <c r="B54" s="36" t="s">
        <v>14</v>
      </c>
      <c r="C54" s="555" t="s">
        <v>249</v>
      </c>
      <c r="D54" s="260">
        <f>SUM(D55,D70,D74)</f>
        <v>5215</v>
      </c>
      <c r="E54" s="260">
        <f>SUM(E55,E70,E74)</f>
        <v>5215</v>
      </c>
      <c r="F54" s="261">
        <f t="shared" ref="F54:F56" si="26">E54-D54</f>
        <v>0</v>
      </c>
      <c r="G54" s="262">
        <f t="shared" ref="G54:G56" si="27">IF(D54=0,0,F54/D54)</f>
        <v>0</v>
      </c>
      <c r="H54" s="263" t="s">
        <v>253</v>
      </c>
      <c r="I54" s="264"/>
      <c r="J54" s="265"/>
      <c r="K54" s="265"/>
      <c r="L54" s="264"/>
      <c r="M54" s="264"/>
      <c r="N54" s="264"/>
      <c r="O54" s="264"/>
      <c r="P54" s="264" t="s">
        <v>68</v>
      </c>
      <c r="Q54" s="266"/>
      <c r="R54" s="266"/>
      <c r="S54" s="266"/>
      <c r="T54" s="266"/>
      <c r="U54" s="266"/>
      <c r="V54" s="266"/>
      <c r="W54" s="267">
        <f>SUM(W55,W70,W74)</f>
        <v>5215000</v>
      </c>
      <c r="X54" s="278" t="s">
        <v>25</v>
      </c>
    </row>
    <row r="55" spans="1:26" ht="21" customHeight="1">
      <c r="A55" s="45"/>
      <c r="B55" s="46"/>
      <c r="C55" s="36" t="s">
        <v>213</v>
      </c>
      <c r="D55" s="227">
        <f>SUM(D56,D59,D62,D66)</f>
        <v>3893</v>
      </c>
      <c r="E55" s="227">
        <f>SUM(E56,E59,E62,E66)</f>
        <v>3893</v>
      </c>
      <c r="F55" s="228">
        <f t="shared" si="26"/>
        <v>0</v>
      </c>
      <c r="G55" s="229">
        <f t="shared" si="27"/>
        <v>0</v>
      </c>
      <c r="H55" s="215" t="s">
        <v>258</v>
      </c>
      <c r="I55" s="216"/>
      <c r="J55" s="217"/>
      <c r="K55" s="217"/>
      <c r="L55" s="217"/>
      <c r="M55" s="217"/>
      <c r="N55" s="217"/>
      <c r="O55" s="218"/>
      <c r="P55" s="218"/>
      <c r="Q55" s="218"/>
      <c r="R55" s="218"/>
      <c r="S55" s="218"/>
      <c r="T55" s="218"/>
      <c r="U55" s="245" t="s">
        <v>245</v>
      </c>
      <c r="V55" s="246"/>
      <c r="W55" s="247">
        <f>SUM(W56,W59,W62,W66)</f>
        <v>3893000</v>
      </c>
      <c r="X55" s="279" t="s">
        <v>244</v>
      </c>
    </row>
    <row r="56" spans="1:26" ht="21" customHeight="1">
      <c r="A56" s="45"/>
      <c r="B56" s="46"/>
      <c r="C56" s="46" t="s">
        <v>214</v>
      </c>
      <c r="D56" s="37">
        <v>3844</v>
      </c>
      <c r="E56" s="48">
        <f>ROUND(W56/1000,0)</f>
        <v>3844</v>
      </c>
      <c r="F56" s="38">
        <f t="shared" si="26"/>
        <v>0</v>
      </c>
      <c r="G56" s="39">
        <f t="shared" si="27"/>
        <v>0</v>
      </c>
      <c r="H56" s="147" t="s">
        <v>239</v>
      </c>
      <c r="I56" s="166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642" t="s">
        <v>70</v>
      </c>
      <c r="V56" s="642"/>
      <c r="W56" s="149">
        <f>ROUNDUP(SUM(V57:W58),-3)</f>
        <v>3844000</v>
      </c>
      <c r="X56" s="150" t="s">
        <v>57</v>
      </c>
    </row>
    <row r="57" spans="1:26" ht="21" customHeight="1">
      <c r="A57" s="45"/>
      <c r="B57" s="46"/>
      <c r="C57" s="46"/>
      <c r="D57" s="48"/>
      <c r="E57" s="48"/>
      <c r="F57" s="49"/>
      <c r="G57" s="31"/>
      <c r="H57" s="378" t="s">
        <v>274</v>
      </c>
      <c r="I57" s="233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58"/>
      <c r="V57" s="258"/>
      <c r="W57" s="68">
        <v>3843584</v>
      </c>
      <c r="X57" s="57" t="s">
        <v>238</v>
      </c>
    </row>
    <row r="58" spans="1:26" ht="21" customHeight="1">
      <c r="A58" s="45"/>
      <c r="B58" s="46"/>
      <c r="C58" s="46"/>
      <c r="D58" s="61"/>
      <c r="E58" s="61"/>
      <c r="F58" s="62"/>
      <c r="G58" s="214"/>
      <c r="H58" s="379" t="s">
        <v>275</v>
      </c>
      <c r="I58" s="235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12"/>
      <c r="V58" s="212"/>
      <c r="W58" s="72">
        <v>0</v>
      </c>
      <c r="X58" s="73" t="s">
        <v>238</v>
      </c>
    </row>
    <row r="59" spans="1:26" ht="21" customHeight="1">
      <c r="A59" s="45"/>
      <c r="B59" s="46"/>
      <c r="C59" s="46"/>
      <c r="D59" s="37">
        <v>0</v>
      </c>
      <c r="E59" s="48">
        <f>ROUND(W59/1000,0)</f>
        <v>0</v>
      </c>
      <c r="F59" s="38">
        <f t="shared" ref="F59" si="28">E59-D59</f>
        <v>0</v>
      </c>
      <c r="G59" s="39">
        <f t="shared" ref="G59" si="29">IF(D59=0,0,F59/D59)</f>
        <v>0</v>
      </c>
      <c r="H59" s="147" t="s">
        <v>240</v>
      </c>
      <c r="I59" s="166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642" t="s">
        <v>70</v>
      </c>
      <c r="V59" s="642"/>
      <c r="W59" s="149">
        <f>ROUNDUP(SUM(V60:W60),-3)</f>
        <v>0</v>
      </c>
      <c r="X59" s="150" t="s">
        <v>57</v>
      </c>
    </row>
    <row r="60" spans="1:26" ht="21" customHeight="1">
      <c r="A60" s="45"/>
      <c r="B60" s="46"/>
      <c r="C60" s="46"/>
      <c r="D60" s="48"/>
      <c r="E60" s="48"/>
      <c r="F60" s="49"/>
      <c r="G60" s="31"/>
      <c r="H60" s="378" t="s">
        <v>276</v>
      </c>
      <c r="I60" s="233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58"/>
      <c r="V60" s="258"/>
      <c r="W60" s="68">
        <v>0</v>
      </c>
      <c r="X60" s="57" t="s">
        <v>238</v>
      </c>
    </row>
    <row r="61" spans="1:26" ht="21" customHeight="1">
      <c r="A61" s="45"/>
      <c r="B61" s="46"/>
      <c r="C61" s="46"/>
      <c r="D61" s="61"/>
      <c r="E61" s="61"/>
      <c r="F61" s="62"/>
      <c r="G61" s="214"/>
      <c r="H61" s="71"/>
      <c r="I61" s="235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12"/>
      <c r="V61" s="212"/>
      <c r="W61" s="72"/>
      <c r="X61" s="73"/>
    </row>
    <row r="62" spans="1:26" ht="21" customHeight="1">
      <c r="A62" s="45"/>
      <c r="B62" s="46"/>
      <c r="C62" s="46"/>
      <c r="D62" s="37">
        <v>0</v>
      </c>
      <c r="E62" s="37">
        <f>ROUND(W62/1000,0)</f>
        <v>0</v>
      </c>
      <c r="F62" s="38">
        <f t="shared" ref="F62" si="30">E62-D62</f>
        <v>0</v>
      </c>
      <c r="G62" s="39">
        <f t="shared" ref="G62" si="31">IF(D62=0,0,F62/D62)</f>
        <v>0</v>
      </c>
      <c r="H62" s="147" t="s">
        <v>241</v>
      </c>
      <c r="I62" s="166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642" t="s">
        <v>70</v>
      </c>
      <c r="V62" s="642"/>
      <c r="W62" s="149">
        <f>ROUNDDOWN(SUM(V63:W64),-2)</f>
        <v>0</v>
      </c>
      <c r="X62" s="150" t="s">
        <v>57</v>
      </c>
    </row>
    <row r="63" spans="1:26" ht="21" customHeight="1">
      <c r="A63" s="45"/>
      <c r="B63" s="46"/>
      <c r="C63" s="46"/>
      <c r="D63" s="48"/>
      <c r="E63" s="48"/>
      <c r="F63" s="49"/>
      <c r="G63" s="31"/>
      <c r="H63" s="378" t="s">
        <v>277</v>
      </c>
      <c r="I63" s="233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58"/>
      <c r="V63" s="258"/>
      <c r="W63" s="68">
        <v>57</v>
      </c>
      <c r="X63" s="57" t="s">
        <v>238</v>
      </c>
    </row>
    <row r="64" spans="1:26" ht="21" customHeight="1">
      <c r="A64" s="45"/>
      <c r="B64" s="46"/>
      <c r="C64" s="46"/>
      <c r="D64" s="48"/>
      <c r="E64" s="48"/>
      <c r="F64" s="49"/>
      <c r="G64" s="31"/>
      <c r="H64" s="378" t="s">
        <v>278</v>
      </c>
      <c r="I64" s="233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58"/>
      <c r="V64" s="258"/>
      <c r="W64" s="68">
        <v>0</v>
      </c>
      <c r="X64" s="57" t="s">
        <v>238</v>
      </c>
    </row>
    <row r="65" spans="1:46" ht="21" customHeight="1">
      <c r="A65" s="45"/>
      <c r="B65" s="46"/>
      <c r="C65" s="46"/>
      <c r="D65" s="61"/>
      <c r="E65" s="61"/>
      <c r="F65" s="62"/>
      <c r="G65" s="214"/>
      <c r="H65" s="71"/>
      <c r="I65" s="235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12"/>
      <c r="V65" s="212"/>
      <c r="W65" s="72"/>
      <c r="X65" s="73"/>
    </row>
    <row r="66" spans="1:46" ht="21" customHeight="1">
      <c r="A66" s="45"/>
      <c r="B66" s="46"/>
      <c r="C66" s="46"/>
      <c r="D66" s="48">
        <v>49</v>
      </c>
      <c r="E66" s="37">
        <f>ROUND(W66/1000,0)</f>
        <v>49</v>
      </c>
      <c r="F66" s="38">
        <f t="shared" ref="F66" si="32">E66-D66</f>
        <v>0</v>
      </c>
      <c r="G66" s="39">
        <f t="shared" ref="G66" si="33">IF(D66=0,0,F66/D66)</f>
        <v>0</v>
      </c>
      <c r="H66" s="147" t="s">
        <v>242</v>
      </c>
      <c r="I66" s="166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642" t="s">
        <v>70</v>
      </c>
      <c r="V66" s="642"/>
      <c r="W66" s="149">
        <f>ROUND(SUM(V67:W68),-3)</f>
        <v>49000</v>
      </c>
      <c r="X66" s="150" t="s">
        <v>57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378" t="s">
        <v>279</v>
      </c>
      <c r="I67" s="233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58"/>
      <c r="V67" s="258"/>
      <c r="W67" s="68">
        <v>48946</v>
      </c>
      <c r="X67" s="57" t="s">
        <v>238</v>
      </c>
    </row>
    <row r="68" spans="1:46" ht="21" customHeight="1">
      <c r="A68" s="45"/>
      <c r="B68" s="46"/>
      <c r="C68" s="46"/>
      <c r="D68" s="48"/>
      <c r="E68" s="48"/>
      <c r="F68" s="49"/>
      <c r="G68" s="31"/>
      <c r="H68" s="378" t="s">
        <v>280</v>
      </c>
      <c r="I68" s="233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58"/>
      <c r="V68" s="258"/>
      <c r="W68" s="68">
        <v>0</v>
      </c>
      <c r="X68" s="57" t="s">
        <v>238</v>
      </c>
    </row>
    <row r="69" spans="1:46" ht="21" customHeight="1">
      <c r="A69" s="45"/>
      <c r="B69" s="46"/>
      <c r="C69" s="46"/>
      <c r="D69" s="48"/>
      <c r="E69" s="48"/>
      <c r="F69" s="49"/>
      <c r="G69" s="31"/>
      <c r="H69" s="67"/>
      <c r="I69" s="233"/>
      <c r="J69" s="232"/>
      <c r="K69" s="232"/>
      <c r="L69" s="232"/>
      <c r="M69" s="258"/>
      <c r="N69" s="74"/>
      <c r="O69" s="69"/>
      <c r="P69" s="74"/>
      <c r="Q69" s="79"/>
      <c r="R69" s="76"/>
      <c r="S69" s="76"/>
      <c r="T69" s="258"/>
      <c r="U69" s="232"/>
      <c r="V69" s="68"/>
      <c r="W69" s="68"/>
      <c r="X69" s="57"/>
    </row>
    <row r="70" spans="1:46" ht="21" customHeight="1">
      <c r="A70" s="45"/>
      <c r="B70" s="46"/>
      <c r="C70" s="36" t="s">
        <v>213</v>
      </c>
      <c r="D70" s="227">
        <f>D71</f>
        <v>1322</v>
      </c>
      <c r="E70" s="227">
        <f>E71</f>
        <v>1322</v>
      </c>
      <c r="F70" s="228">
        <f t="shared" ref="F70:F71" si="34">E70-D70</f>
        <v>0</v>
      </c>
      <c r="G70" s="229">
        <f t="shared" ref="G70:G71" si="35">IF(D70=0,0,F70/D70)</f>
        <v>0</v>
      </c>
      <c r="H70" s="215" t="s">
        <v>215</v>
      </c>
      <c r="I70" s="216"/>
      <c r="J70" s="217"/>
      <c r="K70" s="217"/>
      <c r="L70" s="217"/>
      <c r="M70" s="217"/>
      <c r="N70" s="217"/>
      <c r="O70" s="218"/>
      <c r="P70" s="218"/>
      <c r="Q70" s="218"/>
      <c r="R70" s="218"/>
      <c r="S70" s="218"/>
      <c r="T70" s="218"/>
      <c r="U70" s="245" t="s">
        <v>70</v>
      </c>
      <c r="V70" s="246"/>
      <c r="W70" s="246">
        <f>W71</f>
        <v>1322000</v>
      </c>
      <c r="X70" s="279" t="s">
        <v>57</v>
      </c>
    </row>
    <row r="71" spans="1:46" ht="21" customHeight="1">
      <c r="A71" s="45"/>
      <c r="B71" s="46"/>
      <c r="C71" s="46" t="s">
        <v>214</v>
      </c>
      <c r="D71" s="48">
        <v>1322</v>
      </c>
      <c r="E71" s="48">
        <f>ROUND(W71/1000,0)</f>
        <v>1322</v>
      </c>
      <c r="F71" s="38">
        <f t="shared" si="34"/>
        <v>0</v>
      </c>
      <c r="G71" s="39">
        <f t="shared" si="35"/>
        <v>0</v>
      </c>
      <c r="H71" s="380" t="s">
        <v>281</v>
      </c>
      <c r="I71" s="166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642"/>
      <c r="V71" s="642"/>
      <c r="W71" s="149">
        <f>ROUNDUP(SUM(V72:W72),-3)</f>
        <v>1322000</v>
      </c>
      <c r="X71" s="150" t="s">
        <v>57</v>
      </c>
    </row>
    <row r="72" spans="1:46" ht="21" customHeight="1">
      <c r="A72" s="45"/>
      <c r="B72" s="46"/>
      <c r="C72" s="46" t="s">
        <v>210</v>
      </c>
      <c r="D72" s="48"/>
      <c r="E72" s="48"/>
      <c r="F72" s="49"/>
      <c r="G72" s="70"/>
      <c r="H72" s="378" t="s">
        <v>282</v>
      </c>
      <c r="I72" s="233"/>
      <c r="J72" s="232"/>
      <c r="K72" s="232"/>
      <c r="L72" s="232"/>
      <c r="M72" s="232"/>
      <c r="N72" s="232"/>
      <c r="O72" s="232"/>
      <c r="P72" s="54"/>
      <c r="Q72" s="54"/>
      <c r="R72" s="54"/>
      <c r="S72" s="232"/>
      <c r="T72" s="232"/>
      <c r="U72" s="232"/>
      <c r="V72" s="68"/>
      <c r="W72" s="68">
        <v>1321360</v>
      </c>
      <c r="X72" s="57" t="s">
        <v>138</v>
      </c>
    </row>
    <row r="73" spans="1:46" ht="21" customHeight="1">
      <c r="A73" s="45"/>
      <c r="B73" s="46"/>
      <c r="C73" s="46"/>
      <c r="D73" s="48"/>
      <c r="E73" s="48"/>
      <c r="F73" s="49"/>
      <c r="G73" s="70"/>
      <c r="H73" s="67"/>
      <c r="I73" s="233"/>
      <c r="J73" s="232"/>
      <c r="K73" s="232"/>
      <c r="L73" s="232"/>
      <c r="M73" s="232"/>
      <c r="N73" s="232"/>
      <c r="O73" s="232"/>
      <c r="P73" s="54"/>
      <c r="Q73" s="54"/>
      <c r="R73" s="54"/>
      <c r="S73" s="232"/>
      <c r="T73" s="232"/>
      <c r="U73" s="232"/>
      <c r="V73" s="68"/>
      <c r="W73" s="68"/>
      <c r="X73" s="57"/>
    </row>
    <row r="74" spans="1:46" ht="21" customHeight="1">
      <c r="A74" s="45"/>
      <c r="B74" s="46"/>
      <c r="C74" s="36" t="s">
        <v>216</v>
      </c>
      <c r="D74" s="227">
        <f>D75</f>
        <v>0</v>
      </c>
      <c r="E74" s="227">
        <f>E75</f>
        <v>0</v>
      </c>
      <c r="F74" s="228">
        <f t="shared" ref="F74:F75" si="36">E74-D74</f>
        <v>0</v>
      </c>
      <c r="G74" s="229">
        <f t="shared" ref="G74:G75" si="37">IF(D74=0,0,F74/D74)</f>
        <v>0</v>
      </c>
      <c r="H74" s="215" t="s">
        <v>218</v>
      </c>
      <c r="I74" s="216"/>
      <c r="J74" s="217"/>
      <c r="K74" s="217"/>
      <c r="L74" s="217"/>
      <c r="M74" s="217"/>
      <c r="N74" s="217"/>
      <c r="O74" s="218"/>
      <c r="P74" s="218"/>
      <c r="Q74" s="218"/>
      <c r="R74" s="218"/>
      <c r="S74" s="218"/>
      <c r="T74" s="218"/>
      <c r="U74" s="245" t="s">
        <v>70</v>
      </c>
      <c r="V74" s="246"/>
      <c r="W74" s="246">
        <f>ROUND(SUM(V75:W76),-3)</f>
        <v>0</v>
      </c>
      <c r="X74" s="279" t="s">
        <v>57</v>
      </c>
    </row>
    <row r="75" spans="1:46" ht="21" customHeight="1">
      <c r="A75" s="45"/>
      <c r="B75" s="46"/>
      <c r="C75" s="46" t="s">
        <v>217</v>
      </c>
      <c r="D75" s="48">
        <v>0</v>
      </c>
      <c r="E75" s="48">
        <f>ROUND(W75/1000,0)</f>
        <v>0</v>
      </c>
      <c r="F75" s="38">
        <f t="shared" si="36"/>
        <v>0</v>
      </c>
      <c r="G75" s="39">
        <f t="shared" si="37"/>
        <v>0</v>
      </c>
      <c r="H75" s="67"/>
      <c r="I75" s="233"/>
      <c r="J75" s="232"/>
      <c r="K75" s="232"/>
      <c r="L75" s="232"/>
      <c r="M75" s="258"/>
      <c r="N75" s="74"/>
      <c r="O75" s="69"/>
      <c r="P75" s="74"/>
      <c r="Q75" s="79"/>
      <c r="R75" s="76"/>
      <c r="S75" s="76"/>
      <c r="T75" s="258"/>
      <c r="U75" s="232"/>
      <c r="V75" s="68"/>
      <c r="W75" s="68">
        <f>L75*O75</f>
        <v>0</v>
      </c>
      <c r="X75" s="57" t="s">
        <v>57</v>
      </c>
    </row>
    <row r="76" spans="1:46" ht="21" customHeight="1">
      <c r="A76" s="58"/>
      <c r="B76" s="59"/>
      <c r="C76" s="59"/>
      <c r="D76" s="61"/>
      <c r="E76" s="61"/>
      <c r="F76" s="62"/>
      <c r="G76" s="84"/>
      <c r="H76" s="71"/>
      <c r="I76" s="235"/>
      <c r="J76" s="234"/>
      <c r="K76" s="234"/>
      <c r="L76" s="234"/>
      <c r="M76" s="234"/>
      <c r="N76" s="234"/>
      <c r="O76" s="234"/>
      <c r="P76" s="131"/>
      <c r="Q76" s="131"/>
      <c r="R76" s="131"/>
      <c r="S76" s="234"/>
      <c r="T76" s="234"/>
      <c r="U76" s="234"/>
      <c r="V76" s="72"/>
      <c r="W76" s="72">
        <v>0</v>
      </c>
      <c r="X76" s="73" t="s">
        <v>57</v>
      </c>
    </row>
    <row r="77" spans="1:46" ht="21" customHeight="1">
      <c r="A77" s="45" t="s">
        <v>76</v>
      </c>
      <c r="B77" s="87" t="s">
        <v>16</v>
      </c>
      <c r="C77" s="555" t="s">
        <v>249</v>
      </c>
      <c r="D77" s="260">
        <f>SUM(D78,D81,D88)</f>
        <v>29</v>
      </c>
      <c r="E77" s="260">
        <f>SUM(E78,E81,E88)</f>
        <v>29</v>
      </c>
      <c r="F77" s="261">
        <f t="shared" ref="F77:F79" si="38">E77-D77</f>
        <v>0</v>
      </c>
      <c r="G77" s="262">
        <f t="shared" ref="G77:G79" si="39">IF(D77=0,0,F77/D77)</f>
        <v>0</v>
      </c>
      <c r="H77" s="263" t="s">
        <v>254</v>
      </c>
      <c r="I77" s="264"/>
      <c r="J77" s="265"/>
      <c r="K77" s="265"/>
      <c r="L77" s="264"/>
      <c r="M77" s="264"/>
      <c r="N77" s="264"/>
      <c r="O77" s="264"/>
      <c r="P77" s="264" t="s">
        <v>68</v>
      </c>
      <c r="Q77" s="266"/>
      <c r="R77" s="266"/>
      <c r="S77" s="266"/>
      <c r="T77" s="266"/>
      <c r="U77" s="266"/>
      <c r="V77" s="266"/>
      <c r="W77" s="276">
        <f>SUM(W78,W81,W88)</f>
        <v>29000</v>
      </c>
      <c r="X77" s="282" t="s">
        <v>244</v>
      </c>
    </row>
    <row r="78" spans="1:46" s="4" customFormat="1" ht="21" customHeight="1">
      <c r="A78" s="45"/>
      <c r="B78" s="96"/>
      <c r="C78" s="36" t="s">
        <v>219</v>
      </c>
      <c r="D78" s="227">
        <f>D79</f>
        <v>0</v>
      </c>
      <c r="E78" s="227">
        <f>E79</f>
        <v>0</v>
      </c>
      <c r="F78" s="228">
        <f t="shared" si="38"/>
        <v>0</v>
      </c>
      <c r="G78" s="229">
        <f t="shared" si="39"/>
        <v>0</v>
      </c>
      <c r="H78" s="215" t="s">
        <v>224</v>
      </c>
      <c r="I78" s="216"/>
      <c r="J78" s="217"/>
      <c r="K78" s="217"/>
      <c r="L78" s="217"/>
      <c r="M78" s="217"/>
      <c r="N78" s="217"/>
      <c r="O78" s="218"/>
      <c r="P78" s="218"/>
      <c r="Q78" s="218"/>
      <c r="R78" s="218"/>
      <c r="S78" s="218"/>
      <c r="T78" s="218"/>
      <c r="U78" s="245" t="s">
        <v>70</v>
      </c>
      <c r="V78" s="246"/>
      <c r="W78" s="247">
        <f>SUM(W79:W79)</f>
        <v>0</v>
      </c>
      <c r="X78" s="279" t="s">
        <v>57</v>
      </c>
      <c r="Y78" s="268"/>
      <c r="Z78" s="269"/>
      <c r="AA78" s="269"/>
      <c r="AB78" s="270"/>
      <c r="AC78" s="271"/>
      <c r="AD78" s="272"/>
      <c r="AE78" s="273"/>
      <c r="AF78" s="274"/>
      <c r="AG78" s="274"/>
      <c r="AH78" s="273"/>
      <c r="AI78" s="273"/>
      <c r="AJ78" s="273"/>
      <c r="AK78" s="273"/>
      <c r="AL78" s="273"/>
      <c r="AM78" s="272"/>
      <c r="AN78" s="272"/>
      <c r="AO78" s="272"/>
      <c r="AP78" s="272"/>
      <c r="AQ78" s="272"/>
      <c r="AR78" s="272"/>
      <c r="AS78" s="275"/>
      <c r="AT78" s="273"/>
    </row>
    <row r="79" spans="1:46" ht="21" customHeight="1">
      <c r="A79" s="60"/>
      <c r="B79" s="98"/>
      <c r="C79" s="46" t="s">
        <v>220</v>
      </c>
      <c r="D79" s="37">
        <v>0</v>
      </c>
      <c r="E79" s="48">
        <f>ROUND(W79/1000,0)</f>
        <v>0</v>
      </c>
      <c r="F79" s="38">
        <f t="shared" si="38"/>
        <v>0</v>
      </c>
      <c r="G79" s="39">
        <f t="shared" si="39"/>
        <v>0</v>
      </c>
      <c r="H79" s="147" t="s">
        <v>224</v>
      </c>
      <c r="I79" s="166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642" t="s">
        <v>70</v>
      </c>
      <c r="V79" s="642"/>
      <c r="W79" s="149">
        <f>SUM(W80:W80)</f>
        <v>0</v>
      </c>
      <c r="X79" s="150" t="s">
        <v>57</v>
      </c>
    </row>
    <row r="80" spans="1:46" s="11" customFormat="1" ht="19.5" customHeight="1">
      <c r="A80" s="60"/>
      <c r="B80" s="90"/>
      <c r="C80" s="46"/>
      <c r="D80" s="48"/>
      <c r="E80" s="48"/>
      <c r="F80" s="49"/>
      <c r="G80" s="31"/>
      <c r="H80" s="67"/>
      <c r="I80" s="233"/>
      <c r="J80" s="232"/>
      <c r="K80" s="232"/>
      <c r="L80" s="232"/>
      <c r="M80" s="258"/>
      <c r="N80" s="74"/>
      <c r="O80" s="69"/>
      <c r="P80" s="74"/>
      <c r="Q80" s="79"/>
      <c r="R80" s="76"/>
      <c r="S80" s="76"/>
      <c r="T80" s="258"/>
      <c r="U80" s="232"/>
      <c r="V80" s="68"/>
      <c r="W80" s="68">
        <f>L80*O80</f>
        <v>0</v>
      </c>
      <c r="X80" s="57" t="s">
        <v>57</v>
      </c>
      <c r="Y80" s="6"/>
    </row>
    <row r="81" spans="1:25" s="11" customFormat="1" ht="19.5" customHeight="1">
      <c r="A81" s="60"/>
      <c r="B81" s="90"/>
      <c r="C81" s="36" t="s">
        <v>221</v>
      </c>
      <c r="D81" s="227">
        <f>D82</f>
        <v>15</v>
      </c>
      <c r="E81" s="227">
        <f>E82</f>
        <v>15</v>
      </c>
      <c r="F81" s="228">
        <f t="shared" ref="F81:F82" si="40">E81-D81</f>
        <v>0</v>
      </c>
      <c r="G81" s="229">
        <f t="shared" ref="G81:G82" si="41">IF(D81=0,0,F81/D81)</f>
        <v>0</v>
      </c>
      <c r="H81" s="215" t="s">
        <v>225</v>
      </c>
      <c r="I81" s="216"/>
      <c r="J81" s="217"/>
      <c r="K81" s="217"/>
      <c r="L81" s="217"/>
      <c r="M81" s="217"/>
      <c r="N81" s="217"/>
      <c r="O81" s="218"/>
      <c r="P81" s="218"/>
      <c r="Q81" s="218"/>
      <c r="R81" s="218"/>
      <c r="S81" s="218"/>
      <c r="T81" s="218"/>
      <c r="U81" s="245" t="s">
        <v>70</v>
      </c>
      <c r="V81" s="246"/>
      <c r="W81" s="246">
        <f>SUM(W82:W82)</f>
        <v>15000</v>
      </c>
      <c r="X81" s="279" t="s">
        <v>57</v>
      </c>
      <c r="Y81" s="6"/>
    </row>
    <row r="82" spans="1:25" s="11" customFormat="1" ht="19.5" customHeight="1">
      <c r="A82" s="60"/>
      <c r="B82" s="90"/>
      <c r="C82" s="46" t="s">
        <v>222</v>
      </c>
      <c r="D82" s="48">
        <v>15</v>
      </c>
      <c r="E82" s="48">
        <f>ROUND(W82/1000,0)</f>
        <v>15</v>
      </c>
      <c r="F82" s="38">
        <f t="shared" si="40"/>
        <v>0</v>
      </c>
      <c r="G82" s="39">
        <f t="shared" si="41"/>
        <v>0</v>
      </c>
      <c r="H82" s="576" t="s">
        <v>361</v>
      </c>
      <c r="I82" s="187"/>
      <c r="J82" s="186"/>
      <c r="K82" s="186"/>
      <c r="L82" s="186"/>
      <c r="M82" s="186"/>
      <c r="N82" s="186"/>
      <c r="O82" s="186"/>
      <c r="P82" s="186" t="s">
        <v>359</v>
      </c>
      <c r="Q82" s="186"/>
      <c r="R82" s="186"/>
      <c r="S82" s="186"/>
      <c r="T82" s="186"/>
      <c r="U82" s="642" t="s">
        <v>70</v>
      </c>
      <c r="V82" s="642"/>
      <c r="W82" s="149">
        <f>SUM(W83:W86)</f>
        <v>15000</v>
      </c>
      <c r="X82" s="150" t="s">
        <v>57</v>
      </c>
      <c r="Y82" s="6"/>
    </row>
    <row r="83" spans="1:25" s="11" customFormat="1" ht="19.5" customHeight="1">
      <c r="A83" s="60"/>
      <c r="B83" s="90"/>
      <c r="C83" s="46" t="s">
        <v>182</v>
      </c>
      <c r="D83" s="48"/>
      <c r="E83" s="48"/>
      <c r="F83" s="49"/>
      <c r="G83" s="70"/>
      <c r="H83" s="542" t="s">
        <v>362</v>
      </c>
      <c r="I83" s="389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68"/>
      <c r="W83" s="68">
        <v>8000</v>
      </c>
      <c r="X83" s="57" t="s">
        <v>25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537</v>
      </c>
      <c r="I84" s="389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68"/>
      <c r="W84" s="68">
        <v>3000</v>
      </c>
      <c r="X84" s="57" t="s">
        <v>533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538</v>
      </c>
      <c r="I85" s="389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68"/>
      <c r="W85" s="68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539</v>
      </c>
      <c r="I86" s="388"/>
      <c r="J86" s="388"/>
      <c r="K86" s="388"/>
      <c r="L86" s="388"/>
      <c r="M86" s="388"/>
      <c r="N86" s="388"/>
      <c r="O86" s="388"/>
      <c r="P86" s="641"/>
      <c r="Q86" s="641"/>
      <c r="R86" s="388"/>
      <c r="S86" s="388"/>
      <c r="T86" s="388"/>
      <c r="U86" s="388"/>
      <c r="V86" s="388"/>
      <c r="W86" s="388">
        <v>3000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/>
      <c r="I87" s="233"/>
      <c r="J87" s="232"/>
      <c r="K87" s="232"/>
      <c r="L87" s="232"/>
      <c r="M87" s="232"/>
      <c r="N87" s="232"/>
      <c r="O87" s="232"/>
      <c r="P87" s="54"/>
      <c r="Q87" s="54"/>
      <c r="R87" s="54"/>
      <c r="S87" s="232"/>
      <c r="T87" s="232"/>
      <c r="U87" s="232"/>
      <c r="V87" s="68"/>
      <c r="W87" s="68"/>
      <c r="X87" s="57"/>
      <c r="Y87" s="6"/>
    </row>
    <row r="88" spans="1:25" s="11" customFormat="1" ht="19.5" customHeight="1">
      <c r="A88" s="60"/>
      <c r="B88" s="90"/>
      <c r="C88" s="36" t="s">
        <v>194</v>
      </c>
      <c r="D88" s="227">
        <f>D89</f>
        <v>14</v>
      </c>
      <c r="E88" s="227">
        <f>E89</f>
        <v>14</v>
      </c>
      <c r="F88" s="228">
        <f t="shared" ref="F88:F89" si="42">E88-D88</f>
        <v>0</v>
      </c>
      <c r="G88" s="229">
        <f t="shared" ref="G88:G89" si="43">IF(D88=0,0,F88/D88)</f>
        <v>0</v>
      </c>
      <c r="H88" s="215" t="s">
        <v>243</v>
      </c>
      <c r="I88" s="216"/>
      <c r="J88" s="217"/>
      <c r="K88" s="217"/>
      <c r="L88" s="217"/>
      <c r="M88" s="217"/>
      <c r="N88" s="217"/>
      <c r="O88" s="218"/>
      <c r="P88" s="218"/>
      <c r="Q88" s="218"/>
      <c r="R88" s="218"/>
      <c r="S88" s="218"/>
      <c r="T88" s="218"/>
      <c r="U88" s="245" t="s">
        <v>245</v>
      </c>
      <c r="V88" s="246"/>
      <c r="W88" s="246">
        <f>SUM(W89:W89)</f>
        <v>14000</v>
      </c>
      <c r="X88" s="279" t="s">
        <v>244</v>
      </c>
      <c r="Y88" s="6"/>
    </row>
    <row r="89" spans="1:25" s="11" customFormat="1" ht="19.5" customHeight="1">
      <c r="A89" s="60"/>
      <c r="B89" s="90"/>
      <c r="C89" s="46" t="s">
        <v>223</v>
      </c>
      <c r="D89" s="48">
        <v>14</v>
      </c>
      <c r="E89" s="48">
        <f>ROUND(W89/1000,0)</f>
        <v>14</v>
      </c>
      <c r="F89" s="38">
        <f t="shared" si="42"/>
        <v>0</v>
      </c>
      <c r="G89" s="39">
        <f t="shared" si="43"/>
        <v>0</v>
      </c>
      <c r="H89" s="97" t="s">
        <v>358</v>
      </c>
      <c r="I89" s="191"/>
      <c r="J89" s="190"/>
      <c r="K89" s="190"/>
      <c r="L89" s="190"/>
      <c r="M89" s="190"/>
      <c r="N89" s="190"/>
      <c r="O89" s="190"/>
      <c r="P89" s="190" t="s">
        <v>359</v>
      </c>
      <c r="Q89" s="190"/>
      <c r="R89" s="190"/>
      <c r="S89" s="190"/>
      <c r="T89" s="190"/>
      <c r="U89" s="642" t="s">
        <v>70</v>
      </c>
      <c r="V89" s="642"/>
      <c r="W89" s="149">
        <f>SUM(W90:W93)</f>
        <v>14000</v>
      </c>
      <c r="X89" s="150" t="s">
        <v>57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542" t="s">
        <v>360</v>
      </c>
      <c r="I90" s="389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68"/>
      <c r="W90" s="68">
        <v>3000</v>
      </c>
      <c r="X90" s="57" t="s">
        <v>25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540</v>
      </c>
      <c r="I91" s="389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68"/>
      <c r="W91" s="68">
        <v>9000</v>
      </c>
      <c r="X91" s="57" t="s">
        <v>533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542</v>
      </c>
      <c r="I92" s="389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68"/>
      <c r="W92" s="68">
        <v>1000</v>
      </c>
      <c r="X92" s="57" t="s">
        <v>25</v>
      </c>
      <c r="Y92" s="6"/>
    </row>
    <row r="93" spans="1:25" s="11" customFormat="1" ht="19.5" customHeight="1">
      <c r="A93" s="60"/>
      <c r="B93" s="90"/>
      <c r="C93" s="46"/>
      <c r="D93" s="48"/>
      <c r="E93" s="48"/>
      <c r="F93" s="49"/>
      <c r="G93" s="31"/>
      <c r="H93" s="67" t="s">
        <v>541</v>
      </c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>
        <v>1000</v>
      </c>
      <c r="X93" s="57" t="s">
        <v>25</v>
      </c>
      <c r="Y93" s="6"/>
    </row>
    <row r="94" spans="1:25" s="11" customFormat="1" ht="19.5" customHeight="1" thickBot="1">
      <c r="A94" s="100"/>
      <c r="B94" s="101"/>
      <c r="C94" s="101"/>
      <c r="D94" s="103"/>
      <c r="E94" s="103"/>
      <c r="F94" s="104"/>
      <c r="G94" s="105"/>
      <c r="H94" s="63"/>
      <c r="I94" s="65"/>
      <c r="J94" s="65"/>
      <c r="K94" s="65"/>
      <c r="L94" s="65"/>
      <c r="M94" s="65"/>
      <c r="N94" s="64"/>
      <c r="O94" s="65"/>
      <c r="P94" s="64"/>
      <c r="Q94" s="64"/>
      <c r="R94" s="65"/>
      <c r="S94" s="65"/>
      <c r="T94" s="106"/>
      <c r="U94" s="106"/>
      <c r="V94" s="64"/>
      <c r="W94" s="65"/>
      <c r="X94" s="66"/>
      <c r="Y94" s="6"/>
    </row>
    <row r="95" spans="1:25" s="11" customFormat="1" ht="19.5" customHeight="1">
      <c r="A95" s="7"/>
      <c r="B95" s="7"/>
      <c r="C95" s="7"/>
      <c r="D95" s="9"/>
      <c r="E95" s="9"/>
      <c r="F95" s="10"/>
      <c r="G95" s="1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6"/>
    </row>
    <row r="106" spans="25:25" ht="19.5" customHeight="1">
      <c r="Y106" s="6" t="s">
        <v>65</v>
      </c>
    </row>
  </sheetData>
  <mergeCells count="24">
    <mergeCell ref="A1:F1"/>
    <mergeCell ref="U82:V82"/>
    <mergeCell ref="U36:V36"/>
    <mergeCell ref="U33:V33"/>
    <mergeCell ref="U51:V51"/>
    <mergeCell ref="U59:V59"/>
    <mergeCell ref="U71:V71"/>
    <mergeCell ref="U62:V62"/>
    <mergeCell ref="U66:V66"/>
    <mergeCell ref="P86:Q86"/>
    <mergeCell ref="U89:V89"/>
    <mergeCell ref="U17:V17"/>
    <mergeCell ref="U18:V18"/>
    <mergeCell ref="A2:C2"/>
    <mergeCell ref="D2:D3"/>
    <mergeCell ref="A4:C4"/>
    <mergeCell ref="U56:V56"/>
    <mergeCell ref="U79:V79"/>
    <mergeCell ref="E2:E3"/>
    <mergeCell ref="U41:V41"/>
    <mergeCell ref="F2:G2"/>
    <mergeCell ref="H2:X3"/>
    <mergeCell ref="U31:V31"/>
    <mergeCell ref="U48:V48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27"/>
  <sheetViews>
    <sheetView tabSelected="1" zoomScale="70" zoomScaleNormal="70" workbookViewId="0">
      <pane xSplit="3" ySplit="5" topLeftCell="D120" activePane="bottomRight" state="frozen"/>
      <selection pane="topRight" activeCell="D1" sqref="D1"/>
      <selection pane="bottomLeft" activeCell="A6" sqref="A6"/>
      <selection pane="bottomRight" activeCell="AD35" sqref="AD3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441406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7.109375" style="18" bestFit="1" customWidth="1"/>
    <col min="14" max="14" width="7.2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21875" style="5" bestFit="1" customWidth="1"/>
    <col min="20" max="20" width="3.21875" style="5" bestFit="1" customWidth="1"/>
    <col min="21" max="21" width="4" style="5" bestFit="1" customWidth="1"/>
    <col min="22" max="22" width="7.88671875" style="5" bestFit="1" customWidth="1"/>
    <col min="23" max="23" width="3.21875" style="5" customWidth="1"/>
    <col min="24" max="24" width="4.1093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2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53" t="s">
        <v>614</v>
      </c>
      <c r="B1" s="653"/>
      <c r="C1" s="653"/>
      <c r="D1" s="653"/>
      <c r="E1" s="653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643" t="s">
        <v>22</v>
      </c>
      <c r="B2" s="644"/>
      <c r="C2" s="644"/>
      <c r="D2" s="675" t="s">
        <v>615</v>
      </c>
      <c r="E2" s="675" t="s">
        <v>616</v>
      </c>
      <c r="F2" s="677"/>
      <c r="G2" s="677"/>
      <c r="H2" s="677"/>
      <c r="I2" s="677"/>
      <c r="J2" s="677"/>
      <c r="K2" s="677"/>
      <c r="L2" s="678"/>
      <c r="M2" s="649" t="s">
        <v>23</v>
      </c>
      <c r="N2" s="649"/>
      <c r="O2" s="661" t="s">
        <v>54</v>
      </c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3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76"/>
      <c r="E3" s="153" t="s">
        <v>132</v>
      </c>
      <c r="F3" s="184" t="s">
        <v>385</v>
      </c>
      <c r="G3" s="184" t="s">
        <v>384</v>
      </c>
      <c r="H3" s="184" t="s">
        <v>386</v>
      </c>
      <c r="I3" s="153" t="s">
        <v>63</v>
      </c>
      <c r="J3" s="153" t="s">
        <v>128</v>
      </c>
      <c r="K3" s="153" t="s">
        <v>130</v>
      </c>
      <c r="L3" s="153" t="s">
        <v>64</v>
      </c>
      <c r="M3" s="152" t="s">
        <v>133</v>
      </c>
      <c r="N3" s="108" t="s">
        <v>4</v>
      </c>
      <c r="O3" s="664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5"/>
      <c r="AA3" s="665"/>
      <c r="AB3" s="665"/>
      <c r="AC3" s="665"/>
      <c r="AD3" s="665"/>
      <c r="AE3" s="666"/>
    </row>
    <row r="4" spans="1:32" s="11" customFormat="1" ht="21" customHeight="1">
      <c r="A4" s="673" t="s">
        <v>31</v>
      </c>
      <c r="B4" s="674"/>
      <c r="C4" s="674"/>
      <c r="D4" s="406">
        <f t="shared" ref="D4:L4" si="0">SUM(D5,D117,D132,D199,D209,D212)</f>
        <v>71949</v>
      </c>
      <c r="E4" s="406">
        <f t="shared" si="0"/>
        <v>72629</v>
      </c>
      <c r="F4" s="406">
        <f t="shared" si="0"/>
        <v>55716</v>
      </c>
      <c r="G4" s="406">
        <f t="shared" si="0"/>
        <v>3800</v>
      </c>
      <c r="H4" s="406">
        <f t="shared" si="0"/>
        <v>80</v>
      </c>
      <c r="I4" s="406">
        <f t="shared" si="0"/>
        <v>1926</v>
      </c>
      <c r="J4" s="406">
        <f t="shared" si="0"/>
        <v>11056</v>
      </c>
      <c r="K4" s="406">
        <f t="shared" si="0"/>
        <v>5.7000000000000002E-2</v>
      </c>
      <c r="L4" s="406">
        <f t="shared" si="0"/>
        <v>51</v>
      </c>
      <c r="M4" s="407">
        <f>E4-D4</f>
        <v>680</v>
      </c>
      <c r="N4" s="408">
        <f>IF(D4=0,0,M4/D4)</f>
        <v>9.451139001236987E-3</v>
      </c>
      <c r="O4" s="409" t="s">
        <v>292</v>
      </c>
      <c r="P4" s="410"/>
      <c r="Q4" s="410"/>
      <c r="R4" s="410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>
        <f>SUM(AD5,AD117,AD132,AD199,AD209,AD212)</f>
        <v>72629000</v>
      </c>
      <c r="AE4" s="412" t="s">
        <v>25</v>
      </c>
      <c r="AF4" s="2"/>
    </row>
    <row r="5" spans="1:32" s="11" customFormat="1" ht="21" customHeight="1">
      <c r="A5" s="112" t="s">
        <v>6</v>
      </c>
      <c r="B5" s="671" t="s">
        <v>7</v>
      </c>
      <c r="C5" s="672"/>
      <c r="D5" s="413">
        <f t="shared" ref="D5:L5" si="1">SUM(D6,D73,D84)</f>
        <v>50550</v>
      </c>
      <c r="E5" s="413">
        <f t="shared" si="1"/>
        <v>50194</v>
      </c>
      <c r="F5" s="413">
        <f t="shared" si="1"/>
        <v>44474</v>
      </c>
      <c r="G5" s="413">
        <f t="shared" si="1"/>
        <v>1800</v>
      </c>
      <c r="H5" s="413">
        <f t="shared" si="1"/>
        <v>80</v>
      </c>
      <c r="I5" s="413">
        <f t="shared" si="1"/>
        <v>550</v>
      </c>
      <c r="J5" s="413">
        <f t="shared" si="1"/>
        <v>3290</v>
      </c>
      <c r="K5" s="413">
        <f t="shared" si="1"/>
        <v>0</v>
      </c>
      <c r="L5" s="413">
        <f t="shared" si="1"/>
        <v>0</v>
      </c>
      <c r="M5" s="414">
        <f>E5-D5</f>
        <v>-356</v>
      </c>
      <c r="N5" s="415">
        <f>IF(D5=0,0,M5/D5)</f>
        <v>-7.0425321463897135E-3</v>
      </c>
      <c r="O5" s="416" t="s">
        <v>293</v>
      </c>
      <c r="P5" s="416"/>
      <c r="Q5" s="416"/>
      <c r="R5" s="416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>
        <f>SUM(AD6,AD73,AD84)</f>
        <v>50194000</v>
      </c>
      <c r="AE5" s="418" t="s">
        <v>25</v>
      </c>
      <c r="AF5" s="2"/>
    </row>
    <row r="6" spans="1:32" s="11" customFormat="1" ht="21" customHeight="1">
      <c r="A6" s="45"/>
      <c r="B6" s="36" t="s">
        <v>8</v>
      </c>
      <c r="C6" s="419" t="s">
        <v>5</v>
      </c>
      <c r="D6" s="536">
        <f t="shared" ref="D6:L6" si="2">SUM(D7,D12,D15,D38,D42,D67)</f>
        <v>40009</v>
      </c>
      <c r="E6" s="420">
        <f t="shared" si="2"/>
        <v>39488</v>
      </c>
      <c r="F6" s="420">
        <f t="shared" si="2"/>
        <v>37158</v>
      </c>
      <c r="G6" s="420">
        <f t="shared" si="2"/>
        <v>1800</v>
      </c>
      <c r="H6" s="420">
        <f t="shared" si="2"/>
        <v>80</v>
      </c>
      <c r="I6" s="420">
        <f t="shared" si="2"/>
        <v>450</v>
      </c>
      <c r="J6" s="420">
        <f t="shared" si="2"/>
        <v>0</v>
      </c>
      <c r="K6" s="420">
        <f t="shared" si="2"/>
        <v>0</v>
      </c>
      <c r="L6" s="420">
        <f t="shared" si="2"/>
        <v>0</v>
      </c>
      <c r="M6" s="421">
        <f>E6-D6</f>
        <v>-521</v>
      </c>
      <c r="N6" s="422">
        <f>IF(D6=0,0,M6/D6)</f>
        <v>-1.3022070034242295E-2</v>
      </c>
      <c r="O6" s="423" t="s">
        <v>294</v>
      </c>
      <c r="P6" s="423"/>
      <c r="Q6" s="423"/>
      <c r="R6" s="423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>
        <f>SUM(AD7,AD12,AD15,AD38,AD42,AD67)</f>
        <v>39488000</v>
      </c>
      <c r="AE6" s="42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23636</v>
      </c>
      <c r="E7" s="114">
        <f>AD7/1000</f>
        <v>23636</v>
      </c>
      <c r="F7" s="114">
        <f>SUMIF($AB$8:$AB$9,"보조",$AD$8:$AD$9)/1000</f>
        <v>23636</v>
      </c>
      <c r="G7" s="114">
        <v>0</v>
      </c>
      <c r="H7" s="114">
        <v>0</v>
      </c>
      <c r="I7" s="114">
        <f>SUMIF($AB$8:$AB$9,"후원",$AD$8:$AD$9)/1000</f>
        <v>0</v>
      </c>
      <c r="J7" s="114">
        <f>SUMIF($AB$8:$AB$9,"입소",$AD$8:$AD$9)/1000</f>
        <v>0</v>
      </c>
      <c r="K7" s="114">
        <f>SUMIF($AB$8:$AB$9,"법인",$AD$8:$AD$9)/1000</f>
        <v>0</v>
      </c>
      <c r="L7" s="114">
        <f>SUMIF($AB$8:$AB$9,"잡수",$AD$8:$AD$9)/1000</f>
        <v>0</v>
      </c>
      <c r="M7" s="113">
        <f>E7-D7</f>
        <v>0</v>
      </c>
      <c r="N7" s="295">
        <f>IF(D7=0,0,M7/D7)</f>
        <v>0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134</v>
      </c>
      <c r="X7" s="99"/>
      <c r="Y7" s="99"/>
      <c r="Z7" s="99"/>
      <c r="AA7" s="99"/>
      <c r="AB7" s="99"/>
      <c r="AC7" s="118"/>
      <c r="AD7" s="118">
        <f>SUM(AD8:AD10)</f>
        <v>23636000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4" t="s">
        <v>366</v>
      </c>
      <c r="P8" s="32"/>
      <c r="Q8" s="32"/>
      <c r="R8" s="389" t="s">
        <v>544</v>
      </c>
      <c r="S8" s="580">
        <v>1939000</v>
      </c>
      <c r="T8" s="388" t="s">
        <v>363</v>
      </c>
      <c r="U8" s="291" t="s">
        <v>58</v>
      </c>
      <c r="V8" s="388">
        <v>8</v>
      </c>
      <c r="W8" s="388" t="s">
        <v>364</v>
      </c>
      <c r="X8" s="388"/>
      <c r="Y8" s="388"/>
      <c r="Z8" s="388" t="s">
        <v>365</v>
      </c>
      <c r="AA8" s="388"/>
      <c r="AB8" s="388" t="s">
        <v>368</v>
      </c>
      <c r="AC8" s="68"/>
      <c r="AD8" s="68">
        <f>S8*V8</f>
        <v>15512000</v>
      </c>
      <c r="AE8" s="57" t="s">
        <v>363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291"/>
      <c r="Q9" s="291"/>
      <c r="R9" s="291" t="s">
        <v>545</v>
      </c>
      <c r="S9" s="488">
        <v>2031000</v>
      </c>
      <c r="T9" s="289" t="s">
        <v>363</v>
      </c>
      <c r="U9" s="291" t="s">
        <v>58</v>
      </c>
      <c r="V9" s="289">
        <v>4</v>
      </c>
      <c r="W9" s="289" t="s">
        <v>364</v>
      </c>
      <c r="X9" s="289"/>
      <c r="Y9" s="289"/>
      <c r="Z9" s="289" t="s">
        <v>365</v>
      </c>
      <c r="AA9" s="289"/>
      <c r="AB9" s="289" t="s">
        <v>368</v>
      </c>
      <c r="AC9" s="292"/>
      <c r="AD9" s="292">
        <f>S9*V9</f>
        <v>8124000</v>
      </c>
      <c r="AE9" s="396" t="s">
        <v>363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56"/>
      <c r="P10" s="557"/>
      <c r="Q10" s="557"/>
      <c r="R10" s="557"/>
      <c r="S10" s="289"/>
      <c r="T10" s="289"/>
      <c r="U10" s="291"/>
      <c r="V10" s="289"/>
      <c r="W10" s="289"/>
      <c r="X10" s="289"/>
      <c r="Y10" s="289"/>
      <c r="Z10" s="289"/>
      <c r="AA10" s="289"/>
      <c r="AB10" s="289"/>
      <c r="AC10" s="292"/>
      <c r="AD10" s="292"/>
      <c r="AE10" s="396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50"/>
      <c r="P11" s="50"/>
      <c r="Q11" s="50"/>
      <c r="R11" s="50"/>
      <c r="S11" s="50"/>
      <c r="T11" s="51"/>
      <c r="U11" s="51"/>
      <c r="V11" s="154"/>
      <c r="W11" s="154"/>
      <c r="X11" s="154"/>
      <c r="Y11" s="154"/>
      <c r="Z11" s="154"/>
      <c r="AA11" s="154"/>
      <c r="AB11" s="154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62">
        <v>1600</v>
      </c>
      <c r="E12" s="114">
        <f>SUM(F12:L12)</f>
        <v>80</v>
      </c>
      <c r="F12" s="114">
        <f>SUMIF($AB$13:$AB$14,"",$AD$13:$AD$14)/1000</f>
        <v>0</v>
      </c>
      <c r="G12" s="114">
        <f>SUMIF($AB$13:$AB$14,"",$AD$13:$AD$14)/1000</f>
        <v>0</v>
      </c>
      <c r="H12" s="114">
        <f>SUMIF($AB$13:$AB$14,"보조",$AD$13:$AD$14)/1000</f>
        <v>80</v>
      </c>
      <c r="I12" s="114">
        <f>SUMIF($AB$13:$AB$14,"후원",$AD$13:$AD$14)/1000</f>
        <v>0</v>
      </c>
      <c r="J12" s="114">
        <f>SUMIF($AB$13:$AB$14,"입소",$AD$13:$AD$14)/1000</f>
        <v>0</v>
      </c>
      <c r="K12" s="114">
        <f>SUMIF($AB$13:$AB$14,"법인",$AD$13:$AD$14)/1000</f>
        <v>0</v>
      </c>
      <c r="L12" s="114">
        <f>SUMIF($AB$13:$AB$14,"잡소",$AD$13:$AD$14)/1000</f>
        <v>0</v>
      </c>
      <c r="M12" s="123">
        <f>E12-D12</f>
        <v>-1520</v>
      </c>
      <c r="N12" s="121">
        <f>IF(D12=0,0,M12/D12)</f>
        <v>-0.95</v>
      </c>
      <c r="O12" s="97" t="s">
        <v>80</v>
      </c>
      <c r="P12" s="177"/>
      <c r="Q12" s="93"/>
      <c r="R12" s="93"/>
      <c r="S12" s="93"/>
      <c r="T12" s="89"/>
      <c r="U12" s="89"/>
      <c r="V12" s="158"/>
      <c r="W12" s="99" t="s">
        <v>134</v>
      </c>
      <c r="X12" s="99"/>
      <c r="Y12" s="99"/>
      <c r="Z12" s="99"/>
      <c r="AA12" s="99"/>
      <c r="AB12" s="99"/>
      <c r="AC12" s="118"/>
      <c r="AD12" s="118">
        <f>SUM(AD13)</f>
        <v>80000</v>
      </c>
      <c r="AE12" s="119" t="s">
        <v>57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77" t="s">
        <v>377</v>
      </c>
      <c r="P13" s="81"/>
      <c r="Q13" s="50"/>
      <c r="R13" s="50"/>
      <c r="S13" s="125">
        <v>80000</v>
      </c>
      <c r="T13" s="125" t="s">
        <v>57</v>
      </c>
      <c r="U13" s="126" t="s">
        <v>58</v>
      </c>
      <c r="V13" s="125">
        <v>1</v>
      </c>
      <c r="W13" s="125" t="s">
        <v>56</v>
      </c>
      <c r="X13" s="126" t="s">
        <v>58</v>
      </c>
      <c r="Y13" s="391">
        <v>1</v>
      </c>
      <c r="Z13" s="91" t="s">
        <v>100</v>
      </c>
      <c r="AA13" s="91" t="s">
        <v>53</v>
      </c>
      <c r="AB13" s="388" t="s">
        <v>456</v>
      </c>
      <c r="AC13" s="68"/>
      <c r="AD13" s="135">
        <f>S13*V13*Y13</f>
        <v>80000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2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62">
        <v>8662</v>
      </c>
      <c r="E15" s="114">
        <f>AD15/1000</f>
        <v>9780</v>
      </c>
      <c r="F15" s="114">
        <f>ROUND(SUMIF($AB$17:$AB$37,"보조",$AD$17:$AD$37)/1000,0)</f>
        <v>7980</v>
      </c>
      <c r="G15" s="114">
        <f>SUMIF($AB$17:$AB$37,"7종",$AD$17:$AD$37)/1000</f>
        <v>1800</v>
      </c>
      <c r="H15" s="114">
        <f>SUMIF($AB$17:$AB$37,"시비",$AD$17:$AD$37)/1000</f>
        <v>0</v>
      </c>
      <c r="I15" s="114">
        <f>SUMIF($AB$17:$AB$37,"후원",$AD$17:$AD$37)/1000</f>
        <v>0</v>
      </c>
      <c r="J15" s="114">
        <f>SUMIF($AB$17:$AB$37,"입소",$AD$17:$AD$37)/1000</f>
        <v>0</v>
      </c>
      <c r="K15" s="114">
        <f>SUMIF($AB$17:$AB$37,"법인",$AD$17:$AD$37)/1000</f>
        <v>0</v>
      </c>
      <c r="L15" s="114">
        <f>SUMIF($AB$17:$AB$37,"잡수",$AD$17:$AD$37)/1000</f>
        <v>0</v>
      </c>
      <c r="M15" s="113">
        <f>E15-D15</f>
        <v>1118</v>
      </c>
      <c r="N15" s="121">
        <f>IF(D15=0,0,M15/D15)</f>
        <v>0.129069498960979</v>
      </c>
      <c r="O15" s="97" t="s">
        <v>34</v>
      </c>
      <c r="P15" s="177"/>
      <c r="Q15" s="93"/>
      <c r="R15" s="93"/>
      <c r="S15" s="93"/>
      <c r="T15" s="89"/>
      <c r="U15" s="89"/>
      <c r="V15" s="89"/>
      <c r="W15" s="178" t="s">
        <v>134</v>
      </c>
      <c r="X15" s="178"/>
      <c r="Y15" s="178"/>
      <c r="Z15" s="178"/>
      <c r="AA15" s="178"/>
      <c r="AB15" s="178"/>
      <c r="AC15" s="180"/>
      <c r="AD15" s="180">
        <f>SUM(명절휴가비,가족수당,연장근로수당,AD29,AD32,AD35)</f>
        <v>9780000</v>
      </c>
      <c r="AE15" s="179" t="s">
        <v>57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475" t="s">
        <v>308</v>
      </c>
      <c r="P16" s="291"/>
      <c r="Q16" s="291"/>
      <c r="R16" s="291"/>
      <c r="S16" s="291"/>
      <c r="T16" s="289"/>
      <c r="U16" s="289"/>
      <c r="V16" s="289"/>
      <c r="W16" s="447" t="s">
        <v>307</v>
      </c>
      <c r="X16" s="447"/>
      <c r="Y16" s="447"/>
      <c r="Z16" s="447"/>
      <c r="AA16" s="447"/>
      <c r="AB16" s="447"/>
      <c r="AC16" s="448" t="s">
        <v>309</v>
      </c>
      <c r="AD16" s="448">
        <f>ROUND(SUM(AD17:AD18),-3)</f>
        <v>2382000</v>
      </c>
      <c r="AE16" s="449" t="s">
        <v>301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 t="s">
        <v>366</v>
      </c>
      <c r="P17" s="291"/>
      <c r="Q17" s="291"/>
      <c r="R17" s="389" t="s">
        <v>544</v>
      </c>
      <c r="S17" s="580">
        <v>1939000</v>
      </c>
      <c r="T17" s="388" t="s">
        <v>57</v>
      </c>
      <c r="U17" s="389" t="s">
        <v>58</v>
      </c>
      <c r="V17" s="581">
        <v>0.6</v>
      </c>
      <c r="W17" s="289"/>
      <c r="X17" s="289"/>
      <c r="Y17" s="289"/>
      <c r="Z17" s="289" t="s">
        <v>365</v>
      </c>
      <c r="AA17" s="289"/>
      <c r="AB17" s="289" t="s">
        <v>368</v>
      </c>
      <c r="AC17" s="292"/>
      <c r="AD17" s="292">
        <f>ROUND(S17*V17,-3)</f>
        <v>1163000</v>
      </c>
      <c r="AE17" s="396" t="s">
        <v>301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 t="s">
        <v>545</v>
      </c>
      <c r="S18" s="488">
        <v>2031000</v>
      </c>
      <c r="T18" s="289" t="s">
        <v>57</v>
      </c>
      <c r="U18" s="389" t="s">
        <v>58</v>
      </c>
      <c r="V18" s="581">
        <v>0.6</v>
      </c>
      <c r="W18" s="289"/>
      <c r="X18" s="289"/>
      <c r="Y18" s="289"/>
      <c r="Z18" s="289" t="s">
        <v>365</v>
      </c>
      <c r="AA18" s="289"/>
      <c r="AB18" s="289" t="s">
        <v>368</v>
      </c>
      <c r="AC18" s="292"/>
      <c r="AD18" s="292">
        <f>ROUND(S18*V18,-3)</f>
        <v>1219000</v>
      </c>
      <c r="AE18" s="396" t="s">
        <v>57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1"/>
      <c r="P19" s="291"/>
      <c r="Q19" s="291"/>
      <c r="R19" s="291"/>
      <c r="S19" s="291"/>
      <c r="T19" s="289"/>
      <c r="U19" s="289"/>
      <c r="V19" s="289"/>
      <c r="W19" s="289"/>
      <c r="X19" s="289"/>
      <c r="Y19" s="289"/>
      <c r="Z19" s="289"/>
      <c r="AA19" s="289"/>
      <c r="AB19" s="289"/>
      <c r="AC19" s="292"/>
      <c r="AD19" s="292"/>
      <c r="AE19" s="396"/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475" t="s">
        <v>310</v>
      </c>
      <c r="P20" s="291"/>
      <c r="Q20" s="291"/>
      <c r="R20" s="291"/>
      <c r="S20" s="291"/>
      <c r="T20" s="289"/>
      <c r="U20" s="289"/>
      <c r="V20" s="289"/>
      <c r="W20" s="447" t="s">
        <v>307</v>
      </c>
      <c r="X20" s="447"/>
      <c r="Y20" s="447"/>
      <c r="Z20" s="447"/>
      <c r="AA20" s="447"/>
      <c r="AB20" s="447"/>
      <c r="AC20" s="448" t="s">
        <v>309</v>
      </c>
      <c r="AD20" s="448">
        <f>SUM(AD21:AD22)</f>
        <v>240000</v>
      </c>
      <c r="AE20" s="449" t="s">
        <v>301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 t="s">
        <v>366</v>
      </c>
      <c r="P21" s="291"/>
      <c r="Q21" s="291"/>
      <c r="R21" s="291"/>
      <c r="S21" s="580">
        <v>20000</v>
      </c>
      <c r="T21" s="289" t="s">
        <v>363</v>
      </c>
      <c r="U21" s="389" t="s">
        <v>58</v>
      </c>
      <c r="V21" s="388">
        <v>12</v>
      </c>
      <c r="W21" s="388" t="s">
        <v>364</v>
      </c>
      <c r="X21" s="289"/>
      <c r="Y21" s="289"/>
      <c r="Z21" s="289" t="s">
        <v>365</v>
      </c>
      <c r="AA21" s="289"/>
      <c r="AB21" s="289" t="s">
        <v>368</v>
      </c>
      <c r="AC21" s="292"/>
      <c r="AD21" s="292">
        <f t="shared" ref="AD21" si="3">S21*V21</f>
        <v>240000</v>
      </c>
      <c r="AE21" s="396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/>
      <c r="P22" s="291"/>
      <c r="Q22" s="291"/>
      <c r="R22" s="291"/>
      <c r="S22" s="580">
        <v>0</v>
      </c>
      <c r="T22" s="289" t="s">
        <v>363</v>
      </c>
      <c r="U22" s="389" t="s">
        <v>58</v>
      </c>
      <c r="V22" s="388">
        <v>0</v>
      </c>
      <c r="W22" s="388" t="s">
        <v>364</v>
      </c>
      <c r="X22" s="289"/>
      <c r="Y22" s="289"/>
      <c r="Z22" s="289" t="s">
        <v>365</v>
      </c>
      <c r="AA22" s="289"/>
      <c r="AB22" s="289" t="s">
        <v>368</v>
      </c>
      <c r="AC22" s="292"/>
      <c r="AD22" s="292">
        <f t="shared" ref="AD22" si="4">S22*V22</f>
        <v>0</v>
      </c>
      <c r="AE22" s="396" t="s">
        <v>57</v>
      </c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291"/>
      <c r="P23" s="291"/>
      <c r="Q23" s="291"/>
      <c r="R23" s="291"/>
      <c r="S23" s="291"/>
      <c r="T23" s="289"/>
      <c r="U23" s="289"/>
      <c r="V23" s="289"/>
      <c r="W23" s="289"/>
      <c r="X23" s="289"/>
      <c r="Y23" s="289"/>
      <c r="Z23" s="289"/>
      <c r="AA23" s="289"/>
      <c r="AB23" s="289"/>
      <c r="AC23" s="292"/>
      <c r="AD23" s="292"/>
      <c r="AE23" s="396"/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475" t="s">
        <v>311</v>
      </c>
      <c r="P24" s="291"/>
      <c r="Q24" s="291"/>
      <c r="R24" s="291"/>
      <c r="S24" s="291"/>
      <c r="T24" s="289"/>
      <c r="U24" s="289"/>
      <c r="V24" s="289"/>
      <c r="W24" s="447" t="s">
        <v>307</v>
      </c>
      <c r="X24" s="447"/>
      <c r="Y24" s="447"/>
      <c r="Z24" s="447"/>
      <c r="AA24" s="447"/>
      <c r="AB24" s="447"/>
      <c r="AC24" s="448" t="s">
        <v>309</v>
      </c>
      <c r="AD24" s="448">
        <f>ROUND(SUM(AD25:AD27),-3)</f>
        <v>4158000</v>
      </c>
      <c r="AE24" s="449" t="s">
        <v>301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 t="s">
        <v>367</v>
      </c>
      <c r="P25" s="291"/>
      <c r="Q25" s="291"/>
      <c r="R25" s="389" t="s">
        <v>544</v>
      </c>
      <c r="S25" s="580">
        <v>1939000</v>
      </c>
      <c r="T25" s="289" t="s">
        <v>363</v>
      </c>
      <c r="U25" s="427" t="s">
        <v>71</v>
      </c>
      <c r="V25" s="582">
        <v>209</v>
      </c>
      <c r="W25" s="583">
        <v>1.5</v>
      </c>
      <c r="X25" s="291" t="s">
        <v>58</v>
      </c>
      <c r="Y25" s="585">
        <v>25</v>
      </c>
      <c r="Z25" s="584">
        <v>8</v>
      </c>
      <c r="AA25" s="289" t="s">
        <v>365</v>
      </c>
      <c r="AB25" s="289" t="s">
        <v>368</v>
      </c>
      <c r="AC25" s="292"/>
      <c r="AD25" s="292">
        <f>ROUNDDOWN(ROUNDDOWN(S25/V25*W25*Y25,-1)*Z25,-3)</f>
        <v>2783000</v>
      </c>
      <c r="AE25" s="396" t="s">
        <v>301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291" t="s">
        <v>545</v>
      </c>
      <c r="S26" s="488">
        <v>2031000</v>
      </c>
      <c r="T26" s="289" t="s">
        <v>363</v>
      </c>
      <c r="U26" s="427" t="s">
        <v>71</v>
      </c>
      <c r="V26" s="582">
        <v>209</v>
      </c>
      <c r="W26" s="583">
        <v>1.5</v>
      </c>
      <c r="X26" s="291" t="s">
        <v>58</v>
      </c>
      <c r="Y26" s="585">
        <v>24</v>
      </c>
      <c r="Z26" s="584">
        <v>4</v>
      </c>
      <c r="AA26" s="289" t="s">
        <v>365</v>
      </c>
      <c r="AB26" s="289" t="s">
        <v>368</v>
      </c>
      <c r="AC26" s="292"/>
      <c r="AD26" s="292">
        <f>ROUNDUP(ROUNDDOWN(S26/V26*W26*Y26,-1)*Z26-24960,-3)</f>
        <v>1375000</v>
      </c>
      <c r="AE26" s="396" t="s">
        <v>341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 t="s">
        <v>545</v>
      </c>
      <c r="S27" s="580">
        <v>2031000</v>
      </c>
      <c r="T27" s="289" t="s">
        <v>57</v>
      </c>
      <c r="U27" s="427" t="s">
        <v>71</v>
      </c>
      <c r="V27" s="582">
        <v>209</v>
      </c>
      <c r="W27" s="583">
        <v>1.5</v>
      </c>
      <c r="X27" s="291" t="s">
        <v>58</v>
      </c>
      <c r="Y27" s="585">
        <v>25</v>
      </c>
      <c r="Z27" s="584">
        <v>0</v>
      </c>
      <c r="AA27" s="289" t="s">
        <v>53</v>
      </c>
      <c r="AB27" s="289" t="s">
        <v>561</v>
      </c>
      <c r="AC27" s="292"/>
      <c r="AD27" s="292">
        <f t="shared" ref="AD27" si="5">ROUNDDOWN(ROUNDDOWN(S27/V27*W27*Y27,-1)*Z27,-3)</f>
        <v>0</v>
      </c>
      <c r="AE27" s="396" t="s">
        <v>57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91"/>
      <c r="P28" s="291"/>
      <c r="Q28" s="291"/>
      <c r="R28" s="291"/>
      <c r="S28" s="291"/>
      <c r="T28" s="289"/>
      <c r="U28" s="289"/>
      <c r="V28" s="289"/>
      <c r="W28" s="289"/>
      <c r="X28" s="289"/>
      <c r="Y28" s="289"/>
      <c r="Z28" s="289"/>
      <c r="AA28" s="289"/>
      <c r="AB28" s="289"/>
      <c r="AC28" s="292"/>
      <c r="AD28" s="292"/>
      <c r="AE28" s="396"/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475" t="s">
        <v>618</v>
      </c>
      <c r="P29" s="291"/>
      <c r="Q29" s="291"/>
      <c r="R29" s="291"/>
      <c r="S29" s="291"/>
      <c r="T29" s="289"/>
      <c r="U29" s="289"/>
      <c r="V29" s="289"/>
      <c r="W29" s="447" t="s">
        <v>307</v>
      </c>
      <c r="X29" s="447"/>
      <c r="Y29" s="447"/>
      <c r="Z29" s="447"/>
      <c r="AA29" s="447"/>
      <c r="AB29" s="447"/>
      <c r="AC29" s="448" t="s">
        <v>309</v>
      </c>
      <c r="AD29" s="448">
        <f>SUM(AD30:AD30)</f>
        <v>600000</v>
      </c>
      <c r="AE29" s="449" t="s">
        <v>301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 t="s">
        <v>366</v>
      </c>
      <c r="P30" s="291"/>
      <c r="Q30" s="291"/>
      <c r="R30" s="291"/>
      <c r="S30" s="580">
        <v>100000</v>
      </c>
      <c r="T30" s="289" t="s">
        <v>363</v>
      </c>
      <c r="U30" s="389" t="s">
        <v>58</v>
      </c>
      <c r="V30" s="388">
        <v>6</v>
      </c>
      <c r="W30" s="388" t="s">
        <v>364</v>
      </c>
      <c r="X30" s="289"/>
      <c r="Y30" s="289"/>
      <c r="Z30" s="289" t="s">
        <v>365</v>
      </c>
      <c r="AA30" s="289"/>
      <c r="AB30" s="289" t="s">
        <v>368</v>
      </c>
      <c r="AC30" s="292"/>
      <c r="AD30" s="292">
        <f t="shared" ref="AD30" si="6">S30*V30</f>
        <v>600000</v>
      </c>
      <c r="AE30" s="396" t="s">
        <v>57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/>
      <c r="P31" s="291"/>
      <c r="Q31" s="291"/>
      <c r="R31" s="291"/>
      <c r="S31" s="580"/>
      <c r="T31" s="289"/>
      <c r="U31" s="389"/>
      <c r="V31" s="388"/>
      <c r="W31" s="388"/>
      <c r="X31" s="289"/>
      <c r="Y31" s="289"/>
      <c r="Z31" s="289"/>
      <c r="AA31" s="289"/>
      <c r="AB31" s="289"/>
      <c r="AC31" s="292"/>
      <c r="AD31" s="292"/>
      <c r="AE31" s="396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617</v>
      </c>
      <c r="P32" s="291"/>
      <c r="Q32" s="291"/>
      <c r="R32" s="291"/>
      <c r="S32" s="291"/>
      <c r="T32" s="289"/>
      <c r="U32" s="289"/>
      <c r="V32" s="289"/>
      <c r="W32" s="447" t="s">
        <v>259</v>
      </c>
      <c r="X32" s="447"/>
      <c r="Y32" s="447"/>
      <c r="Z32" s="447"/>
      <c r="AA32" s="447"/>
      <c r="AB32" s="447"/>
      <c r="AC32" s="448" t="s">
        <v>260</v>
      </c>
      <c r="AD32" s="448">
        <f>SUM(AD33:AD33)</f>
        <v>1800000</v>
      </c>
      <c r="AE32" s="449" t="s">
        <v>57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91" t="s">
        <v>366</v>
      </c>
      <c r="P33" s="291"/>
      <c r="Q33" s="291"/>
      <c r="R33" s="291"/>
      <c r="S33" s="580">
        <v>200000</v>
      </c>
      <c r="T33" s="289" t="s">
        <v>57</v>
      </c>
      <c r="U33" s="389" t="s">
        <v>58</v>
      </c>
      <c r="V33" s="388">
        <v>9</v>
      </c>
      <c r="W33" s="388" t="s">
        <v>0</v>
      </c>
      <c r="X33" s="289"/>
      <c r="Y33" s="289"/>
      <c r="Z33" s="289" t="s">
        <v>53</v>
      </c>
      <c r="AA33" s="289"/>
      <c r="AB33" s="289" t="s">
        <v>627</v>
      </c>
      <c r="AC33" s="292"/>
      <c r="AD33" s="292">
        <f t="shared" ref="AD33" si="7">S33*V33</f>
        <v>1800000</v>
      </c>
      <c r="AE33" s="396" t="s">
        <v>57</v>
      </c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1"/>
      <c r="P34" s="291"/>
      <c r="Q34" s="291"/>
      <c r="R34" s="291"/>
      <c r="S34" s="580"/>
      <c r="T34" s="289"/>
      <c r="U34" s="389"/>
      <c r="V34" s="388"/>
      <c r="W34" s="388"/>
      <c r="X34" s="289"/>
      <c r="Y34" s="289"/>
      <c r="Z34" s="289"/>
      <c r="AA34" s="289"/>
      <c r="AB34" s="289"/>
      <c r="AC34" s="292"/>
      <c r="AD34" s="292"/>
      <c r="AE34" s="396"/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475" t="s">
        <v>619</v>
      </c>
      <c r="P35" s="291"/>
      <c r="Q35" s="291"/>
      <c r="R35" s="291"/>
      <c r="S35" s="291"/>
      <c r="T35" s="289"/>
      <c r="U35" s="289"/>
      <c r="V35" s="289"/>
      <c r="W35" s="447" t="s">
        <v>259</v>
      </c>
      <c r="X35" s="447"/>
      <c r="Y35" s="447"/>
      <c r="Z35" s="447"/>
      <c r="AA35" s="447"/>
      <c r="AB35" s="447"/>
      <c r="AC35" s="448" t="s">
        <v>260</v>
      </c>
      <c r="AD35" s="448">
        <f>SUM(AD36:AD36)</f>
        <v>600000</v>
      </c>
      <c r="AE35" s="449" t="s">
        <v>57</v>
      </c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291" t="s">
        <v>366</v>
      </c>
      <c r="P36" s="291"/>
      <c r="Q36" s="291"/>
      <c r="R36" s="291"/>
      <c r="S36" s="580">
        <v>50000</v>
      </c>
      <c r="T36" s="289" t="s">
        <v>57</v>
      </c>
      <c r="U36" s="389" t="s">
        <v>58</v>
      </c>
      <c r="V36" s="388">
        <v>12</v>
      </c>
      <c r="W36" s="388" t="s">
        <v>0</v>
      </c>
      <c r="X36" s="289"/>
      <c r="Y36" s="289"/>
      <c r="Z36" s="289" t="s">
        <v>53</v>
      </c>
      <c r="AA36" s="289"/>
      <c r="AB36" s="289" t="s">
        <v>86</v>
      </c>
      <c r="AC36" s="292"/>
      <c r="AD36" s="292">
        <f t="shared" ref="AD36" si="8">S36*V36</f>
        <v>600000</v>
      </c>
      <c r="AE36" s="396" t="s">
        <v>57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291"/>
      <c r="P37" s="291"/>
      <c r="Q37" s="291"/>
      <c r="R37" s="291"/>
      <c r="S37" s="289"/>
      <c r="T37" s="430"/>
      <c r="U37" s="481"/>
      <c r="V37" s="430"/>
      <c r="W37" s="482"/>
      <c r="X37" s="482"/>
      <c r="Y37" s="289"/>
      <c r="Z37" s="289"/>
      <c r="AA37" s="289"/>
      <c r="AB37" s="289"/>
      <c r="AC37" s="289"/>
      <c r="AD37" s="289"/>
      <c r="AE37" s="396"/>
      <c r="AF37" s="17"/>
    </row>
    <row r="38" spans="1:32" s="11" customFormat="1" ht="21" customHeight="1">
      <c r="A38" s="45"/>
      <c r="B38" s="46"/>
      <c r="C38" s="36" t="s">
        <v>9</v>
      </c>
      <c r="D38" s="162">
        <v>2692</v>
      </c>
      <c r="E38" s="114">
        <f>AD38/1000</f>
        <v>2799</v>
      </c>
      <c r="F38" s="114">
        <f>SUMIF($AB$39:$AB$40,"보조",$AD$39:$AD$40)/1000</f>
        <v>2749</v>
      </c>
      <c r="G38" s="114">
        <f>SUMIF($AB$39:$AB$40,"7종",$AD$39:$AD$40)/1000</f>
        <v>0</v>
      </c>
      <c r="H38" s="114">
        <f>SUMIF($AB$39:$AB$40,"시비",$AD$39:$AD$40)/1000</f>
        <v>0</v>
      </c>
      <c r="I38" s="114">
        <f>SUMIF($AB$39:$AB$40,"후원",$AD$39:$AD$40)/1000</f>
        <v>50</v>
      </c>
      <c r="J38" s="114">
        <f>SUMIF($AB$39:$AB$40,"입소",$AD$39:$AD$40)/1000</f>
        <v>0</v>
      </c>
      <c r="K38" s="114">
        <f>SUMIF($AB$39:$AB$40,"법인",$AD$39:$AD$40)/1000</f>
        <v>0</v>
      </c>
      <c r="L38" s="114">
        <f>SUMIF($AB$39:$AB$40,"잡수",$AD$39:$AD$40)/1000</f>
        <v>0</v>
      </c>
      <c r="M38" s="113">
        <f>E38-D38</f>
        <v>107</v>
      </c>
      <c r="N38" s="121">
        <f>IF(D38=0,0,M38/D38)</f>
        <v>3.9747399702823177E-2</v>
      </c>
      <c r="O38" s="97" t="s">
        <v>35</v>
      </c>
      <c r="P38" s="177"/>
      <c r="Q38" s="156"/>
      <c r="R38" s="93"/>
      <c r="S38" s="93"/>
      <c r="T38" s="89"/>
      <c r="U38" s="89"/>
      <c r="V38" s="89"/>
      <c r="W38" s="286" t="s">
        <v>259</v>
      </c>
      <c r="X38" s="286"/>
      <c r="Y38" s="286"/>
      <c r="Z38" s="286"/>
      <c r="AA38" s="286"/>
      <c r="AB38" s="286"/>
      <c r="AC38" s="180" t="s">
        <v>260</v>
      </c>
      <c r="AD38" s="180">
        <f>ROUND(SUM(AD39:AD40),-3)</f>
        <v>2799000</v>
      </c>
      <c r="AE38" s="179" t="s">
        <v>261</v>
      </c>
      <c r="AF38" s="2"/>
    </row>
    <row r="39" spans="1:32" s="11" customFormat="1" ht="21" customHeight="1">
      <c r="A39" s="45"/>
      <c r="B39" s="46"/>
      <c r="C39" s="46"/>
      <c r="D39" s="163"/>
      <c r="E39" s="109"/>
      <c r="F39" s="109"/>
      <c r="G39" s="109"/>
      <c r="H39" s="109"/>
      <c r="I39" s="109"/>
      <c r="J39" s="109"/>
      <c r="K39" s="109"/>
      <c r="L39" s="109"/>
      <c r="M39" s="115"/>
      <c r="N39" s="70"/>
      <c r="O39" s="291"/>
      <c r="P39" s="291"/>
      <c r="Q39" s="291"/>
      <c r="R39" s="291"/>
      <c r="S39" s="289">
        <f>SUM(AD7,AD15)-AD35+158520</f>
        <v>32974520</v>
      </c>
      <c r="T39" s="427" t="s">
        <v>301</v>
      </c>
      <c r="U39" s="427" t="s">
        <v>312</v>
      </c>
      <c r="V39" s="483">
        <v>12</v>
      </c>
      <c r="W39" s="426" t="s">
        <v>302</v>
      </c>
      <c r="X39" s="289"/>
      <c r="Y39" s="289"/>
      <c r="Z39" s="289"/>
      <c r="AA39" s="289" t="s">
        <v>305</v>
      </c>
      <c r="AB39" s="289" t="s">
        <v>368</v>
      </c>
      <c r="AC39" s="292"/>
      <c r="AD39" s="292">
        <f>ROUNDUP(S39/V39+210,-3)</f>
        <v>2749000</v>
      </c>
      <c r="AE39" s="396" t="s">
        <v>301</v>
      </c>
      <c r="AF39" s="2"/>
    </row>
    <row r="40" spans="1:32" s="11" customFormat="1" ht="21" customHeight="1">
      <c r="A40" s="45"/>
      <c r="B40" s="46"/>
      <c r="C40" s="46"/>
      <c r="D40" s="163"/>
      <c r="E40" s="109"/>
      <c r="F40" s="109"/>
      <c r="G40" s="109"/>
      <c r="H40" s="109"/>
      <c r="I40" s="109"/>
      <c r="J40" s="109"/>
      <c r="K40" s="109"/>
      <c r="L40" s="109"/>
      <c r="M40" s="115"/>
      <c r="N40" s="70"/>
      <c r="O40" s="291"/>
      <c r="P40" s="291"/>
      <c r="Q40" s="291"/>
      <c r="R40" s="291"/>
      <c r="S40" s="289">
        <f>SUM(AD27,AD35)</f>
        <v>600000</v>
      </c>
      <c r="T40" s="427" t="s">
        <v>57</v>
      </c>
      <c r="U40" s="427" t="s">
        <v>71</v>
      </c>
      <c r="V40" s="483">
        <v>12</v>
      </c>
      <c r="W40" s="426" t="s">
        <v>0</v>
      </c>
      <c r="X40" s="289"/>
      <c r="Y40" s="289"/>
      <c r="Z40" s="289"/>
      <c r="AA40" s="289" t="s">
        <v>53</v>
      </c>
      <c r="AB40" s="289" t="s">
        <v>561</v>
      </c>
      <c r="AC40" s="292"/>
      <c r="AD40" s="292">
        <f>ROUND(S40/V40,-3)</f>
        <v>50000</v>
      </c>
      <c r="AE40" s="396" t="s">
        <v>57</v>
      </c>
      <c r="AF40" s="2"/>
    </row>
    <row r="41" spans="1:32" s="11" customFormat="1" ht="21" customHeight="1">
      <c r="A41" s="45"/>
      <c r="B41" s="46"/>
      <c r="C41" s="46"/>
      <c r="D41" s="164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32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122" t="s">
        <v>81</v>
      </c>
      <c r="D42" s="162">
        <v>3349</v>
      </c>
      <c r="E42" s="114">
        <f>AD42/1000</f>
        <v>3123</v>
      </c>
      <c r="F42" s="114">
        <f>SUMIF($AB$45:$AB$66,"보조",$AD$45:$AD$66)/1000</f>
        <v>2753</v>
      </c>
      <c r="G42" s="114">
        <f>SUMIF($AB$45:$AB$66,"7종",$AD$45:$AD$66)/1000</f>
        <v>0</v>
      </c>
      <c r="H42" s="114">
        <f>SUMIF($AB$45:$AB$66,"시비",$AD$45:$AD$66)/1000</f>
        <v>0</v>
      </c>
      <c r="I42" s="114">
        <f>SUMIF($AB$45:$AB$66,"후원",$AD$45:$AD$66)/1000</f>
        <v>370</v>
      </c>
      <c r="J42" s="114">
        <f>SUMIF($AB$45:$AB$66,"입소",$AD$45:$AD$66)/1000</f>
        <v>0</v>
      </c>
      <c r="K42" s="114">
        <f>SUMIF($AB$45:$AB$66,"법인",$AD$45:$AD$66)/1000</f>
        <v>0</v>
      </c>
      <c r="L42" s="114">
        <f>SUMIF($AB$45:$AB$66,"잡수",$AD$45:$AD$66)/1000</f>
        <v>0</v>
      </c>
      <c r="M42" s="123">
        <f>E42-D42</f>
        <v>-226</v>
      </c>
      <c r="N42" s="121">
        <f>IF(D42=0,0,M42/D42)</f>
        <v>-6.7482830695730064E-2</v>
      </c>
      <c r="O42" s="97" t="s">
        <v>36</v>
      </c>
      <c r="P42" s="177"/>
      <c r="Q42" s="93"/>
      <c r="R42" s="93"/>
      <c r="S42" s="93"/>
      <c r="T42" s="89"/>
      <c r="U42" s="89"/>
      <c r="V42" s="89"/>
      <c r="W42" s="178" t="s">
        <v>134</v>
      </c>
      <c r="X42" s="178"/>
      <c r="Y42" s="178"/>
      <c r="Z42" s="178"/>
      <c r="AA42" s="178"/>
      <c r="AB42" s="178"/>
      <c r="AC42" s="180"/>
      <c r="AD42" s="180">
        <f>SUM(AD44,AD48,AD52,AD56,AD60,AD64)</f>
        <v>3123000</v>
      </c>
      <c r="AE42" s="179" t="s">
        <v>25</v>
      </c>
    </row>
    <row r="43" spans="1:32" s="11" customFormat="1" ht="21" customHeight="1">
      <c r="A43" s="45"/>
      <c r="B43" s="46"/>
      <c r="C43" s="46" t="s">
        <v>135</v>
      </c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159"/>
      <c r="P43" s="32"/>
      <c r="Q43" s="32"/>
      <c r="R43" s="32"/>
      <c r="S43" s="32"/>
      <c r="T43" s="33"/>
      <c r="U43" s="33"/>
      <c r="V43" s="33"/>
      <c r="W43" s="33"/>
      <c r="X43" s="33"/>
      <c r="Y43" s="33"/>
      <c r="Z43" s="33"/>
      <c r="AA43" s="33"/>
      <c r="AB43" s="33"/>
      <c r="AC43" s="52"/>
      <c r="AD43" s="52"/>
      <c r="AE43" s="34"/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475" t="s">
        <v>316</v>
      </c>
      <c r="P44" s="291"/>
      <c r="Q44" s="291"/>
      <c r="R44" s="291"/>
      <c r="S44" s="291"/>
      <c r="T44" s="289"/>
      <c r="U44" s="289"/>
      <c r="V44" s="289"/>
      <c r="W44" s="447" t="s">
        <v>307</v>
      </c>
      <c r="X44" s="447"/>
      <c r="Y44" s="447"/>
      <c r="Z44" s="447"/>
      <c r="AA44" s="447"/>
      <c r="AB44" s="447"/>
      <c r="AC44" s="448"/>
      <c r="AD44" s="448">
        <f>ROUND(SUM(AD45:AD46),-3)</f>
        <v>1361000</v>
      </c>
      <c r="AE44" s="449" t="s">
        <v>301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1"/>
      <c r="P45" s="291"/>
      <c r="Q45" s="291"/>
      <c r="R45" s="291"/>
      <c r="S45" s="289">
        <f>S39</f>
        <v>32974520</v>
      </c>
      <c r="T45" s="427" t="s">
        <v>301</v>
      </c>
      <c r="U45" s="426" t="s">
        <v>304</v>
      </c>
      <c r="V45" s="484">
        <v>0.09</v>
      </c>
      <c r="W45" s="427" t="s">
        <v>312</v>
      </c>
      <c r="X45" s="485">
        <v>2</v>
      </c>
      <c r="Y45" s="429"/>
      <c r="Z45" s="429"/>
      <c r="AA45" s="427" t="s">
        <v>305</v>
      </c>
      <c r="AB45" s="289" t="s">
        <v>368</v>
      </c>
      <c r="AC45" s="292"/>
      <c r="AD45" s="292">
        <f>ROUND(S45*V45/X45-321940,-3)</f>
        <v>1162000</v>
      </c>
      <c r="AE45" s="396" t="s">
        <v>301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289">
        <f>S40</f>
        <v>600000</v>
      </c>
      <c r="T46" s="427" t="s">
        <v>127</v>
      </c>
      <c r="U46" s="426" t="s">
        <v>290</v>
      </c>
      <c r="V46" s="484">
        <v>0.09</v>
      </c>
      <c r="W46" s="427" t="s">
        <v>71</v>
      </c>
      <c r="X46" s="485">
        <v>2</v>
      </c>
      <c r="Y46" s="429"/>
      <c r="Z46" s="429"/>
      <c r="AA46" s="427" t="s">
        <v>235</v>
      </c>
      <c r="AB46" s="289" t="s">
        <v>565</v>
      </c>
      <c r="AC46" s="292"/>
      <c r="AD46" s="292">
        <f>ROUNDDOWN(S46*V46/X46,-3)+172000</f>
        <v>199000</v>
      </c>
      <c r="AE46" s="396" t="s">
        <v>127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289"/>
      <c r="T47" s="427"/>
      <c r="U47" s="426"/>
      <c r="V47" s="484"/>
      <c r="W47" s="427"/>
      <c r="X47" s="485"/>
      <c r="Y47" s="429"/>
      <c r="Z47" s="429"/>
      <c r="AA47" s="427"/>
      <c r="AB47" s="289"/>
      <c r="AC47" s="292"/>
      <c r="AD47" s="292"/>
      <c r="AE47" s="396"/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475" t="s">
        <v>318</v>
      </c>
      <c r="P48" s="291"/>
      <c r="Q48" s="291"/>
      <c r="R48" s="291"/>
      <c r="S48" s="291"/>
      <c r="T48" s="289"/>
      <c r="U48" s="289"/>
      <c r="V48" s="289"/>
      <c r="W48" s="447" t="s">
        <v>306</v>
      </c>
      <c r="X48" s="447"/>
      <c r="Y48" s="447"/>
      <c r="Z48" s="447"/>
      <c r="AA48" s="447"/>
      <c r="AB48" s="447"/>
      <c r="AC48" s="448" t="s">
        <v>315</v>
      </c>
      <c r="AD48" s="448">
        <f>ROUND(SUM(AD49:AD50),-3)</f>
        <v>1117000</v>
      </c>
      <c r="AE48" s="449" t="s">
        <v>303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>
        <f>S45</f>
        <v>32974520</v>
      </c>
      <c r="T49" s="427" t="s">
        <v>303</v>
      </c>
      <c r="U49" s="426" t="s">
        <v>317</v>
      </c>
      <c r="V49" s="486">
        <v>6.1199999999999997E-2</v>
      </c>
      <c r="W49" s="427" t="s">
        <v>313</v>
      </c>
      <c r="X49" s="487">
        <v>2</v>
      </c>
      <c r="Y49" s="429"/>
      <c r="Z49" s="429"/>
      <c r="AA49" s="427" t="s">
        <v>314</v>
      </c>
      <c r="AB49" s="289" t="s">
        <v>368</v>
      </c>
      <c r="AC49" s="292"/>
      <c r="AD49" s="292">
        <f>ROUND(S49*V49/X49-10310,-3)</f>
        <v>999000</v>
      </c>
      <c r="AE49" s="396" t="s">
        <v>303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89">
        <f>S46</f>
        <v>600000</v>
      </c>
      <c r="T50" s="427" t="s">
        <v>127</v>
      </c>
      <c r="U50" s="426" t="s">
        <v>290</v>
      </c>
      <c r="V50" s="486">
        <v>6.1199999999999997E-2</v>
      </c>
      <c r="W50" s="427" t="s">
        <v>71</v>
      </c>
      <c r="X50" s="487">
        <v>2</v>
      </c>
      <c r="Y50" s="429"/>
      <c r="Z50" s="429"/>
      <c r="AA50" s="427" t="s">
        <v>235</v>
      </c>
      <c r="AB50" s="289" t="s">
        <v>565</v>
      </c>
      <c r="AC50" s="292"/>
      <c r="AD50" s="292">
        <f>ROUNDDOWN(S50*V50/X50,-3)+100000</f>
        <v>118000</v>
      </c>
      <c r="AE50" s="396" t="s">
        <v>127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1"/>
      <c r="P51" s="291"/>
      <c r="Q51" s="291"/>
      <c r="R51" s="291"/>
      <c r="S51" s="289"/>
      <c r="T51" s="427"/>
      <c r="U51" s="426"/>
      <c r="V51" s="486"/>
      <c r="W51" s="427"/>
      <c r="X51" s="487"/>
      <c r="Y51" s="429"/>
      <c r="Z51" s="429"/>
      <c r="AA51" s="427"/>
      <c r="AB51" s="289"/>
      <c r="AC51" s="292"/>
      <c r="AD51" s="292"/>
      <c r="AE51" s="396"/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475" t="s">
        <v>319</v>
      </c>
      <c r="P52" s="291"/>
      <c r="Q52" s="291"/>
      <c r="R52" s="291"/>
      <c r="S52" s="291"/>
      <c r="T52" s="289"/>
      <c r="U52" s="289"/>
      <c r="V52" s="289"/>
      <c r="W52" s="447" t="s">
        <v>306</v>
      </c>
      <c r="X52" s="447"/>
      <c r="Y52" s="447"/>
      <c r="Z52" s="447"/>
      <c r="AA52" s="447"/>
      <c r="AB52" s="447"/>
      <c r="AC52" s="448" t="s">
        <v>315</v>
      </c>
      <c r="AD52" s="448">
        <f>ROUNDUP(SUM(AD53:AD54),-3)</f>
        <v>67000</v>
      </c>
      <c r="AE52" s="449" t="s">
        <v>303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488">
        <f>AD49</f>
        <v>999000</v>
      </c>
      <c r="T53" s="427" t="s">
        <v>303</v>
      </c>
      <c r="U53" s="426" t="s">
        <v>317</v>
      </c>
      <c r="V53" s="486">
        <v>6.5500000000000003E-2</v>
      </c>
      <c r="W53" s="426"/>
      <c r="X53" s="428"/>
      <c r="Y53" s="429"/>
      <c r="Z53" s="429"/>
      <c r="AA53" s="427" t="s">
        <v>314</v>
      </c>
      <c r="AB53" s="289" t="s">
        <v>368</v>
      </c>
      <c r="AC53" s="292"/>
      <c r="AD53" s="292">
        <f>ROUND(S53*V53-5540,-3)</f>
        <v>60000</v>
      </c>
      <c r="AE53" s="396" t="s">
        <v>303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488">
        <f>AD50</f>
        <v>118000</v>
      </c>
      <c r="T54" s="427" t="s">
        <v>127</v>
      </c>
      <c r="U54" s="426" t="s">
        <v>290</v>
      </c>
      <c r="V54" s="486">
        <v>6.5500000000000003E-2</v>
      </c>
      <c r="W54" s="426"/>
      <c r="X54" s="428"/>
      <c r="Y54" s="429"/>
      <c r="Z54" s="429"/>
      <c r="AA54" s="427" t="s">
        <v>235</v>
      </c>
      <c r="AB54" s="289" t="s">
        <v>565</v>
      </c>
      <c r="AC54" s="292"/>
      <c r="AD54" s="292">
        <f>ROUNDDOWN(S54*V54,-3)</f>
        <v>7000</v>
      </c>
      <c r="AE54" s="396" t="s">
        <v>127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488"/>
      <c r="T55" s="427"/>
      <c r="U55" s="426"/>
      <c r="V55" s="486"/>
      <c r="W55" s="426"/>
      <c r="X55" s="428"/>
      <c r="Y55" s="429"/>
      <c r="Z55" s="429"/>
      <c r="AA55" s="427"/>
      <c r="AB55" s="289"/>
      <c r="AC55" s="292"/>
      <c r="AD55" s="292"/>
      <c r="AE55" s="396"/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475" t="s">
        <v>320</v>
      </c>
      <c r="P56" s="291"/>
      <c r="Q56" s="291"/>
      <c r="R56" s="291"/>
      <c r="S56" s="291"/>
      <c r="T56" s="289"/>
      <c r="U56" s="289"/>
      <c r="V56" s="289"/>
      <c r="W56" s="447" t="s">
        <v>306</v>
      </c>
      <c r="X56" s="447"/>
      <c r="Y56" s="447"/>
      <c r="Z56" s="447"/>
      <c r="AA56" s="447"/>
      <c r="AB56" s="447"/>
      <c r="AC56" s="448" t="s">
        <v>315</v>
      </c>
      <c r="AD56" s="448">
        <f>ROUND(SUM(AD57:AD58),-3)</f>
        <v>313000</v>
      </c>
      <c r="AE56" s="449" t="s">
        <v>303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1"/>
      <c r="P57" s="291"/>
      <c r="Q57" s="291"/>
      <c r="R57" s="291"/>
      <c r="S57" s="289">
        <f>S49</f>
        <v>32974520</v>
      </c>
      <c r="T57" s="427" t="s">
        <v>303</v>
      </c>
      <c r="U57" s="426" t="s">
        <v>317</v>
      </c>
      <c r="V57" s="486">
        <v>8.9999999999999993E-3</v>
      </c>
      <c r="W57" s="426"/>
      <c r="X57" s="428"/>
      <c r="Y57" s="429"/>
      <c r="Z57" s="429"/>
      <c r="AA57" s="427" t="s">
        <v>314</v>
      </c>
      <c r="AB57" s="289" t="s">
        <v>368</v>
      </c>
      <c r="AC57" s="292"/>
      <c r="AD57" s="292">
        <f>ROUNDDOWN(S57*V57-8040,-3)</f>
        <v>288000</v>
      </c>
      <c r="AE57" s="396" t="s">
        <v>303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91"/>
      <c r="P58" s="291"/>
      <c r="Q58" s="291"/>
      <c r="R58" s="291"/>
      <c r="S58" s="289">
        <f>S50</f>
        <v>600000</v>
      </c>
      <c r="T58" s="427" t="s">
        <v>127</v>
      </c>
      <c r="U58" s="426" t="s">
        <v>290</v>
      </c>
      <c r="V58" s="486">
        <v>8.9999999999999993E-3</v>
      </c>
      <c r="W58" s="426"/>
      <c r="X58" s="428"/>
      <c r="Y58" s="429"/>
      <c r="Z58" s="429"/>
      <c r="AA58" s="427" t="s">
        <v>235</v>
      </c>
      <c r="AB58" s="289" t="s">
        <v>565</v>
      </c>
      <c r="AC58" s="292"/>
      <c r="AD58" s="292">
        <f>ROUNDDOWN(S58*V58,-3)+20000</f>
        <v>25000</v>
      </c>
      <c r="AE58" s="396" t="s">
        <v>127</v>
      </c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291"/>
      <c r="P59" s="291"/>
      <c r="Q59" s="291"/>
      <c r="R59" s="291"/>
      <c r="S59" s="289"/>
      <c r="T59" s="427"/>
      <c r="U59" s="426"/>
      <c r="V59" s="486"/>
      <c r="W59" s="426"/>
      <c r="X59" s="428"/>
      <c r="Y59" s="429"/>
      <c r="Z59" s="429"/>
      <c r="AA59" s="427"/>
      <c r="AB59" s="289"/>
      <c r="AC59" s="292"/>
      <c r="AD59" s="292"/>
      <c r="AE59" s="396"/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475" t="s">
        <v>321</v>
      </c>
      <c r="P60" s="291"/>
      <c r="Q60" s="291"/>
      <c r="R60" s="291"/>
      <c r="S60" s="291"/>
      <c r="T60" s="289"/>
      <c r="U60" s="289"/>
      <c r="V60" s="289"/>
      <c r="W60" s="447" t="s">
        <v>306</v>
      </c>
      <c r="X60" s="447"/>
      <c r="Y60" s="447"/>
      <c r="Z60" s="447"/>
      <c r="AA60" s="447"/>
      <c r="AB60" s="447"/>
      <c r="AC60" s="448" t="s">
        <v>315</v>
      </c>
      <c r="AD60" s="448">
        <f>ROUND(SUM(AD61:AD62),-3)</f>
        <v>265000</v>
      </c>
      <c r="AE60" s="449" t="s">
        <v>303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91"/>
      <c r="P61" s="291"/>
      <c r="Q61" s="291"/>
      <c r="R61" s="291"/>
      <c r="S61" s="289">
        <f>S57</f>
        <v>32974520</v>
      </c>
      <c r="T61" s="427" t="s">
        <v>303</v>
      </c>
      <c r="U61" s="426" t="s">
        <v>317</v>
      </c>
      <c r="V61" s="489">
        <v>7.6E-3</v>
      </c>
      <c r="W61" s="426"/>
      <c r="X61" s="428"/>
      <c r="Y61" s="429"/>
      <c r="Z61" s="429"/>
      <c r="AA61" s="427" t="s">
        <v>314</v>
      </c>
      <c r="AB61" s="289" t="s">
        <v>368</v>
      </c>
      <c r="AC61" s="292"/>
      <c r="AD61" s="292">
        <f>ROUND(S61*V61-6770,-3)</f>
        <v>244000</v>
      </c>
      <c r="AE61" s="396" t="s">
        <v>303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91"/>
      <c r="P62" s="291"/>
      <c r="Q62" s="291"/>
      <c r="R62" s="291"/>
      <c r="S62" s="289">
        <f>S58</f>
        <v>600000</v>
      </c>
      <c r="T62" s="427" t="s">
        <v>127</v>
      </c>
      <c r="U62" s="426" t="s">
        <v>290</v>
      </c>
      <c r="V62" s="489">
        <v>7.6E-3</v>
      </c>
      <c r="W62" s="426"/>
      <c r="X62" s="428"/>
      <c r="Y62" s="429"/>
      <c r="Z62" s="429"/>
      <c r="AA62" s="427" t="s">
        <v>235</v>
      </c>
      <c r="AB62" s="289" t="s">
        <v>565</v>
      </c>
      <c r="AC62" s="292"/>
      <c r="AD62" s="292">
        <f>ROUNDDOWN(S62*V62,-3)+17000</f>
        <v>21000</v>
      </c>
      <c r="AE62" s="396" t="s">
        <v>127</v>
      </c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291"/>
      <c r="P63" s="291"/>
      <c r="Q63" s="291"/>
      <c r="R63" s="291"/>
      <c r="S63" s="289"/>
      <c r="T63" s="427"/>
      <c r="U63" s="426"/>
      <c r="V63" s="489"/>
      <c r="W63" s="426"/>
      <c r="X63" s="428"/>
      <c r="Y63" s="429"/>
      <c r="Z63" s="429"/>
      <c r="AA63" s="427"/>
      <c r="AB63" s="289"/>
      <c r="AC63" s="292"/>
      <c r="AD63" s="292"/>
      <c r="AE63" s="396"/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475" t="s">
        <v>570</v>
      </c>
      <c r="P64" s="291"/>
      <c r="Q64" s="291"/>
      <c r="R64" s="291"/>
      <c r="S64" s="291"/>
      <c r="T64" s="289"/>
      <c r="U64" s="289"/>
      <c r="V64" s="289"/>
      <c r="W64" s="447" t="s">
        <v>259</v>
      </c>
      <c r="X64" s="447"/>
      <c r="Y64" s="447"/>
      <c r="Z64" s="447"/>
      <c r="AA64" s="447"/>
      <c r="AB64" s="447" t="s">
        <v>571</v>
      </c>
      <c r="AC64" s="448" t="s">
        <v>260</v>
      </c>
      <c r="AD64" s="448">
        <v>0</v>
      </c>
      <c r="AE64" s="449" t="s">
        <v>127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91"/>
      <c r="P65" s="291"/>
      <c r="Q65" s="291"/>
      <c r="R65" s="291"/>
      <c r="S65" s="291"/>
      <c r="T65" s="289"/>
      <c r="U65" s="289"/>
      <c r="V65" s="289"/>
      <c r="W65" s="289"/>
      <c r="X65" s="289"/>
      <c r="Y65" s="289"/>
      <c r="Z65" s="289"/>
      <c r="AA65" s="289"/>
      <c r="AB65" s="289"/>
      <c r="AC65" s="292"/>
      <c r="AD65" s="292"/>
      <c r="AE65" s="396"/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91"/>
      <c r="P66" s="291"/>
      <c r="Q66" s="291"/>
      <c r="R66" s="291"/>
      <c r="S66" s="291"/>
      <c r="T66" s="289"/>
      <c r="U66" s="289"/>
      <c r="V66" s="289"/>
      <c r="W66" s="289"/>
      <c r="X66" s="289"/>
      <c r="Y66" s="289"/>
      <c r="Z66" s="289"/>
      <c r="AA66" s="289"/>
      <c r="AB66" s="289"/>
      <c r="AC66" s="292"/>
      <c r="AD66" s="292"/>
      <c r="AE66" s="396"/>
      <c r="AF66" s="2"/>
    </row>
    <row r="67" spans="1:32" s="11" customFormat="1" ht="21" customHeight="1">
      <c r="A67" s="45"/>
      <c r="B67" s="46"/>
      <c r="C67" s="36" t="s">
        <v>82</v>
      </c>
      <c r="D67" s="162">
        <v>70</v>
      </c>
      <c r="E67" s="114">
        <f>AD67/1000</f>
        <v>70</v>
      </c>
      <c r="F67" s="114">
        <f>SUMIF($AB$68:$AB$72,"보조",$AD$68:$AD$72)/1000</f>
        <v>40</v>
      </c>
      <c r="G67" s="114">
        <f>SUMIF($AB$68:$AB$72,"7종",$AD$68:$AD$72)/1000</f>
        <v>0</v>
      </c>
      <c r="H67" s="114">
        <f>SUMIF($AB$68:$AB$72,"시비",$AD$68:$AD$72)/1000</f>
        <v>0</v>
      </c>
      <c r="I67" s="114">
        <f>SUMIF($AB$68:$AB$72,"후원",$AD$68:$AD$72)/1000</f>
        <v>30</v>
      </c>
      <c r="J67" s="114">
        <f>SUMIF($AB$68:$AB$72,"입소",$AD$68:$AD$72)/1000</f>
        <v>0</v>
      </c>
      <c r="K67" s="114">
        <f>SUMIF($AB$68:$AB$72,"법인",$AD$68:$AD$72)/1000</f>
        <v>0</v>
      </c>
      <c r="L67" s="114">
        <f>SUMIF($AB$68:$AB$72,"잡수",$AD$68:$AD$72)/1000</f>
        <v>0</v>
      </c>
      <c r="M67" s="113">
        <f>E67-D67</f>
        <v>0</v>
      </c>
      <c r="N67" s="121">
        <f>IF(D67=0,0,M67/D67)</f>
        <v>0</v>
      </c>
      <c r="O67" s="97" t="s">
        <v>83</v>
      </c>
      <c r="P67" s="177"/>
      <c r="Q67" s="93"/>
      <c r="R67" s="93"/>
      <c r="S67" s="93"/>
      <c r="T67" s="89"/>
      <c r="U67" s="89"/>
      <c r="V67" s="89"/>
      <c r="W67" s="178" t="s">
        <v>134</v>
      </c>
      <c r="X67" s="178"/>
      <c r="Y67" s="178"/>
      <c r="Z67" s="178"/>
      <c r="AA67" s="178"/>
      <c r="AB67" s="178"/>
      <c r="AC67" s="180"/>
      <c r="AD67" s="180">
        <f>SUM(AD68:AD71)</f>
        <v>70000</v>
      </c>
      <c r="AE67" s="179" t="s">
        <v>25</v>
      </c>
      <c r="AF67" s="21"/>
    </row>
    <row r="68" spans="1:32" s="11" customFormat="1" ht="21" customHeight="1">
      <c r="A68" s="45"/>
      <c r="B68" s="46"/>
      <c r="C68" s="46" t="s">
        <v>137</v>
      </c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559" t="s">
        <v>369</v>
      </c>
      <c r="P68" s="559"/>
      <c r="Q68" s="559"/>
      <c r="R68" s="559"/>
      <c r="S68" s="558">
        <v>300000</v>
      </c>
      <c r="T68" s="384" t="s">
        <v>370</v>
      </c>
      <c r="U68" s="490" t="s">
        <v>371</v>
      </c>
      <c r="V68" s="492">
        <v>0</v>
      </c>
      <c r="W68" s="490" t="s">
        <v>372</v>
      </c>
      <c r="X68" s="493"/>
      <c r="Y68" s="76"/>
      <c r="Z68" s="76"/>
      <c r="AA68" s="384" t="s">
        <v>373</v>
      </c>
      <c r="AB68" s="558" t="s">
        <v>374</v>
      </c>
      <c r="AC68" s="136"/>
      <c r="AD68" s="136">
        <f>ROUNDUP(S68*V68,-3)</f>
        <v>0</v>
      </c>
      <c r="AE68" s="137" t="s">
        <v>370</v>
      </c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587" t="s">
        <v>530</v>
      </c>
      <c r="P69" s="587"/>
      <c r="Q69" s="587"/>
      <c r="R69" s="587"/>
      <c r="S69" s="586">
        <v>50000</v>
      </c>
      <c r="T69" s="384" t="s">
        <v>531</v>
      </c>
      <c r="U69" s="490" t="s">
        <v>58</v>
      </c>
      <c r="V69" s="492">
        <v>1</v>
      </c>
      <c r="W69" s="490" t="s">
        <v>56</v>
      </c>
      <c r="X69" s="493"/>
      <c r="Y69" s="76"/>
      <c r="Z69" s="76"/>
      <c r="AA69" s="384"/>
      <c r="AB69" s="586" t="s">
        <v>564</v>
      </c>
      <c r="AC69" s="136"/>
      <c r="AD69" s="136">
        <f>ROUNDUP(S69*V69,-3)-10000</f>
        <v>40000</v>
      </c>
      <c r="AE69" s="137" t="s">
        <v>531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587"/>
      <c r="P70" s="587"/>
      <c r="Q70" s="587"/>
      <c r="R70" s="587"/>
      <c r="S70" s="586"/>
      <c r="T70" s="384"/>
      <c r="U70" s="490"/>
      <c r="V70" s="492"/>
      <c r="W70" s="490"/>
      <c r="X70" s="493"/>
      <c r="Y70" s="76"/>
      <c r="Z70" s="76"/>
      <c r="AA70" s="384"/>
      <c r="AB70" s="586" t="s">
        <v>565</v>
      </c>
      <c r="AC70" s="136"/>
      <c r="AD70" s="136">
        <v>10000</v>
      </c>
      <c r="AE70" s="137" t="s">
        <v>566</v>
      </c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579" t="s">
        <v>375</v>
      </c>
      <c r="P71" s="579"/>
      <c r="Q71" s="579"/>
      <c r="R71" s="579"/>
      <c r="S71" s="578">
        <v>20000</v>
      </c>
      <c r="T71" s="384" t="s">
        <v>57</v>
      </c>
      <c r="U71" s="490" t="s">
        <v>58</v>
      </c>
      <c r="V71" s="492">
        <v>1</v>
      </c>
      <c r="W71" s="490" t="s">
        <v>56</v>
      </c>
      <c r="X71" s="493"/>
      <c r="Y71" s="76"/>
      <c r="Z71" s="76"/>
      <c r="AA71" s="384" t="s">
        <v>53</v>
      </c>
      <c r="AB71" s="578" t="s">
        <v>376</v>
      </c>
      <c r="AC71" s="136"/>
      <c r="AD71" s="136">
        <f>ROUNDUP(S71*V71,-3)</f>
        <v>20000</v>
      </c>
      <c r="AE71" s="137" t="s">
        <v>57</v>
      </c>
      <c r="AF71" s="2"/>
    </row>
    <row r="72" spans="1:32" s="11" customFormat="1" ht="21" customHeight="1">
      <c r="A72" s="45"/>
      <c r="B72" s="59"/>
      <c r="C72" s="59"/>
      <c r="D72" s="161"/>
      <c r="E72" s="111"/>
      <c r="F72" s="111"/>
      <c r="G72" s="111"/>
      <c r="H72" s="111"/>
      <c r="I72" s="111"/>
      <c r="J72" s="111"/>
      <c r="K72" s="111"/>
      <c r="L72" s="111"/>
      <c r="M72" s="111"/>
      <c r="N72" s="84"/>
      <c r="O72" s="382"/>
      <c r="P72" s="382"/>
      <c r="Q72" s="382"/>
      <c r="R72" s="382"/>
      <c r="S72" s="494"/>
      <c r="T72" s="495"/>
      <c r="U72" s="495"/>
      <c r="V72" s="495"/>
      <c r="W72" s="494"/>
      <c r="X72" s="495"/>
      <c r="Y72" s="495"/>
      <c r="Z72" s="495"/>
      <c r="AA72" s="494"/>
      <c r="AB72" s="495"/>
      <c r="AC72" s="495"/>
      <c r="AD72" s="494"/>
      <c r="AE72" s="496"/>
      <c r="AF72" s="2"/>
    </row>
    <row r="73" spans="1:32" s="11" customFormat="1" ht="21" customHeight="1">
      <c r="A73" s="45"/>
      <c r="B73" s="46" t="s">
        <v>136</v>
      </c>
      <c r="C73" s="46" t="s">
        <v>5</v>
      </c>
      <c r="D73" s="109">
        <f>SUM(D74,D77,D79)</f>
        <v>400</v>
      </c>
      <c r="E73" s="109">
        <f>SUM(E74,E77,E79)</f>
        <v>400</v>
      </c>
      <c r="F73" s="109">
        <f t="shared" ref="F73:L73" si="9">SUM(F74,F77,F79)</f>
        <v>100</v>
      </c>
      <c r="G73" s="109">
        <f t="shared" si="9"/>
        <v>0</v>
      </c>
      <c r="H73" s="109">
        <f t="shared" si="9"/>
        <v>0</v>
      </c>
      <c r="I73" s="109">
        <f t="shared" si="9"/>
        <v>0</v>
      </c>
      <c r="J73" s="109">
        <f t="shared" si="9"/>
        <v>300</v>
      </c>
      <c r="K73" s="109">
        <f t="shared" si="9"/>
        <v>0</v>
      </c>
      <c r="L73" s="109">
        <f t="shared" si="9"/>
        <v>0</v>
      </c>
      <c r="M73" s="109">
        <f>E73-D73</f>
        <v>0</v>
      </c>
      <c r="N73" s="70">
        <f>IF(D73=0,0,M73/D73)</f>
        <v>0</v>
      </c>
      <c r="O73" s="187" t="s">
        <v>143</v>
      </c>
      <c r="P73" s="32"/>
      <c r="Q73" s="32"/>
      <c r="R73" s="32"/>
      <c r="S73" s="33"/>
      <c r="T73" s="33"/>
      <c r="U73" s="33"/>
      <c r="V73" s="33"/>
      <c r="W73" s="190"/>
      <c r="X73" s="190"/>
      <c r="Y73" s="190"/>
      <c r="Z73" s="190"/>
      <c r="AA73" s="190"/>
      <c r="AB73" s="190"/>
      <c r="AC73" s="94"/>
      <c r="AD73" s="94">
        <f>SUM(AD74,AD77,AD79)</f>
        <v>400000</v>
      </c>
      <c r="AE73" s="95" t="s">
        <v>25</v>
      </c>
      <c r="AF73" s="5"/>
    </row>
    <row r="74" spans="1:32" s="11" customFormat="1" ht="21" customHeight="1">
      <c r="A74" s="45"/>
      <c r="B74" s="46" t="s">
        <v>142</v>
      </c>
      <c r="C74" s="36" t="s">
        <v>10</v>
      </c>
      <c r="D74" s="162">
        <v>100</v>
      </c>
      <c r="E74" s="114">
        <f>AD74/1000</f>
        <v>100</v>
      </c>
      <c r="F74" s="113">
        <f>SUMIF($AB$75:$AB$76,"보조",$AD$75:$AD$76)/1000</f>
        <v>0</v>
      </c>
      <c r="G74" s="113">
        <f>SUMIF($AB$75:$AB$76,"7종",$AD$75:$AD$76)/1000</f>
        <v>0</v>
      </c>
      <c r="H74" s="113">
        <f>SUMIF($AB$75:$AB$76,"시비",$AD$75:$AD$76)/1000</f>
        <v>0</v>
      </c>
      <c r="I74" s="113">
        <f>SUMIF($AB$75:$AB$76,"후원",$AD$75:$AD$76)/1000</f>
        <v>0</v>
      </c>
      <c r="J74" s="113">
        <f>SUMIF($AB$75:$AB$76,"입소",$AD$75:$AD$76)/1000</f>
        <v>100</v>
      </c>
      <c r="K74" s="113">
        <f>SUMIF($AB$75:$AB$76,"법인",$AD$75:$AD$76)/1000</f>
        <v>0</v>
      </c>
      <c r="L74" s="113">
        <f>SUMIF($AB$75:$AB$76,"잡수",$AD$75:$AD$76)/1000</f>
        <v>0</v>
      </c>
      <c r="M74" s="113">
        <f>E74-D74</f>
        <v>0</v>
      </c>
      <c r="N74" s="121">
        <f>IF(D74=0,0,M74/D74)</f>
        <v>0</v>
      </c>
      <c r="O74" s="97" t="s">
        <v>37</v>
      </c>
      <c r="P74" s="151"/>
      <c r="Q74" s="166"/>
      <c r="R74" s="166"/>
      <c r="S74" s="166"/>
      <c r="T74" s="88"/>
      <c r="U74" s="88"/>
      <c r="V74" s="88"/>
      <c r="W74" s="88"/>
      <c r="X74" s="88"/>
      <c r="Y74" s="178" t="s">
        <v>145</v>
      </c>
      <c r="Z74" s="178"/>
      <c r="AA74" s="178"/>
      <c r="AB74" s="178"/>
      <c r="AC74" s="180"/>
      <c r="AD74" s="180">
        <f>AD75</f>
        <v>100000</v>
      </c>
      <c r="AE74" s="179" t="s">
        <v>25</v>
      </c>
    </row>
    <row r="75" spans="1:32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587" t="s">
        <v>387</v>
      </c>
      <c r="P75" s="477"/>
      <c r="Q75" s="477"/>
      <c r="R75" s="477"/>
      <c r="S75" s="476"/>
      <c r="T75" s="390"/>
      <c r="U75" s="390"/>
      <c r="V75" s="476"/>
      <c r="W75" s="477"/>
      <c r="X75" s="476"/>
      <c r="Y75" s="476"/>
      <c r="Z75" s="476"/>
      <c r="AA75" s="476"/>
      <c r="AB75" s="586" t="s">
        <v>562</v>
      </c>
      <c r="AC75" s="476"/>
      <c r="AD75" s="535">
        <v>100000</v>
      </c>
      <c r="AE75" s="137" t="s">
        <v>325</v>
      </c>
      <c r="AF75" s="2"/>
    </row>
    <row r="76" spans="1:32" s="11" customFormat="1" ht="21" customHeight="1">
      <c r="A76" s="45"/>
      <c r="B76" s="46"/>
      <c r="C76" s="59"/>
      <c r="D76" s="161"/>
      <c r="E76" s="111"/>
      <c r="F76" s="111"/>
      <c r="G76" s="111"/>
      <c r="H76" s="111"/>
      <c r="I76" s="111"/>
      <c r="J76" s="111"/>
      <c r="K76" s="111"/>
      <c r="L76" s="111"/>
      <c r="M76" s="111"/>
      <c r="N76" s="84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124"/>
      <c r="AF76" s="1"/>
    </row>
    <row r="77" spans="1:32" s="11" customFormat="1" ht="21" customHeight="1">
      <c r="A77" s="45"/>
      <c r="B77" s="46"/>
      <c r="C77" s="46" t="s">
        <v>11</v>
      </c>
      <c r="D77" s="160">
        <v>0</v>
      </c>
      <c r="E77" s="114">
        <f>AD77/1000</f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f>E77-D77</f>
        <v>0</v>
      </c>
      <c r="N77" s="70">
        <f>IF(D77=0,0,M77/D77)</f>
        <v>0</v>
      </c>
      <c r="O77" s="97" t="s">
        <v>144</v>
      </c>
      <c r="P77" s="177"/>
      <c r="Q77" s="32"/>
      <c r="R77" s="32"/>
      <c r="S77" s="32"/>
      <c r="T77" s="33"/>
      <c r="U77" s="33"/>
      <c r="V77" s="33"/>
      <c r="W77" s="33"/>
      <c r="X77" s="33"/>
      <c r="Y77" s="178" t="s">
        <v>145</v>
      </c>
      <c r="Z77" s="178"/>
      <c r="AA77" s="178"/>
      <c r="AB77" s="178"/>
      <c r="AC77" s="180"/>
      <c r="AD77" s="180">
        <v>0</v>
      </c>
      <c r="AE77" s="179" t="s">
        <v>25</v>
      </c>
      <c r="AF77" s="1"/>
    </row>
    <row r="78" spans="1:32" s="11" customFormat="1" ht="21" customHeight="1">
      <c r="A78" s="45"/>
      <c r="B78" s="46"/>
      <c r="C78" s="59"/>
      <c r="D78" s="161"/>
      <c r="E78" s="111"/>
      <c r="F78" s="111"/>
      <c r="G78" s="111"/>
      <c r="H78" s="111"/>
      <c r="I78" s="111"/>
      <c r="J78" s="111"/>
      <c r="K78" s="111"/>
      <c r="L78" s="111"/>
      <c r="M78" s="111"/>
      <c r="N78" s="84"/>
      <c r="O78" s="155"/>
      <c r="P78" s="81"/>
      <c r="Q78" s="81"/>
      <c r="R78" s="81"/>
      <c r="S78" s="80"/>
      <c r="T78" s="85"/>
      <c r="U78" s="85"/>
      <c r="V78" s="80"/>
      <c r="W78" s="81"/>
      <c r="X78" s="80"/>
      <c r="Y78" s="80"/>
      <c r="Z78" s="80"/>
      <c r="AA78" s="80"/>
      <c r="AB78" s="80"/>
      <c r="AC78" s="80"/>
      <c r="AD78" s="80"/>
      <c r="AE78" s="73"/>
      <c r="AF78" s="1"/>
    </row>
    <row r="79" spans="1:32" s="11" customFormat="1" ht="21" customHeight="1">
      <c r="A79" s="45"/>
      <c r="B79" s="46"/>
      <c r="C79" s="46" t="s">
        <v>84</v>
      </c>
      <c r="D79" s="160">
        <v>300</v>
      </c>
      <c r="E79" s="114">
        <f>AD79/1000</f>
        <v>300</v>
      </c>
      <c r="F79" s="109">
        <f>SUMIF($AB$80:$AB$82,"보조",$AD$80:$AD$82)/1000</f>
        <v>100</v>
      </c>
      <c r="G79" s="109">
        <v>0</v>
      </c>
      <c r="H79" s="109">
        <v>0</v>
      </c>
      <c r="I79" s="109">
        <f>SUMIF($AB$80:$AB$82,"후원",$AD$80:$AD$82)/1000</f>
        <v>0</v>
      </c>
      <c r="J79" s="109">
        <f>SUMIF($AB$80:$AB$82,"입소",$AD$80:$AD$82)/1000</f>
        <v>200</v>
      </c>
      <c r="K79" s="109">
        <f>SUMIF($AB$80:$AB$82,"법인",$AD$80:$AD$82)/1000</f>
        <v>0</v>
      </c>
      <c r="L79" s="109">
        <f>SUMIF($AB$80:$AB$82,"잡수",$AD$80:$AD$82)/1000</f>
        <v>0</v>
      </c>
      <c r="M79" s="109">
        <f>E79-D79</f>
        <v>0</v>
      </c>
      <c r="N79" s="70">
        <f>IF(D79=0,0,M79/D79)</f>
        <v>0</v>
      </c>
      <c r="O79" s="116" t="s">
        <v>38</v>
      </c>
      <c r="P79" s="32"/>
      <c r="Q79" s="32"/>
      <c r="R79" s="32"/>
      <c r="S79" s="32"/>
      <c r="T79" s="33"/>
      <c r="U79" s="33"/>
      <c r="V79" s="33"/>
      <c r="W79" s="33"/>
      <c r="X79" s="33"/>
      <c r="Y79" s="178" t="s">
        <v>145</v>
      </c>
      <c r="Z79" s="178"/>
      <c r="AA79" s="178"/>
      <c r="AB79" s="178"/>
      <c r="AC79" s="180"/>
      <c r="AD79" s="180">
        <f>SUM(AD80:AD82)</f>
        <v>300000</v>
      </c>
      <c r="AE79" s="179" t="s">
        <v>25</v>
      </c>
      <c r="AF79" s="1"/>
    </row>
    <row r="80" spans="1:32" s="14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605" t="s">
        <v>620</v>
      </c>
      <c r="P80" s="605"/>
      <c r="Q80" s="605"/>
      <c r="R80" s="605"/>
      <c r="S80" s="604">
        <v>50000</v>
      </c>
      <c r="T80" s="604" t="s">
        <v>621</v>
      </c>
      <c r="U80" s="605" t="s">
        <v>622</v>
      </c>
      <c r="V80" s="615">
        <v>2</v>
      </c>
      <c r="W80" s="605" t="s">
        <v>622</v>
      </c>
      <c r="X80" s="616">
        <v>1</v>
      </c>
      <c r="Y80" s="617"/>
      <c r="Z80" s="618"/>
      <c r="AA80" s="618" t="s">
        <v>623</v>
      </c>
      <c r="AB80" s="618" t="s">
        <v>624</v>
      </c>
      <c r="AC80" s="604"/>
      <c r="AD80" s="604">
        <f>S80*V80*X80</f>
        <v>100000</v>
      </c>
      <c r="AE80" s="606" t="s">
        <v>621</v>
      </c>
      <c r="AF80" s="4"/>
    </row>
    <row r="81" spans="1:34" s="14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605"/>
      <c r="P81" s="605"/>
      <c r="Q81" s="605"/>
      <c r="R81" s="605"/>
      <c r="S81" s="604">
        <v>50000</v>
      </c>
      <c r="T81" s="604" t="s">
        <v>609</v>
      </c>
      <c r="U81" s="605" t="s">
        <v>610</v>
      </c>
      <c r="V81" s="615">
        <v>2</v>
      </c>
      <c r="W81" s="605" t="s">
        <v>610</v>
      </c>
      <c r="X81" s="616">
        <v>1</v>
      </c>
      <c r="Y81" s="617"/>
      <c r="Z81" s="618"/>
      <c r="AA81" s="618" t="s">
        <v>611</v>
      </c>
      <c r="AB81" s="618" t="s">
        <v>626</v>
      </c>
      <c r="AC81" s="604"/>
      <c r="AD81" s="604">
        <f>S81*V81*X81</f>
        <v>100000</v>
      </c>
      <c r="AE81" s="606" t="s">
        <v>609</v>
      </c>
      <c r="AF81" s="4"/>
    </row>
    <row r="82" spans="1:34" s="14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605" t="s">
        <v>612</v>
      </c>
      <c r="P82" s="605"/>
      <c r="Q82" s="605"/>
      <c r="R82" s="605"/>
      <c r="S82" s="604">
        <v>25000</v>
      </c>
      <c r="T82" s="604" t="s">
        <v>609</v>
      </c>
      <c r="U82" s="605" t="s">
        <v>610</v>
      </c>
      <c r="V82" s="615">
        <v>4</v>
      </c>
      <c r="W82" s="604"/>
      <c r="X82" s="605"/>
      <c r="Y82" s="617"/>
      <c r="Z82" s="618"/>
      <c r="AA82" s="618" t="s">
        <v>611</v>
      </c>
      <c r="AB82" s="618" t="s">
        <v>626</v>
      </c>
      <c r="AC82" s="604"/>
      <c r="AD82" s="604">
        <f>S82*V82</f>
        <v>100000</v>
      </c>
      <c r="AE82" s="606" t="s">
        <v>609</v>
      </c>
      <c r="AF82" s="4"/>
    </row>
    <row r="83" spans="1:34" s="14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477"/>
      <c r="P83" s="477"/>
      <c r="Q83" s="477"/>
      <c r="R83" s="477"/>
      <c r="S83" s="476"/>
      <c r="T83" s="390"/>
      <c r="U83" s="390"/>
      <c r="V83" s="476"/>
      <c r="W83" s="477"/>
      <c r="X83" s="476"/>
      <c r="Y83" s="476"/>
      <c r="Z83" s="476"/>
      <c r="AA83" s="476"/>
      <c r="AB83" s="476"/>
      <c r="AC83" s="476"/>
      <c r="AD83" s="476"/>
      <c r="AE83" s="137"/>
      <c r="AF83" s="4"/>
    </row>
    <row r="84" spans="1:34" s="11" customFormat="1" ht="21" customHeight="1">
      <c r="A84" s="45"/>
      <c r="B84" s="36" t="s">
        <v>12</v>
      </c>
      <c r="C84" s="174" t="s">
        <v>5</v>
      </c>
      <c r="D84" s="175">
        <f t="shared" ref="D84:L84" si="10">SUM(D85,D88,D94,D101,D109,D113)</f>
        <v>10141</v>
      </c>
      <c r="E84" s="175">
        <f t="shared" si="10"/>
        <v>10306</v>
      </c>
      <c r="F84" s="175">
        <f t="shared" si="10"/>
        <v>7216</v>
      </c>
      <c r="G84" s="175">
        <f t="shared" si="10"/>
        <v>0</v>
      </c>
      <c r="H84" s="175">
        <f t="shared" si="10"/>
        <v>0</v>
      </c>
      <c r="I84" s="175">
        <f t="shared" si="10"/>
        <v>100</v>
      </c>
      <c r="J84" s="175">
        <f t="shared" si="10"/>
        <v>2990</v>
      </c>
      <c r="K84" s="175">
        <f t="shared" si="10"/>
        <v>0</v>
      </c>
      <c r="L84" s="175">
        <f t="shared" si="10"/>
        <v>0</v>
      </c>
      <c r="M84" s="175">
        <f>E84-D84</f>
        <v>165</v>
      </c>
      <c r="N84" s="176">
        <f>IF(D84=0,0,M84/D84)</f>
        <v>1.6270584754955134E-2</v>
      </c>
      <c r="O84" s="177" t="s">
        <v>147</v>
      </c>
      <c r="P84" s="177"/>
      <c r="Q84" s="177"/>
      <c r="R84" s="177"/>
      <c r="S84" s="178"/>
      <c r="T84" s="192"/>
      <c r="U84" s="178"/>
      <c r="V84" s="669"/>
      <c r="W84" s="670"/>
      <c r="X84" s="178"/>
      <c r="Y84" s="178"/>
      <c r="Z84" s="178"/>
      <c r="AA84" s="178"/>
      <c r="AB84" s="178"/>
      <c r="AC84" s="178"/>
      <c r="AD84" s="178">
        <f>SUM(AD85,AD88,AD94,AD101,AD109,AD113)</f>
        <v>10306000</v>
      </c>
      <c r="AE84" s="179" t="s">
        <v>25</v>
      </c>
      <c r="AF84" s="1"/>
    </row>
    <row r="85" spans="1:34" s="11" customFormat="1" ht="21" customHeight="1">
      <c r="A85" s="45"/>
      <c r="B85" s="46"/>
      <c r="C85" s="46" t="s">
        <v>85</v>
      </c>
      <c r="D85" s="160">
        <v>100</v>
      </c>
      <c r="E85" s="114">
        <f>AD85/1000</f>
        <v>100</v>
      </c>
      <c r="F85" s="109">
        <f>SUMIF($AB$86:$AB$87,"보조",$AD$86:$AD$87)/1000</f>
        <v>0</v>
      </c>
      <c r="G85" s="109">
        <f>SUMIF($AB$86:$AB$87,"7종",$AD$86:$AD$87)/1000</f>
        <v>0</v>
      </c>
      <c r="H85" s="109">
        <f>SUMIF($AB$86:$AB$87,"시비",$AD$86:$AD$87)/1000</f>
        <v>0</v>
      </c>
      <c r="I85" s="109">
        <f>SUMIF($AB$86:$AB$87,"후원",$AD$86:$AD$87)/1000</f>
        <v>100</v>
      </c>
      <c r="J85" s="109">
        <f>SUMIF($AB$86:$AB$87,"입소",$AD$86:$AD$87)/1000</f>
        <v>0</v>
      </c>
      <c r="K85" s="109">
        <f>SUMIF($AB$86:$AB$87,"법인",$AD$86:$AD$87)/1000</f>
        <v>0</v>
      </c>
      <c r="L85" s="109">
        <f>SUMIF($AB$86:$AB$87,"잡수",$AD$86:$AD$87)/1000</f>
        <v>0</v>
      </c>
      <c r="M85" s="109">
        <f>E85-D85</f>
        <v>0</v>
      </c>
      <c r="N85" s="70">
        <f>IF(D85=0,0,M85/D85)</f>
        <v>0</v>
      </c>
      <c r="O85" s="116" t="s">
        <v>40</v>
      </c>
      <c r="P85" s="32"/>
      <c r="Q85" s="32"/>
      <c r="R85" s="32"/>
      <c r="S85" s="32"/>
      <c r="T85" s="33"/>
      <c r="U85" s="33"/>
      <c r="V85" s="33"/>
      <c r="W85" s="33"/>
      <c r="X85" s="33"/>
      <c r="Y85" s="463" t="s">
        <v>145</v>
      </c>
      <c r="Z85" s="463"/>
      <c r="AA85" s="463"/>
      <c r="AB85" s="463"/>
      <c r="AC85" s="180"/>
      <c r="AD85" s="180">
        <f>SUM(AD86:AD86)</f>
        <v>100000</v>
      </c>
      <c r="AE85" s="179" t="s">
        <v>25</v>
      </c>
      <c r="AF85" s="20"/>
      <c r="AG85" s="19"/>
      <c r="AH85" s="19"/>
    </row>
    <row r="86" spans="1:34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 t="s">
        <v>295</v>
      </c>
      <c r="P86" s="291"/>
      <c r="Q86" s="291"/>
      <c r="R86" s="291"/>
      <c r="S86" s="289">
        <v>50000</v>
      </c>
      <c r="T86" s="430" t="s">
        <v>25</v>
      </c>
      <c r="U86" s="430" t="s">
        <v>26</v>
      </c>
      <c r="V86" s="289">
        <v>1</v>
      </c>
      <c r="W86" s="430" t="s">
        <v>148</v>
      </c>
      <c r="X86" s="289" t="s">
        <v>26</v>
      </c>
      <c r="Y86" s="289">
        <v>2</v>
      </c>
      <c r="Z86" s="289" t="s">
        <v>285</v>
      </c>
      <c r="AA86" s="289" t="s">
        <v>27</v>
      </c>
      <c r="AB86" s="289" t="s">
        <v>388</v>
      </c>
      <c r="AC86" s="289"/>
      <c r="AD86" s="289">
        <f>S86*V86*Y86</f>
        <v>100000</v>
      </c>
      <c r="AE86" s="396" t="s">
        <v>284</v>
      </c>
      <c r="AF86" s="2"/>
    </row>
    <row r="87" spans="1:34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189"/>
      <c r="P87" s="50"/>
      <c r="Q87" s="50"/>
      <c r="R87" s="50"/>
      <c r="S87" s="51"/>
      <c r="T87" s="55"/>
      <c r="U87" s="55"/>
      <c r="V87" s="51"/>
      <c r="W87" s="55"/>
      <c r="X87" s="51"/>
      <c r="Y87" s="51"/>
      <c r="Z87" s="188"/>
      <c r="AA87" s="51"/>
      <c r="AB87" s="188"/>
      <c r="AC87" s="51"/>
      <c r="AD87" s="51"/>
      <c r="AE87" s="57" t="s">
        <v>67</v>
      </c>
      <c r="AF87" s="2"/>
    </row>
    <row r="88" spans="1:34" s="11" customFormat="1" ht="21" customHeight="1">
      <c r="A88" s="45"/>
      <c r="B88" s="46"/>
      <c r="C88" s="36" t="s">
        <v>41</v>
      </c>
      <c r="D88" s="162">
        <v>3232</v>
      </c>
      <c r="E88" s="114">
        <f>AD88/1000</f>
        <v>2812</v>
      </c>
      <c r="F88" s="123">
        <f>SUMIF($AB$89:$AB$93,"보조",$AD$89:$AD$93)/1000</f>
        <v>2112</v>
      </c>
      <c r="G88" s="123">
        <f>SUMIF($AB$89:$AB$93,"7종",$AD$89:$AD$93)/1000</f>
        <v>0</v>
      </c>
      <c r="H88" s="123">
        <f>SUMIF($AB$89:$AB$93,"시비",$AD$89:$AD$93)/1000</f>
        <v>0</v>
      </c>
      <c r="I88" s="123">
        <f>SUMIF($AB$89:$AB$93,"후원",$AD$89:$AD$93)/1000</f>
        <v>0</v>
      </c>
      <c r="J88" s="123">
        <f>SUMIF($AB$89:$AB$93,"입소",$AD$89:$AD$93)/1000</f>
        <v>700</v>
      </c>
      <c r="K88" s="123">
        <f>SUMIF($AB$89:$AB$93,"법인",$AD$89:$AD$93)/1000</f>
        <v>0</v>
      </c>
      <c r="L88" s="123">
        <f>SUMIF($AB$89:$AB$93,"잡수",$AD$89:$AD$93)/1000</f>
        <v>0</v>
      </c>
      <c r="M88" s="113">
        <f>E88-D88</f>
        <v>-420</v>
      </c>
      <c r="N88" s="121">
        <f>IF(D88=0,0,M88/D88)</f>
        <v>-0.12995049504950495</v>
      </c>
      <c r="O88" s="397" t="s">
        <v>42</v>
      </c>
      <c r="P88" s="398"/>
      <c r="Q88" s="398"/>
      <c r="R88" s="398"/>
      <c r="S88" s="398"/>
      <c r="T88" s="399"/>
      <c r="U88" s="399"/>
      <c r="V88" s="399"/>
      <c r="W88" s="399"/>
      <c r="X88" s="399"/>
      <c r="Y88" s="400" t="s">
        <v>28</v>
      </c>
      <c r="Z88" s="400"/>
      <c r="AA88" s="400"/>
      <c r="AB88" s="400"/>
      <c r="AC88" s="401"/>
      <c r="AD88" s="401">
        <f>ROUNDDOWN(SUM(AD89:AD92),-3)</f>
        <v>2812000</v>
      </c>
      <c r="AE88" s="179" t="s">
        <v>25</v>
      </c>
      <c r="AF88" s="1"/>
    </row>
    <row r="89" spans="1:34" s="11" customFormat="1" ht="21" customHeight="1">
      <c r="A89" s="45"/>
      <c r="B89" s="46"/>
      <c r="C89" s="46" t="s">
        <v>152</v>
      </c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02" t="s">
        <v>389</v>
      </c>
      <c r="P89" s="477"/>
      <c r="Q89" s="477"/>
      <c r="R89" s="477"/>
      <c r="S89" s="476"/>
      <c r="T89" s="390"/>
      <c r="U89" s="476"/>
      <c r="V89" s="403"/>
      <c r="W89" s="404"/>
      <c r="X89" s="404"/>
      <c r="Y89" s="403"/>
      <c r="Z89" s="405"/>
      <c r="AA89" s="403"/>
      <c r="AB89" s="386" t="s">
        <v>331</v>
      </c>
      <c r="AC89" s="386"/>
      <c r="AD89" s="533">
        <v>1680000</v>
      </c>
      <c r="AE89" s="497" t="s">
        <v>25</v>
      </c>
      <c r="AF89" s="1"/>
    </row>
    <row r="90" spans="1:34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87" t="s">
        <v>547</v>
      </c>
      <c r="P90" s="587"/>
      <c r="Q90" s="587"/>
      <c r="R90" s="587"/>
      <c r="S90" s="586"/>
      <c r="T90" s="390"/>
      <c r="U90" s="390"/>
      <c r="V90" s="403">
        <v>36000</v>
      </c>
      <c r="W90" s="404" t="s">
        <v>57</v>
      </c>
      <c r="X90" s="404" t="s">
        <v>26</v>
      </c>
      <c r="Y90" s="403">
        <v>12</v>
      </c>
      <c r="Z90" s="405" t="s">
        <v>29</v>
      </c>
      <c r="AA90" s="403" t="s">
        <v>27</v>
      </c>
      <c r="AB90" s="586" t="s">
        <v>86</v>
      </c>
      <c r="AC90" s="586"/>
      <c r="AD90" s="586">
        <f>V90*Y90</f>
        <v>432000</v>
      </c>
      <c r="AE90" s="137" t="s">
        <v>57</v>
      </c>
      <c r="AF90" s="1"/>
    </row>
    <row r="91" spans="1:34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587" t="s">
        <v>412</v>
      </c>
      <c r="P91" s="587"/>
      <c r="Q91" s="587"/>
      <c r="R91" s="587"/>
      <c r="S91" s="586"/>
      <c r="T91" s="390"/>
      <c r="U91" s="390"/>
      <c r="V91" s="586"/>
      <c r="W91" s="586"/>
      <c r="X91" s="586"/>
      <c r="Y91" s="586"/>
      <c r="Z91" s="586"/>
      <c r="AA91" s="586"/>
      <c r="AB91" s="586" t="s">
        <v>568</v>
      </c>
      <c r="AC91" s="586"/>
      <c r="AD91" s="586">
        <v>200000</v>
      </c>
      <c r="AE91" s="137" t="s">
        <v>127</v>
      </c>
      <c r="AF91" s="1"/>
    </row>
    <row r="92" spans="1:34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587" t="s">
        <v>390</v>
      </c>
      <c r="P92" s="477"/>
      <c r="Q92" s="477"/>
      <c r="R92" s="477"/>
      <c r="S92" s="476"/>
      <c r="T92" s="390"/>
      <c r="U92" s="390"/>
      <c r="V92" s="476"/>
      <c r="W92" s="477"/>
      <c r="X92" s="476"/>
      <c r="Y92" s="476"/>
      <c r="Z92" s="476"/>
      <c r="AA92" s="476"/>
      <c r="AB92" s="586" t="s">
        <v>568</v>
      </c>
      <c r="AC92" s="476"/>
      <c r="AD92" s="476">
        <v>500000</v>
      </c>
      <c r="AE92" s="137" t="s">
        <v>322</v>
      </c>
      <c r="AF92" s="20"/>
    </row>
    <row r="93" spans="1:34" s="11" customFormat="1" ht="21" customHeight="1">
      <c r="A93" s="45"/>
      <c r="B93" s="46"/>
      <c r="C93" s="59"/>
      <c r="D93" s="161"/>
      <c r="E93" s="111"/>
      <c r="F93" s="111"/>
      <c r="G93" s="111"/>
      <c r="H93" s="111"/>
      <c r="I93" s="111"/>
      <c r="J93" s="111"/>
      <c r="K93" s="111"/>
      <c r="L93" s="111"/>
      <c r="M93" s="111"/>
      <c r="N93" s="84"/>
      <c r="O93" s="478"/>
      <c r="P93" s="478"/>
      <c r="Q93" s="478"/>
      <c r="R93" s="478"/>
      <c r="S93" s="478"/>
      <c r="T93" s="478"/>
      <c r="U93" s="478"/>
      <c r="V93" s="478"/>
      <c r="W93" s="478"/>
      <c r="X93" s="478"/>
      <c r="Y93" s="478"/>
      <c r="Z93" s="478"/>
      <c r="AA93" s="478"/>
      <c r="AB93" s="478"/>
      <c r="AC93" s="478"/>
      <c r="AD93" s="479"/>
      <c r="AE93" s="480"/>
      <c r="AF93" s="1"/>
    </row>
    <row r="94" spans="1:34" s="11" customFormat="1" ht="21" customHeight="1">
      <c r="A94" s="45"/>
      <c r="B94" s="46"/>
      <c r="C94" s="46" t="s">
        <v>39</v>
      </c>
      <c r="D94" s="160">
        <v>5534</v>
      </c>
      <c r="E94" s="114">
        <f>AD94/1000</f>
        <v>6169</v>
      </c>
      <c r="F94" s="529">
        <f>SUMIF($AB$95:$AB$100,"보조",$AD$95:$AD$100)/1000</f>
        <v>4329</v>
      </c>
      <c r="G94" s="529">
        <f>SUMIF($AB$95:$AB$100,"7종",$AD$95:$AD$100)/1000</f>
        <v>0</v>
      </c>
      <c r="H94" s="529">
        <f>SUMIF($AB$95:$AB$100,"시비",$AD$95:$AD$100)/1000</f>
        <v>0</v>
      </c>
      <c r="I94" s="529">
        <f>SUMIF($AB$95:$AB$100,"후원",$AD$95:$AD$100)/1000</f>
        <v>0</v>
      </c>
      <c r="J94" s="529">
        <f>SUMIF($AB$95:$AB$100,"입소",$AD$95:$AD$100)/1000</f>
        <v>1840</v>
      </c>
      <c r="K94" s="529">
        <f>SUMIF($AB$95:$AB$100,"법인",$AD$95:$AD$100)/1000</f>
        <v>0</v>
      </c>
      <c r="L94" s="529">
        <f>SUMIF($AB$95:$AB$100,"잡수",$AD$95:$AD$100)/1000</f>
        <v>0</v>
      </c>
      <c r="M94" s="109">
        <f>E94-D94</f>
        <v>635</v>
      </c>
      <c r="N94" s="70">
        <f>IF(D94=0,0,M94/D94)</f>
        <v>0.1147452114203108</v>
      </c>
      <c r="O94" s="431" t="s">
        <v>43</v>
      </c>
      <c r="P94" s="432"/>
      <c r="Q94" s="432"/>
      <c r="R94" s="432"/>
      <c r="S94" s="432"/>
      <c r="T94" s="433"/>
      <c r="U94" s="433"/>
      <c r="V94" s="433"/>
      <c r="W94" s="433"/>
      <c r="X94" s="433"/>
      <c r="Y94" s="434" t="s">
        <v>288</v>
      </c>
      <c r="Z94" s="434"/>
      <c r="AA94" s="434"/>
      <c r="AB94" s="434"/>
      <c r="AC94" s="435"/>
      <c r="AD94" s="435">
        <f>ROUND(SUM(AD95:AD99),-3)</f>
        <v>6169000</v>
      </c>
      <c r="AE94" s="436" t="s">
        <v>25</v>
      </c>
      <c r="AF94" s="1"/>
    </row>
    <row r="95" spans="1:34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437" t="s">
        <v>391</v>
      </c>
      <c r="P95" s="291"/>
      <c r="Q95" s="291"/>
      <c r="R95" s="291"/>
      <c r="S95" s="289">
        <v>44500</v>
      </c>
      <c r="T95" s="439" t="s">
        <v>25</v>
      </c>
      <c r="U95" s="439" t="s">
        <v>26</v>
      </c>
      <c r="V95" s="438">
        <v>12</v>
      </c>
      <c r="W95" s="440" t="s">
        <v>29</v>
      </c>
      <c r="X95" s="438" t="s">
        <v>27</v>
      </c>
      <c r="Y95" s="289"/>
      <c r="Z95" s="289"/>
      <c r="AA95" s="289"/>
      <c r="AB95" s="289" t="s">
        <v>291</v>
      </c>
      <c r="AC95" s="289"/>
      <c r="AD95" s="289">
        <f>S95*V95-20000</f>
        <v>514000</v>
      </c>
      <c r="AE95" s="396" t="s">
        <v>25</v>
      </c>
      <c r="AF95" s="1"/>
    </row>
    <row r="96" spans="1:34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/>
      <c r="P96" s="291"/>
      <c r="Q96" s="291"/>
      <c r="R96" s="291"/>
      <c r="S96" s="289">
        <v>20000</v>
      </c>
      <c r="T96" s="430" t="s">
        <v>284</v>
      </c>
      <c r="U96" s="430" t="s">
        <v>26</v>
      </c>
      <c r="V96" s="289">
        <v>12</v>
      </c>
      <c r="W96" s="291" t="s">
        <v>286</v>
      </c>
      <c r="X96" s="289" t="s">
        <v>27</v>
      </c>
      <c r="Y96" s="289"/>
      <c r="Z96" s="289"/>
      <c r="AA96" s="289"/>
      <c r="AB96" s="289" t="s">
        <v>392</v>
      </c>
      <c r="AC96" s="289"/>
      <c r="AD96" s="289">
        <f>S96*V96</f>
        <v>240000</v>
      </c>
      <c r="AE96" s="396" t="s">
        <v>284</v>
      </c>
      <c r="AF96" s="1"/>
    </row>
    <row r="97" spans="1:32" s="11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 t="s">
        <v>393</v>
      </c>
      <c r="P97" s="291"/>
      <c r="Q97" s="291"/>
      <c r="R97" s="291"/>
      <c r="S97" s="289">
        <v>320000</v>
      </c>
      <c r="T97" s="430" t="s">
        <v>284</v>
      </c>
      <c r="U97" s="430" t="s">
        <v>26</v>
      </c>
      <c r="V97" s="289">
        <v>12</v>
      </c>
      <c r="W97" s="291" t="s">
        <v>286</v>
      </c>
      <c r="X97" s="289" t="s">
        <v>27</v>
      </c>
      <c r="Y97" s="289"/>
      <c r="Z97" s="289"/>
      <c r="AA97" s="289"/>
      <c r="AB97" s="289" t="s">
        <v>628</v>
      </c>
      <c r="AC97" s="289"/>
      <c r="AD97" s="289">
        <f>S97*V97-25000</f>
        <v>3815000</v>
      </c>
      <c r="AE97" s="396" t="s">
        <v>25</v>
      </c>
      <c r="AF97" s="1"/>
    </row>
    <row r="98" spans="1:32" s="11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1"/>
      <c r="P98" s="291"/>
      <c r="Q98" s="291"/>
      <c r="R98" s="291"/>
      <c r="S98" s="289">
        <v>100000</v>
      </c>
      <c r="T98" s="430" t="s">
        <v>57</v>
      </c>
      <c r="U98" s="430" t="s">
        <v>26</v>
      </c>
      <c r="V98" s="289">
        <v>12</v>
      </c>
      <c r="W98" s="291" t="s">
        <v>166</v>
      </c>
      <c r="X98" s="289" t="s">
        <v>27</v>
      </c>
      <c r="Y98" s="289"/>
      <c r="Z98" s="289"/>
      <c r="AA98" s="289"/>
      <c r="AB98" s="289" t="s">
        <v>289</v>
      </c>
      <c r="AC98" s="289"/>
      <c r="AD98" s="289">
        <f>S98*V98+200000</f>
        <v>1400000</v>
      </c>
      <c r="AE98" s="396" t="s">
        <v>25</v>
      </c>
      <c r="AF98" s="1"/>
    </row>
    <row r="99" spans="1:32" s="14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1" t="s">
        <v>613</v>
      </c>
      <c r="P99" s="477"/>
      <c r="Q99" s="477"/>
      <c r="R99" s="477"/>
      <c r="S99" s="289"/>
      <c r="T99" s="430"/>
      <c r="U99" s="430"/>
      <c r="V99" s="289"/>
      <c r="W99" s="291"/>
      <c r="X99" s="289"/>
      <c r="Y99" s="289"/>
      <c r="Z99" s="289"/>
      <c r="AA99" s="289"/>
      <c r="AB99" s="289" t="s">
        <v>289</v>
      </c>
      <c r="AC99" s="289"/>
      <c r="AD99" s="289">
        <v>200000</v>
      </c>
      <c r="AE99" s="396" t="s">
        <v>25</v>
      </c>
      <c r="AF99" s="4"/>
    </row>
    <row r="100" spans="1:32" s="14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120"/>
      <c r="P100" s="50"/>
      <c r="Q100" s="50"/>
      <c r="R100" s="50"/>
      <c r="S100" s="51"/>
      <c r="T100" s="55"/>
      <c r="U100" s="55"/>
      <c r="V100" s="51"/>
      <c r="W100" s="50"/>
      <c r="X100" s="51"/>
      <c r="Y100" s="51"/>
      <c r="Z100" s="51"/>
      <c r="AA100" s="51"/>
      <c r="AB100" s="142"/>
      <c r="AC100" s="51"/>
      <c r="AD100" s="51"/>
      <c r="AE100" s="57"/>
      <c r="AF100" s="4"/>
    </row>
    <row r="101" spans="1:32" ht="21" customHeight="1">
      <c r="A101" s="45"/>
      <c r="B101" s="46"/>
      <c r="C101" s="36" t="s">
        <v>15</v>
      </c>
      <c r="D101" s="162">
        <v>725</v>
      </c>
      <c r="E101" s="114">
        <f>AD101/1000</f>
        <v>725</v>
      </c>
      <c r="F101" s="113">
        <f>SUMIF($AB$102:$AB$108,"보조",$AD$102:$AD$108)/1000</f>
        <v>475</v>
      </c>
      <c r="G101" s="113">
        <f>SUMIF($AB$102:$AB$108,"7종",$AD$102:$AD$108)/1000</f>
        <v>0</v>
      </c>
      <c r="H101" s="113">
        <f>SUMIF($AB$102:$AB$108,"시비",$AD$102:$AD$108)/1000</f>
        <v>0</v>
      </c>
      <c r="I101" s="113">
        <f>SUMIF($AB$102:$AB$108,"후원",$AD$102:$AD$108)/1000</f>
        <v>0</v>
      </c>
      <c r="J101" s="113">
        <f>SUMIF($AB$102:$AB$108,"입소",$AD$102:$AD$108)/1000</f>
        <v>250</v>
      </c>
      <c r="K101" s="113">
        <f>SUMIF($AB$102:$AB$108,"법인",$AD$102:$AD$108)/1000</f>
        <v>0</v>
      </c>
      <c r="L101" s="113">
        <f>SUMIF($AB$102:$AB$108,"잡수",$AD$102:$AD$108)/1000</f>
        <v>0</v>
      </c>
      <c r="M101" s="193">
        <f>E101-D101</f>
        <v>0</v>
      </c>
      <c r="N101" s="121">
        <f>IF(D101=0,0,M101/D101)</f>
        <v>0</v>
      </c>
      <c r="O101" s="441" t="s">
        <v>44</v>
      </c>
      <c r="P101" s="442"/>
      <c r="Q101" s="442"/>
      <c r="R101" s="442"/>
      <c r="S101" s="442"/>
      <c r="T101" s="443"/>
      <c r="U101" s="443"/>
      <c r="V101" s="443"/>
      <c r="W101" s="443"/>
      <c r="X101" s="443"/>
      <c r="Y101" s="434" t="s">
        <v>288</v>
      </c>
      <c r="Z101" s="434"/>
      <c r="AA101" s="434"/>
      <c r="AB101" s="434"/>
      <c r="AC101" s="435"/>
      <c r="AD101" s="435">
        <f>SUM(AD102:AD108)</f>
        <v>725000</v>
      </c>
      <c r="AE101" s="436" t="s">
        <v>25</v>
      </c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587" t="s">
        <v>394</v>
      </c>
      <c r="P102" s="498"/>
      <c r="Q102" s="498"/>
      <c r="R102" s="498"/>
      <c r="S102" s="477"/>
      <c r="T102" s="136"/>
      <c r="U102" s="499"/>
      <c r="V102" s="403">
        <v>110000</v>
      </c>
      <c r="W102" s="404" t="s">
        <v>57</v>
      </c>
      <c r="X102" s="404" t="s">
        <v>26</v>
      </c>
      <c r="Y102" s="403">
        <v>1</v>
      </c>
      <c r="Z102" s="405" t="s">
        <v>399</v>
      </c>
      <c r="AA102" s="403" t="s">
        <v>27</v>
      </c>
      <c r="AB102" s="586" t="s">
        <v>548</v>
      </c>
      <c r="AC102" s="586"/>
      <c r="AD102" s="586">
        <f t="shared" ref="AD102" si="11">V102*Y102</f>
        <v>110000</v>
      </c>
      <c r="AE102" s="137" t="s">
        <v>57</v>
      </c>
      <c r="AF102" s="1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1" t="s">
        <v>395</v>
      </c>
      <c r="P103" s="445"/>
      <c r="Q103" s="445"/>
      <c r="R103" s="445"/>
      <c r="S103" s="291"/>
      <c r="T103" s="292"/>
      <c r="U103" s="444"/>
      <c r="V103" s="403">
        <v>55000</v>
      </c>
      <c r="W103" s="404" t="s">
        <v>57</v>
      </c>
      <c r="X103" s="404" t="s">
        <v>26</v>
      </c>
      <c r="Y103" s="403">
        <v>1</v>
      </c>
      <c r="Z103" s="405" t="s">
        <v>399</v>
      </c>
      <c r="AA103" s="403" t="s">
        <v>27</v>
      </c>
      <c r="AB103" s="586" t="s">
        <v>548</v>
      </c>
      <c r="AC103" s="586"/>
      <c r="AD103" s="586">
        <f t="shared" ref="AD103" si="12">V103*Y103</f>
        <v>55000</v>
      </c>
      <c r="AE103" s="137" t="s">
        <v>57</v>
      </c>
      <c r="AF103" s="1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1" t="s">
        <v>396</v>
      </c>
      <c r="P104" s="445"/>
      <c r="Q104" s="445"/>
      <c r="R104" s="445"/>
      <c r="S104" s="291"/>
      <c r="T104" s="292"/>
      <c r="U104" s="444"/>
      <c r="V104" s="403">
        <v>30000</v>
      </c>
      <c r="W104" s="404" t="s">
        <v>57</v>
      </c>
      <c r="X104" s="404" t="s">
        <v>26</v>
      </c>
      <c r="Y104" s="403">
        <v>1</v>
      </c>
      <c r="Z104" s="405" t="s">
        <v>399</v>
      </c>
      <c r="AA104" s="403" t="s">
        <v>27</v>
      </c>
      <c r="AB104" s="586" t="s">
        <v>86</v>
      </c>
      <c r="AC104" s="586"/>
      <c r="AD104" s="586">
        <f t="shared" ref="AD104" si="13">V104*Y104</f>
        <v>30000</v>
      </c>
      <c r="AE104" s="137" t="s">
        <v>57</v>
      </c>
      <c r="AF104" s="1"/>
    </row>
    <row r="105" spans="1:32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1" t="s">
        <v>397</v>
      </c>
      <c r="P105" s="445"/>
      <c r="Q105" s="445"/>
      <c r="R105" s="445"/>
      <c r="S105" s="291"/>
      <c r="T105" s="292"/>
      <c r="U105" s="444"/>
      <c r="V105" s="403">
        <v>30000</v>
      </c>
      <c r="W105" s="404" t="s">
        <v>57</v>
      </c>
      <c r="X105" s="404" t="s">
        <v>26</v>
      </c>
      <c r="Y105" s="403">
        <v>1</v>
      </c>
      <c r="Z105" s="405" t="s">
        <v>399</v>
      </c>
      <c r="AA105" s="403" t="s">
        <v>27</v>
      </c>
      <c r="AB105" s="586" t="s">
        <v>86</v>
      </c>
      <c r="AC105" s="586"/>
      <c r="AD105" s="586">
        <f t="shared" ref="AD105" si="14">V105*Y105</f>
        <v>30000</v>
      </c>
      <c r="AE105" s="137" t="s">
        <v>57</v>
      </c>
      <c r="AF105" s="1"/>
    </row>
    <row r="106" spans="1:32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291" t="s">
        <v>398</v>
      </c>
      <c r="P106" s="445"/>
      <c r="Q106" s="445"/>
      <c r="R106" s="445"/>
      <c r="S106" s="586">
        <v>755710</v>
      </c>
      <c r="T106" s="390" t="s">
        <v>57</v>
      </c>
      <c r="U106" s="390" t="s">
        <v>26</v>
      </c>
      <c r="V106" s="586">
        <v>1</v>
      </c>
      <c r="W106" s="587" t="s">
        <v>72</v>
      </c>
      <c r="X106" s="427" t="s">
        <v>71</v>
      </c>
      <c r="Y106" s="487">
        <v>3</v>
      </c>
      <c r="Z106" s="586"/>
      <c r="AA106" s="586" t="s">
        <v>27</v>
      </c>
      <c r="AB106" s="586" t="s">
        <v>86</v>
      </c>
      <c r="AC106" s="586"/>
      <c r="AD106" s="586">
        <f>ROUNDDOWN(S106*V106/Y106,-4)</f>
        <v>250000</v>
      </c>
      <c r="AE106" s="137" t="s">
        <v>57</v>
      </c>
      <c r="AF106" s="1"/>
    </row>
    <row r="107" spans="1:32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291" t="s">
        <v>454</v>
      </c>
      <c r="P107" s="445"/>
      <c r="Q107" s="445"/>
      <c r="R107" s="445"/>
      <c r="S107" s="291"/>
      <c r="T107" s="292"/>
      <c r="U107" s="444"/>
      <c r="V107" s="403"/>
      <c r="W107" s="404"/>
      <c r="X107" s="404"/>
      <c r="Y107" s="403"/>
      <c r="Z107" s="405"/>
      <c r="AA107" s="403" t="s">
        <v>27</v>
      </c>
      <c r="AB107" s="586" t="s">
        <v>392</v>
      </c>
      <c r="AC107" s="586"/>
      <c r="AD107" s="586">
        <v>250000</v>
      </c>
      <c r="AE107" s="137" t="s">
        <v>57</v>
      </c>
      <c r="AF107" s="1"/>
    </row>
    <row r="108" spans="1:32" s="11" customFormat="1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126"/>
      <c r="P108" s="127"/>
      <c r="Q108" s="127"/>
      <c r="R108" s="127"/>
      <c r="S108" s="127"/>
      <c r="T108" s="127"/>
      <c r="U108" s="127"/>
      <c r="V108" s="127"/>
      <c r="W108" s="127"/>
      <c r="X108" s="127"/>
      <c r="Y108" s="75"/>
      <c r="Z108" s="75"/>
      <c r="AA108" s="75"/>
      <c r="AB108" s="75"/>
      <c r="AC108" s="75"/>
      <c r="AD108" s="51"/>
      <c r="AE108" s="57"/>
      <c r="AF108" s="1"/>
    </row>
    <row r="109" spans="1:32" s="11" customFormat="1" ht="21" customHeight="1">
      <c r="A109" s="45"/>
      <c r="B109" s="46"/>
      <c r="C109" s="36" t="s">
        <v>45</v>
      </c>
      <c r="D109" s="162">
        <v>400</v>
      </c>
      <c r="E109" s="114">
        <f>AD109/1000</f>
        <v>400</v>
      </c>
      <c r="F109" s="113">
        <f>SUMIF($AB$110:$AB$112,"보조",$AD$110:$AD$112)/1000</f>
        <v>300</v>
      </c>
      <c r="G109" s="113">
        <f>SUMIF($AB$110:$AB$112,"7종",$AD$110:$AD$112)/1000</f>
        <v>0</v>
      </c>
      <c r="H109" s="113">
        <f>SUMIF($AB$110:$AB$112,"시비",$AD$110:$AD$112)/1000</f>
        <v>0</v>
      </c>
      <c r="I109" s="113">
        <f>SUMIF($AB$110:$AB$112,"후원",$AD$110:$AD$112)/1000</f>
        <v>0</v>
      </c>
      <c r="J109" s="113">
        <f>SUMIF($AB$110:$AB$112,"입소",$AD$110:$AD$112)/1000</f>
        <v>100</v>
      </c>
      <c r="K109" s="113">
        <f>SUMIF($AB$110:$AB$112,"법인",$AD$110:$AD$112)/1000</f>
        <v>0</v>
      </c>
      <c r="L109" s="113">
        <f>SUMIF($AB$110:$AB$112,"잡수",$AD$110:$AD$112)/1000</f>
        <v>0</v>
      </c>
      <c r="M109" s="113">
        <f>E109-D109</f>
        <v>0</v>
      </c>
      <c r="N109" s="121">
        <f>IF(D109=0,0,M109/D109)</f>
        <v>0</v>
      </c>
      <c r="O109" s="97" t="s">
        <v>46</v>
      </c>
      <c r="P109" s="93"/>
      <c r="Q109" s="93"/>
      <c r="R109" s="93"/>
      <c r="S109" s="93"/>
      <c r="T109" s="89"/>
      <c r="U109" s="89"/>
      <c r="V109" s="89"/>
      <c r="W109" s="89"/>
      <c r="X109" s="89"/>
      <c r="Y109" s="178" t="s">
        <v>145</v>
      </c>
      <c r="Z109" s="178"/>
      <c r="AA109" s="178"/>
      <c r="AB109" s="178"/>
      <c r="AC109" s="180"/>
      <c r="AD109" s="180">
        <f>SUM(AD110:AD111)</f>
        <v>400000</v>
      </c>
      <c r="AE109" s="179" t="s">
        <v>25</v>
      </c>
      <c r="AF109" s="1"/>
    </row>
    <row r="110" spans="1:32" s="11" customFormat="1" ht="21" customHeight="1">
      <c r="A110" s="45"/>
      <c r="B110" s="46"/>
      <c r="C110" s="46"/>
      <c r="D110" s="11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587" t="s">
        <v>401</v>
      </c>
      <c r="P110" s="477"/>
      <c r="Q110" s="477"/>
      <c r="R110" s="477"/>
      <c r="S110" s="476">
        <v>25000</v>
      </c>
      <c r="T110" s="390" t="s">
        <v>325</v>
      </c>
      <c r="U110" s="390" t="s">
        <v>26</v>
      </c>
      <c r="V110" s="476">
        <v>12</v>
      </c>
      <c r="W110" s="477" t="s">
        <v>328</v>
      </c>
      <c r="X110" s="476" t="s">
        <v>27</v>
      </c>
      <c r="Y110" s="476"/>
      <c r="Z110" s="476"/>
      <c r="AA110" s="476"/>
      <c r="AB110" s="476" t="s">
        <v>331</v>
      </c>
      <c r="AC110" s="476"/>
      <c r="AD110" s="586">
        <f>S110*V110</f>
        <v>300000</v>
      </c>
      <c r="AE110" s="137" t="s">
        <v>25</v>
      </c>
      <c r="AF110" s="1"/>
    </row>
    <row r="111" spans="1:32" ht="21" customHeight="1">
      <c r="A111" s="45"/>
      <c r="B111" s="46"/>
      <c r="C111" s="46"/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587" t="s">
        <v>402</v>
      </c>
      <c r="P111" s="477"/>
      <c r="Q111" s="477"/>
      <c r="R111" s="477"/>
      <c r="S111" s="476"/>
      <c r="T111" s="390"/>
      <c r="U111" s="390"/>
      <c r="V111" s="476"/>
      <c r="W111" s="477"/>
      <c r="X111" s="476"/>
      <c r="Y111" s="476"/>
      <c r="Z111" s="476"/>
      <c r="AA111" s="476"/>
      <c r="AB111" s="586" t="s">
        <v>392</v>
      </c>
      <c r="AC111" s="476"/>
      <c r="AD111" s="476">
        <v>100000</v>
      </c>
      <c r="AE111" s="137" t="s">
        <v>25</v>
      </c>
    </row>
    <row r="112" spans="1:32" s="11" customFormat="1" ht="21" customHeight="1">
      <c r="A112" s="45"/>
      <c r="B112" s="46"/>
      <c r="C112" s="59"/>
      <c r="D112" s="128"/>
      <c r="E112" s="111"/>
      <c r="F112" s="111"/>
      <c r="G112" s="111"/>
      <c r="H112" s="111"/>
      <c r="I112" s="111"/>
      <c r="J112" s="111"/>
      <c r="K112" s="111"/>
      <c r="L112" s="111"/>
      <c r="M112" s="111"/>
      <c r="N112" s="84"/>
      <c r="O112" s="382"/>
      <c r="P112" s="382"/>
      <c r="Q112" s="382"/>
      <c r="R112" s="382"/>
      <c r="S112" s="494"/>
      <c r="T112" s="500"/>
      <c r="U112" s="494"/>
      <c r="V112" s="667"/>
      <c r="W112" s="668"/>
      <c r="X112" s="494"/>
      <c r="Y112" s="494"/>
      <c r="Z112" s="494"/>
      <c r="AA112" s="494"/>
      <c r="AB112" s="494"/>
      <c r="AC112" s="494"/>
      <c r="AD112" s="494"/>
      <c r="AE112" s="501"/>
      <c r="AF112" s="1"/>
    </row>
    <row r="113" spans="1:32" s="11" customFormat="1" ht="21" customHeight="1">
      <c r="A113" s="45"/>
      <c r="B113" s="46"/>
      <c r="C113" s="36" t="s">
        <v>87</v>
      </c>
      <c r="D113" s="129">
        <v>150</v>
      </c>
      <c r="E113" s="114">
        <f>AD113/1000</f>
        <v>100</v>
      </c>
      <c r="F113" s="113">
        <f>SUMIF($AB$114:$AB$116,"보조",$AD$114:$AD$116)/1000</f>
        <v>0</v>
      </c>
      <c r="G113" s="113">
        <f>SUMIF($AB$114:$AB$116,"7종",$AD$114:$AD$116)/1000</f>
        <v>0</v>
      </c>
      <c r="H113" s="113">
        <f>SUMIF($AB$114:$AB$116,"시비",$AD$114:$AD$116)/1000</f>
        <v>0</v>
      </c>
      <c r="I113" s="113">
        <f>SUMIF($AB$114:$AB$116,"후원",$AD$114:$AD$116)/1000</f>
        <v>0</v>
      </c>
      <c r="J113" s="113">
        <f>SUMIF($AB$114:$AB$116,"입소",$AD$114:$AD$116)/1000</f>
        <v>100</v>
      </c>
      <c r="K113" s="113">
        <f>SUMIF($AB$114:$AB$116,"법인",$AD$114:$AD$116)/1000</f>
        <v>0</v>
      </c>
      <c r="L113" s="113">
        <f>SUMIF($AB$114:$AB$116,"잡수",$AD$114:$AD$116)/1000</f>
        <v>0</v>
      </c>
      <c r="M113" s="113">
        <f>E113-D113</f>
        <v>-50</v>
      </c>
      <c r="N113" s="121">
        <f>IF(D113=0,0,M113/D113)</f>
        <v>-0.33333333333333331</v>
      </c>
      <c r="O113" s="116" t="s">
        <v>88</v>
      </c>
      <c r="P113" s="93"/>
      <c r="Q113" s="93"/>
      <c r="R113" s="93"/>
      <c r="S113" s="93"/>
      <c r="T113" s="89"/>
      <c r="U113" s="89"/>
      <c r="V113" s="89"/>
      <c r="W113" s="89"/>
      <c r="X113" s="89"/>
      <c r="Y113" s="178" t="s">
        <v>145</v>
      </c>
      <c r="Z113" s="178"/>
      <c r="AA113" s="178"/>
      <c r="AB113" s="178"/>
      <c r="AC113" s="180"/>
      <c r="AD113" s="180">
        <f>SUM(AD114:AD115)</f>
        <v>100000</v>
      </c>
      <c r="AE113" s="179" t="s">
        <v>25</v>
      </c>
      <c r="AF113" s="1"/>
    </row>
    <row r="114" spans="1:32" s="11" customFormat="1" ht="20.25" customHeight="1">
      <c r="A114" s="45"/>
      <c r="B114" s="46"/>
      <c r="C114" s="46"/>
      <c r="D114" s="13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291" t="s">
        <v>400</v>
      </c>
      <c r="P114" s="291"/>
      <c r="Q114" s="291"/>
      <c r="R114" s="291"/>
      <c r="S114" s="289">
        <v>50000</v>
      </c>
      <c r="T114" s="289" t="s">
        <v>284</v>
      </c>
      <c r="U114" s="426" t="s">
        <v>290</v>
      </c>
      <c r="V114" s="289">
        <v>0</v>
      </c>
      <c r="W114" s="289" t="s">
        <v>549</v>
      </c>
      <c r="X114" s="426"/>
      <c r="Y114" s="289"/>
      <c r="Z114" s="289"/>
      <c r="AA114" s="289" t="s">
        <v>287</v>
      </c>
      <c r="AB114" s="289" t="s">
        <v>339</v>
      </c>
      <c r="AC114" s="292"/>
      <c r="AD114" s="136">
        <f>S114*V114</f>
        <v>0</v>
      </c>
      <c r="AE114" s="396" t="s">
        <v>284</v>
      </c>
      <c r="AF114" s="2"/>
    </row>
    <row r="115" spans="1:32" s="11" customFormat="1" ht="20.25" customHeight="1">
      <c r="A115" s="45"/>
      <c r="B115" s="46"/>
      <c r="C115" s="46"/>
      <c r="D115" s="13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291"/>
      <c r="P115" s="291"/>
      <c r="Q115" s="291"/>
      <c r="R115" s="291"/>
      <c r="S115" s="289">
        <v>50000</v>
      </c>
      <c r="T115" s="289" t="s">
        <v>57</v>
      </c>
      <c r="U115" s="426" t="s">
        <v>58</v>
      </c>
      <c r="V115" s="289">
        <v>2</v>
      </c>
      <c r="W115" s="289" t="s">
        <v>625</v>
      </c>
      <c r="X115" s="426"/>
      <c r="Y115" s="289"/>
      <c r="Z115" s="289"/>
      <c r="AA115" s="289" t="s">
        <v>235</v>
      </c>
      <c r="AB115" s="289" t="s">
        <v>392</v>
      </c>
      <c r="AC115" s="292"/>
      <c r="AD115" s="136">
        <f>S115*V115</f>
        <v>100000</v>
      </c>
      <c r="AE115" s="396" t="s">
        <v>57</v>
      </c>
      <c r="AF115" s="2"/>
    </row>
    <row r="116" spans="1:32" s="11" customFormat="1" ht="21" customHeight="1">
      <c r="A116" s="45"/>
      <c r="B116" s="46"/>
      <c r="C116" s="47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84"/>
      <c r="O116" s="155"/>
      <c r="P116" s="81"/>
      <c r="Q116" s="81"/>
      <c r="R116" s="81"/>
      <c r="S116" s="80"/>
      <c r="T116" s="81"/>
      <c r="U116" s="80"/>
      <c r="V116" s="131"/>
      <c r="W116" s="131"/>
      <c r="X116" s="80"/>
      <c r="Y116" s="80"/>
      <c r="Z116" s="80"/>
      <c r="AA116" s="80"/>
      <c r="AB116" s="80"/>
      <c r="AC116" s="80"/>
      <c r="AD116" s="80"/>
      <c r="AE116" s="73"/>
      <c r="AF116" s="2"/>
    </row>
    <row r="117" spans="1:32" s="11" customFormat="1" ht="21" customHeight="1">
      <c r="A117" s="112" t="s">
        <v>47</v>
      </c>
      <c r="B117" s="660" t="s">
        <v>20</v>
      </c>
      <c r="C117" s="660"/>
      <c r="D117" s="196">
        <f>D118</f>
        <v>1600</v>
      </c>
      <c r="E117" s="196">
        <f>E118</f>
        <v>3500</v>
      </c>
      <c r="F117" s="196">
        <f t="shared" ref="F117:L117" si="15">F118</f>
        <v>0</v>
      </c>
      <c r="G117" s="196">
        <f t="shared" si="15"/>
        <v>2000</v>
      </c>
      <c r="H117" s="196">
        <f t="shared" si="15"/>
        <v>0</v>
      </c>
      <c r="I117" s="196">
        <f t="shared" si="15"/>
        <v>500</v>
      </c>
      <c r="J117" s="196">
        <f t="shared" si="15"/>
        <v>1000</v>
      </c>
      <c r="K117" s="196">
        <f t="shared" si="15"/>
        <v>0</v>
      </c>
      <c r="L117" s="196">
        <f t="shared" si="15"/>
        <v>0</v>
      </c>
      <c r="M117" s="196">
        <f>E117-D117</f>
        <v>1900</v>
      </c>
      <c r="N117" s="172">
        <f>IF(D117=0,0,M117/D117)</f>
        <v>1.1875</v>
      </c>
      <c r="O117" s="187" t="s">
        <v>149</v>
      </c>
      <c r="P117" s="32"/>
      <c r="Q117" s="32"/>
      <c r="R117" s="32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>
        <f>AD118</f>
        <v>3500000</v>
      </c>
      <c r="AE117" s="34" t="s">
        <v>25</v>
      </c>
      <c r="AF117" s="2"/>
    </row>
    <row r="118" spans="1:32" s="11" customFormat="1" ht="21" customHeight="1">
      <c r="A118" s="195" t="s">
        <v>156</v>
      </c>
      <c r="B118" s="46" t="s">
        <v>17</v>
      </c>
      <c r="C118" s="46" t="s">
        <v>150</v>
      </c>
      <c r="D118" s="109">
        <f t="shared" ref="D118:L118" si="16">SUM(D119,D122,D127)</f>
        <v>1600</v>
      </c>
      <c r="E118" s="109">
        <f t="shared" si="16"/>
        <v>3500</v>
      </c>
      <c r="F118" s="109">
        <f t="shared" si="16"/>
        <v>0</v>
      </c>
      <c r="G118" s="109">
        <f t="shared" si="16"/>
        <v>2000</v>
      </c>
      <c r="H118" s="109">
        <f t="shared" si="16"/>
        <v>0</v>
      </c>
      <c r="I118" s="109">
        <f t="shared" si="16"/>
        <v>500</v>
      </c>
      <c r="J118" s="109">
        <f t="shared" si="16"/>
        <v>1000</v>
      </c>
      <c r="K118" s="109">
        <f t="shared" si="16"/>
        <v>0</v>
      </c>
      <c r="L118" s="109">
        <f t="shared" si="16"/>
        <v>0</v>
      </c>
      <c r="M118" s="109">
        <f>E118-D118</f>
        <v>1900</v>
      </c>
      <c r="N118" s="70">
        <f>IF(D118=0,0,M118/D118)</f>
        <v>1.1875</v>
      </c>
      <c r="O118" s="191" t="s">
        <v>151</v>
      </c>
      <c r="P118" s="93"/>
      <c r="Q118" s="93"/>
      <c r="R118" s="93"/>
      <c r="S118" s="93"/>
      <c r="T118" s="89"/>
      <c r="U118" s="89"/>
      <c r="V118" s="89"/>
      <c r="W118" s="89"/>
      <c r="X118" s="89"/>
      <c r="Y118" s="89"/>
      <c r="Z118" s="89"/>
      <c r="AA118" s="89"/>
      <c r="AB118" s="89"/>
      <c r="AC118" s="94"/>
      <c r="AD118" s="94">
        <f>SUM(AD119,AD122,AD127)</f>
        <v>3500000</v>
      </c>
      <c r="AE118" s="95" t="s">
        <v>25</v>
      </c>
      <c r="AF118" s="1"/>
    </row>
    <row r="119" spans="1:32" s="11" customFormat="1" ht="21" customHeight="1">
      <c r="A119" s="45"/>
      <c r="B119" s="46"/>
      <c r="C119" s="36" t="s">
        <v>151</v>
      </c>
      <c r="D119" s="193">
        <v>0</v>
      </c>
      <c r="E119" s="114">
        <f>AD119/1000</f>
        <v>0</v>
      </c>
      <c r="F119" s="193">
        <f>SUMIF($AB$120:$AB$121,"보조",$AD$120:$AD$121)/1000</f>
        <v>0</v>
      </c>
      <c r="G119" s="193">
        <f>SUMIF($AB$120:$AB$121,"7종",$AD$120:$AD$121)/1000</f>
        <v>0</v>
      </c>
      <c r="H119" s="193">
        <f>SUMIF($AB$120:$AB$121,"시비",$AD$120:$AD$121)/1000</f>
        <v>0</v>
      </c>
      <c r="I119" s="193">
        <f>SUMIF($AB$120:$AB$121,"후원",$AD$120:$AD$121)/1000</f>
        <v>0</v>
      </c>
      <c r="J119" s="193">
        <f>SUMIF($AB$120:$AB$121,"입소",$AD$120:$AD$121)/1000</f>
        <v>0</v>
      </c>
      <c r="K119" s="193">
        <f>SUMIF($AB$120:$AB$121,"법인",$AD$120:$AD$121)/1000</f>
        <v>0</v>
      </c>
      <c r="L119" s="193">
        <f>SUMIF($AB$120:$AB$121,"잡수",$AD$120:$AD$121)/1000</f>
        <v>0</v>
      </c>
      <c r="M119" s="193">
        <f>E119-D119</f>
        <v>0</v>
      </c>
      <c r="N119" s="194">
        <f>IF(D119=0,0,M119/D119)</f>
        <v>0</v>
      </c>
      <c r="O119" s="97" t="s">
        <v>48</v>
      </c>
      <c r="P119" s="191"/>
      <c r="Q119" s="191"/>
      <c r="R119" s="191"/>
      <c r="S119" s="191"/>
      <c r="T119" s="190"/>
      <c r="U119" s="190"/>
      <c r="V119" s="190"/>
      <c r="W119" s="190"/>
      <c r="X119" s="190"/>
      <c r="Y119" s="178" t="s">
        <v>145</v>
      </c>
      <c r="Z119" s="178"/>
      <c r="AA119" s="178"/>
      <c r="AB119" s="178"/>
      <c r="AC119" s="180"/>
      <c r="AD119" s="180">
        <f>SUM(AD120:AD120)</f>
        <v>0</v>
      </c>
      <c r="AE119" s="179" t="s">
        <v>25</v>
      </c>
      <c r="AF119" s="1"/>
    </row>
    <row r="120" spans="1:32" s="11" customFormat="1" ht="21" customHeight="1">
      <c r="A120" s="45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85" t="s">
        <v>403</v>
      </c>
      <c r="P120" s="144"/>
      <c r="Q120" s="144"/>
      <c r="R120" s="144"/>
      <c r="S120" s="144"/>
      <c r="T120" s="143"/>
      <c r="U120" s="143"/>
      <c r="V120" s="143"/>
      <c r="W120" s="143"/>
      <c r="X120" s="143"/>
      <c r="Y120" s="143"/>
      <c r="Z120" s="143"/>
      <c r="AA120" s="143"/>
      <c r="AB120" s="145"/>
      <c r="AC120" s="52"/>
      <c r="AD120" s="292">
        <v>0</v>
      </c>
      <c r="AE120" s="57" t="s">
        <v>127</v>
      </c>
      <c r="AF120" s="2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32"/>
      <c r="AE121" s="124"/>
      <c r="AF121" s="2"/>
    </row>
    <row r="122" spans="1:32" s="11" customFormat="1" ht="21" customHeight="1">
      <c r="A122" s="45"/>
      <c r="B122" s="46"/>
      <c r="C122" s="36" t="s">
        <v>18</v>
      </c>
      <c r="D122" s="162">
        <v>1100</v>
      </c>
      <c r="E122" s="114">
        <f>AD122/1000</f>
        <v>2500</v>
      </c>
      <c r="F122" s="113">
        <f>SUMIF($AB$123:$AB$126,"보조",$AD$123:$AD$126)/1000</f>
        <v>0</v>
      </c>
      <c r="G122" s="113">
        <f>SUMIF($AB$123:$AB$126,"7종",$AD$123:$AD$126)/1000</f>
        <v>2000</v>
      </c>
      <c r="H122" s="113">
        <f>SUMIF($AB$123:$AB$126,"시비",$AD$123:$AD$126)/1000</f>
        <v>0</v>
      </c>
      <c r="I122" s="113">
        <f>SUMIF($AB$123:$AB$126,"후원",$AD$123:$AD$126)/1000</f>
        <v>0</v>
      </c>
      <c r="J122" s="113">
        <f>SUMIF($AB$123:$AB$126,"입소",$AD$123:$AD$126)/1000</f>
        <v>500</v>
      </c>
      <c r="K122" s="113">
        <f>SUMIF($AB$123:$AB$126,"법인",$AD$123:$AD$126)/1000</f>
        <v>0</v>
      </c>
      <c r="L122" s="113">
        <f>SUMIF($AB$123:$AB$126,"잡수",$AD$123:$AD$126)/1000</f>
        <v>0</v>
      </c>
      <c r="M122" s="113">
        <f>E122-D122</f>
        <v>1400</v>
      </c>
      <c r="N122" s="121">
        <f>IF(D122=0,0,M122/D122)</f>
        <v>1.2727272727272727</v>
      </c>
      <c r="O122" s="97" t="s">
        <v>49</v>
      </c>
      <c r="P122" s="93"/>
      <c r="Q122" s="93"/>
      <c r="R122" s="93"/>
      <c r="S122" s="93"/>
      <c r="T122" s="89"/>
      <c r="U122" s="89"/>
      <c r="V122" s="89"/>
      <c r="W122" s="89"/>
      <c r="X122" s="89"/>
      <c r="Y122" s="178" t="s">
        <v>145</v>
      </c>
      <c r="Z122" s="178"/>
      <c r="AA122" s="178"/>
      <c r="AB122" s="178"/>
      <c r="AC122" s="180"/>
      <c r="AD122" s="180">
        <f>SUM(AD123:AD125)</f>
        <v>2500000</v>
      </c>
      <c r="AE122" s="179" t="s">
        <v>25</v>
      </c>
      <c r="AF122" s="1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587" t="s">
        <v>642</v>
      </c>
      <c r="P123" s="587"/>
      <c r="Q123" s="587"/>
      <c r="R123" s="587"/>
      <c r="S123" s="586"/>
      <c r="T123" s="390"/>
      <c r="U123" s="390"/>
      <c r="V123" s="586"/>
      <c r="W123" s="587"/>
      <c r="X123" s="586"/>
      <c r="Y123" s="586"/>
      <c r="Z123" s="586"/>
      <c r="AA123" s="586"/>
      <c r="AB123" s="586" t="s">
        <v>627</v>
      </c>
      <c r="AC123" s="586"/>
      <c r="AD123" s="586">
        <v>2000000</v>
      </c>
      <c r="AE123" s="137" t="s">
        <v>25</v>
      </c>
      <c r="AF123" s="2"/>
    </row>
    <row r="124" spans="1:32" s="11" customFormat="1" ht="21" customHeight="1">
      <c r="A124" s="45"/>
      <c r="B124" s="46"/>
      <c r="C124" s="46"/>
      <c r="D124" s="11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587" t="s">
        <v>404</v>
      </c>
      <c r="P124" s="587"/>
      <c r="Q124" s="587"/>
      <c r="R124" s="587"/>
      <c r="S124" s="586"/>
      <c r="T124" s="390"/>
      <c r="U124" s="390"/>
      <c r="V124" s="586"/>
      <c r="W124" s="587"/>
      <c r="X124" s="586"/>
      <c r="Y124" s="586"/>
      <c r="Z124" s="586"/>
      <c r="AA124" s="586"/>
      <c r="AB124" s="586" t="s">
        <v>645</v>
      </c>
      <c r="AC124" s="586"/>
      <c r="AD124" s="586">
        <v>500000</v>
      </c>
      <c r="AE124" s="137" t="s">
        <v>57</v>
      </c>
      <c r="AF124" s="2"/>
    </row>
    <row r="125" spans="1:32" s="11" customFormat="1" ht="21" customHeight="1">
      <c r="A125" s="45"/>
      <c r="B125" s="46"/>
      <c r="C125" s="46"/>
      <c r="D125" s="11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587"/>
      <c r="P125" s="587"/>
      <c r="Q125" s="587"/>
      <c r="R125" s="502"/>
      <c r="S125" s="502"/>
      <c r="T125" s="503"/>
      <c r="U125" s="503"/>
      <c r="V125" s="503"/>
      <c r="W125" s="503"/>
      <c r="X125" s="503"/>
      <c r="Y125" s="503"/>
      <c r="Z125" s="503"/>
      <c r="AA125" s="503"/>
      <c r="AB125" s="586"/>
      <c r="AC125" s="504"/>
      <c r="AD125" s="136"/>
      <c r="AE125" s="137"/>
      <c r="AF125" s="2"/>
    </row>
    <row r="126" spans="1:32" s="11" customFormat="1" ht="21" customHeight="1">
      <c r="A126" s="45"/>
      <c r="B126" s="46"/>
      <c r="C126" s="46"/>
      <c r="D126" s="11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157"/>
      <c r="P126" s="50"/>
      <c r="Q126" s="50"/>
      <c r="R126" s="50"/>
      <c r="S126" s="51"/>
      <c r="T126" s="117"/>
      <c r="U126" s="55"/>
      <c r="V126" s="68"/>
      <c r="W126" s="68"/>
      <c r="X126" s="51"/>
      <c r="Y126" s="51"/>
      <c r="Z126" s="51"/>
      <c r="AA126" s="51"/>
      <c r="AB126" s="51"/>
      <c r="AC126" s="51"/>
      <c r="AD126" s="51"/>
      <c r="AE126" s="57"/>
      <c r="AF126" s="2"/>
    </row>
    <row r="127" spans="1:32" s="11" customFormat="1" ht="21" customHeight="1">
      <c r="A127" s="45"/>
      <c r="B127" s="46"/>
      <c r="C127" s="36" t="s">
        <v>50</v>
      </c>
      <c r="D127" s="162">
        <v>500</v>
      </c>
      <c r="E127" s="114">
        <f>AD127/1000</f>
        <v>1000</v>
      </c>
      <c r="F127" s="113">
        <f>SUMIF($AB$128:$AB$131,"보조",$AD$128:$AD$131)/1000</f>
        <v>0</v>
      </c>
      <c r="G127" s="113">
        <f>SUMIF($AB$128:$AB$131,"7종",$AD$128:$AD$131)/1000</f>
        <v>0</v>
      </c>
      <c r="H127" s="113">
        <f>SUMIF($AB$128:$AB$131,"시비",$AD$128:$AD$131)/1000</f>
        <v>0</v>
      </c>
      <c r="I127" s="113">
        <f>SUMIF($AB$128:$AB$131,"후원",$AD$128:$AD$131)/1000</f>
        <v>500</v>
      </c>
      <c r="J127" s="113">
        <f>SUMIF($AB$128:$AB$131,"입소",$AD$128:$AD$131)/1000</f>
        <v>500</v>
      </c>
      <c r="K127" s="113">
        <f>SUMIF($AB$128:$AB$131,"법인",$AD$128:$AD$131)/1000</f>
        <v>0</v>
      </c>
      <c r="L127" s="113">
        <f>SUMIF($AB$128:$AB$131,"잡수",$AD$128:$AD$131)/1000</f>
        <v>0</v>
      </c>
      <c r="M127" s="113">
        <f>E127-D127</f>
        <v>500</v>
      </c>
      <c r="N127" s="121">
        <f>IF(D127=0,0,M127/D127)</f>
        <v>1</v>
      </c>
      <c r="O127" s="97" t="s">
        <v>51</v>
      </c>
      <c r="P127" s="93"/>
      <c r="Q127" s="93"/>
      <c r="R127" s="93"/>
      <c r="S127" s="93"/>
      <c r="T127" s="89"/>
      <c r="U127" s="89"/>
      <c r="V127" s="89"/>
      <c r="W127" s="89"/>
      <c r="X127" s="89"/>
      <c r="Y127" s="178" t="s">
        <v>145</v>
      </c>
      <c r="Z127" s="178"/>
      <c r="AA127" s="178"/>
      <c r="AB127" s="178"/>
      <c r="AC127" s="180"/>
      <c r="AD127" s="180">
        <f>SUM(AD128:AD130)</f>
        <v>1000000</v>
      </c>
      <c r="AE127" s="179" t="s">
        <v>25</v>
      </c>
      <c r="AF127" s="1"/>
    </row>
    <row r="128" spans="1:32" s="1" customFormat="1" ht="21" customHeight="1">
      <c r="A128" s="45"/>
      <c r="B128" s="46"/>
      <c r="C128" s="46" t="s">
        <v>161</v>
      </c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587" t="s">
        <v>552</v>
      </c>
      <c r="P128" s="477"/>
      <c r="Q128" s="477"/>
      <c r="R128" s="477"/>
      <c r="S128" s="476"/>
      <c r="T128" s="390"/>
      <c r="U128" s="390"/>
      <c r="V128" s="476"/>
      <c r="W128" s="477"/>
      <c r="X128" s="476"/>
      <c r="Y128" s="476"/>
      <c r="Z128" s="476"/>
      <c r="AA128" s="476"/>
      <c r="AB128" s="476" t="s">
        <v>331</v>
      </c>
      <c r="AC128" s="476"/>
      <c r="AD128" s="476">
        <v>0</v>
      </c>
      <c r="AE128" s="137" t="s">
        <v>25</v>
      </c>
      <c r="AF128" s="2"/>
    </row>
    <row r="129" spans="1:32" s="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587" t="s">
        <v>643</v>
      </c>
      <c r="P129" s="587"/>
      <c r="Q129" s="587"/>
      <c r="R129" s="587"/>
      <c r="S129" s="586"/>
      <c r="T129" s="390"/>
      <c r="U129" s="390"/>
      <c r="V129" s="586"/>
      <c r="W129" s="587"/>
      <c r="X129" s="586"/>
      <c r="Y129" s="586"/>
      <c r="Z129" s="586"/>
      <c r="AA129" s="586"/>
      <c r="AB129" s="586" t="s">
        <v>645</v>
      </c>
      <c r="AC129" s="586"/>
      <c r="AD129" s="586">
        <v>500000</v>
      </c>
      <c r="AE129" s="137" t="s">
        <v>644</v>
      </c>
      <c r="AF129" s="2"/>
    </row>
    <row r="130" spans="1:32" s="1" customFormat="1" ht="21" customHeight="1">
      <c r="A130" s="45"/>
      <c r="B130" s="46"/>
      <c r="C130" s="46"/>
      <c r="D130" s="160"/>
      <c r="E130" s="109"/>
      <c r="F130" s="109"/>
      <c r="G130" s="109"/>
      <c r="H130" s="109"/>
      <c r="I130" s="109"/>
      <c r="J130" s="109"/>
      <c r="K130" s="109"/>
      <c r="L130" s="109"/>
      <c r="M130" s="109"/>
      <c r="N130" s="70"/>
      <c r="O130" s="587" t="s">
        <v>404</v>
      </c>
      <c r="P130" s="477"/>
      <c r="Q130" s="477"/>
      <c r="R130" s="477"/>
      <c r="S130" s="476"/>
      <c r="T130" s="390"/>
      <c r="U130" s="390"/>
      <c r="V130" s="476"/>
      <c r="W130" s="477"/>
      <c r="X130" s="476"/>
      <c r="Y130" s="476"/>
      <c r="Z130" s="476"/>
      <c r="AA130" s="476"/>
      <c r="AB130" s="535" t="s">
        <v>340</v>
      </c>
      <c r="AC130" s="476"/>
      <c r="AD130" s="476">
        <v>500000</v>
      </c>
      <c r="AE130" s="137" t="s">
        <v>322</v>
      </c>
      <c r="AF130" s="2"/>
    </row>
    <row r="131" spans="1:32" s="1" customFormat="1" ht="21" customHeight="1">
      <c r="A131" s="45"/>
      <c r="B131" s="46"/>
      <c r="C131" s="46"/>
      <c r="D131" s="16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157"/>
      <c r="P131" s="50"/>
      <c r="Q131" s="50"/>
      <c r="R131" s="50"/>
      <c r="S131" s="51"/>
      <c r="T131" s="55"/>
      <c r="U131" s="55"/>
      <c r="V131" s="51"/>
      <c r="W131" s="50"/>
      <c r="X131" s="51"/>
      <c r="Y131" s="51"/>
      <c r="Z131" s="51"/>
      <c r="AA131" s="51"/>
      <c r="AB131" s="125"/>
      <c r="AC131" s="51"/>
      <c r="AD131" s="51"/>
      <c r="AE131" s="57"/>
      <c r="AF131" s="2"/>
    </row>
    <row r="132" spans="1:32" s="11" customFormat="1" ht="21" customHeight="1">
      <c r="A132" s="197" t="s">
        <v>19</v>
      </c>
      <c r="B132" s="658" t="s">
        <v>20</v>
      </c>
      <c r="C132" s="659"/>
      <c r="D132" s="198">
        <f t="shared" ref="D132:L132" si="17">SUM(D133,D162)</f>
        <v>19770</v>
      </c>
      <c r="E132" s="198">
        <f t="shared" si="17"/>
        <v>18911</v>
      </c>
      <c r="F132" s="198">
        <f t="shared" si="17"/>
        <v>11236</v>
      </c>
      <c r="G132" s="198">
        <f t="shared" si="17"/>
        <v>0</v>
      </c>
      <c r="H132" s="198">
        <f t="shared" si="17"/>
        <v>0</v>
      </c>
      <c r="I132" s="198">
        <f t="shared" si="17"/>
        <v>872</v>
      </c>
      <c r="J132" s="198">
        <f t="shared" si="17"/>
        <v>6754</v>
      </c>
      <c r="K132" s="198">
        <f t="shared" si="17"/>
        <v>5.7000000000000002E-2</v>
      </c>
      <c r="L132" s="198">
        <f t="shared" si="17"/>
        <v>49</v>
      </c>
      <c r="M132" s="198">
        <f>SUM(M133,M143,M147,M151,M158)</f>
        <v>141</v>
      </c>
      <c r="N132" s="199">
        <f>IF(D132=0,0,M132/D132)</f>
        <v>7.1320182094081943E-3</v>
      </c>
      <c r="O132" s="191" t="s">
        <v>153</v>
      </c>
      <c r="P132" s="93"/>
      <c r="Q132" s="93"/>
      <c r="R132" s="93"/>
      <c r="S132" s="93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>
        <f>SUM(AD133,AD162)</f>
        <v>18911000</v>
      </c>
      <c r="AE132" s="95" t="s">
        <v>25</v>
      </c>
      <c r="AF132" s="13"/>
    </row>
    <row r="133" spans="1:32" s="11" customFormat="1" ht="21" customHeight="1">
      <c r="A133" s="46"/>
      <c r="B133" s="36" t="s">
        <v>92</v>
      </c>
      <c r="C133" s="36" t="s">
        <v>154</v>
      </c>
      <c r="D133" s="113">
        <f t="shared" ref="D133:L133" si="18">SUM(D134,D143,D147,D151,D158)</f>
        <v>13830</v>
      </c>
      <c r="E133" s="113">
        <f t="shared" si="18"/>
        <v>13971</v>
      </c>
      <c r="F133" s="113">
        <f t="shared" si="18"/>
        <v>11236</v>
      </c>
      <c r="G133" s="113">
        <f t="shared" si="18"/>
        <v>0</v>
      </c>
      <c r="H133" s="113">
        <f t="shared" si="18"/>
        <v>0</v>
      </c>
      <c r="I133" s="113">
        <f t="shared" si="18"/>
        <v>872</v>
      </c>
      <c r="J133" s="113">
        <f t="shared" si="18"/>
        <v>1814</v>
      </c>
      <c r="K133" s="113">
        <f t="shared" si="18"/>
        <v>5.7000000000000002E-2</v>
      </c>
      <c r="L133" s="113">
        <f t="shared" si="18"/>
        <v>49</v>
      </c>
      <c r="M133" s="113">
        <f>E133-D133</f>
        <v>141</v>
      </c>
      <c r="N133" s="121">
        <f>IF(D133=0,0,M133/D133)</f>
        <v>1.0195227765726681E-2</v>
      </c>
      <c r="O133" s="93"/>
      <c r="P133" s="93"/>
      <c r="Q133" s="93"/>
      <c r="R133" s="93"/>
      <c r="S133" s="93"/>
      <c r="T133" s="89"/>
      <c r="U133" s="89"/>
      <c r="V133" s="89"/>
      <c r="W133" s="89"/>
      <c r="X133" s="89"/>
      <c r="Y133" s="89" t="s">
        <v>28</v>
      </c>
      <c r="Z133" s="89"/>
      <c r="AA133" s="89"/>
      <c r="AB133" s="89"/>
      <c r="AC133" s="94"/>
      <c r="AD133" s="94">
        <f>SUM(AD134,AD143,AD147,AD151,AD158)</f>
        <v>13971000</v>
      </c>
      <c r="AE133" s="95" t="s">
        <v>25</v>
      </c>
      <c r="AF133" s="1"/>
    </row>
    <row r="134" spans="1:32" s="11" customFormat="1" ht="21" customHeight="1">
      <c r="A134" s="46"/>
      <c r="B134" s="46"/>
      <c r="C134" s="36" t="s">
        <v>59</v>
      </c>
      <c r="D134" s="162">
        <v>11300</v>
      </c>
      <c r="E134" s="114">
        <f>AD134/1000</f>
        <v>11441</v>
      </c>
      <c r="F134" s="113">
        <f>SUMIF($AB$135:$AB$142,"보조",$AD$135:$AD$142)/1000</f>
        <v>9346</v>
      </c>
      <c r="G134" s="113">
        <f>SUMIF($AB$135:$AB$142,"7종",$AD$135:$AD$142)/1000</f>
        <v>0</v>
      </c>
      <c r="H134" s="113">
        <f>SUMIF($AB$135:$AB$142,"시비",$AD$135:$AD$142)/1000</f>
        <v>0</v>
      </c>
      <c r="I134" s="113">
        <f>SUMIF($AB$135:$AB$142,"후원",$AD$135:$AD$142)/1000</f>
        <v>722</v>
      </c>
      <c r="J134" s="113">
        <f>SUMIF($AB$135:$AB$142,"입소",$AD$135:$AD$142)/1000</f>
        <v>1324</v>
      </c>
      <c r="K134" s="113">
        <f>SUMIF($AB$135:$AB$142,"법인",$AD$135:$AD$142)/1000</f>
        <v>5.7000000000000002E-2</v>
      </c>
      <c r="L134" s="113">
        <f>SUMIF($AB$135:$AB$142,"잡수",$AD$135:$AD$142)/1000</f>
        <v>49</v>
      </c>
      <c r="M134" s="113">
        <f>E134-D134</f>
        <v>141</v>
      </c>
      <c r="N134" s="121">
        <f>IF(D134=0,0,M134/D134)</f>
        <v>1.2477876106194691E-2</v>
      </c>
      <c r="O134" s="97" t="s">
        <v>93</v>
      </c>
      <c r="P134" s="191"/>
      <c r="Q134" s="191"/>
      <c r="R134" s="191"/>
      <c r="S134" s="191"/>
      <c r="T134" s="190"/>
      <c r="U134" s="190"/>
      <c r="V134" s="190"/>
      <c r="W134" s="190"/>
      <c r="X134" s="190"/>
      <c r="Y134" s="178" t="s">
        <v>145</v>
      </c>
      <c r="Z134" s="178"/>
      <c r="AA134" s="178"/>
      <c r="AB134" s="178"/>
      <c r="AC134" s="180"/>
      <c r="AD134" s="180">
        <f>ROUNDDOWN(SUM(AD135:AD141),-3)</f>
        <v>11441000</v>
      </c>
      <c r="AE134" s="179" t="s">
        <v>25</v>
      </c>
      <c r="AF134" s="1"/>
    </row>
    <row r="135" spans="1:32" s="11" customFormat="1" ht="21" customHeight="1">
      <c r="A135" s="46"/>
      <c r="B135" s="46"/>
      <c r="C135" s="46"/>
      <c r="D135" s="11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587" t="s">
        <v>405</v>
      </c>
      <c r="P135" s="477"/>
      <c r="Q135" s="476"/>
      <c r="R135" s="476"/>
      <c r="S135" s="476">
        <v>180000</v>
      </c>
      <c r="T135" s="476" t="s">
        <v>325</v>
      </c>
      <c r="U135" s="390" t="s">
        <v>326</v>
      </c>
      <c r="V135" s="476">
        <v>12</v>
      </c>
      <c r="W135" s="476" t="s">
        <v>328</v>
      </c>
      <c r="X135" s="390" t="s">
        <v>326</v>
      </c>
      <c r="Y135" s="476">
        <v>4</v>
      </c>
      <c r="Z135" s="476" t="s">
        <v>327</v>
      </c>
      <c r="AA135" s="384" t="s">
        <v>329</v>
      </c>
      <c r="AB135" s="476" t="s">
        <v>331</v>
      </c>
      <c r="AC135" s="136"/>
      <c r="AD135" s="136">
        <f>ROUNDDOWN(S135*V135*Y135,-3)</f>
        <v>8640000</v>
      </c>
      <c r="AE135" s="137" t="s">
        <v>25</v>
      </c>
      <c r="AF135" s="2"/>
    </row>
    <row r="136" spans="1:32" s="11" customFormat="1" ht="21" customHeight="1">
      <c r="A136" s="46"/>
      <c r="B136" s="46"/>
      <c r="C136" s="46"/>
      <c r="D136" s="11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587" t="s">
        <v>453</v>
      </c>
      <c r="P136" s="587"/>
      <c r="Q136" s="586"/>
      <c r="R136" s="586"/>
      <c r="S136" s="586"/>
      <c r="T136" s="586"/>
      <c r="U136" s="390"/>
      <c r="V136" s="586"/>
      <c r="W136" s="586"/>
      <c r="X136" s="390"/>
      <c r="Y136" s="586"/>
      <c r="Z136" s="586"/>
      <c r="AA136" s="384"/>
      <c r="AB136" s="586" t="s">
        <v>628</v>
      </c>
      <c r="AC136" s="136"/>
      <c r="AD136" s="136">
        <v>706000</v>
      </c>
      <c r="AE136" s="137" t="s">
        <v>408</v>
      </c>
      <c r="AF136" s="2"/>
    </row>
    <row r="137" spans="1:32" s="11" customFormat="1" ht="21" customHeight="1">
      <c r="A137" s="46"/>
      <c r="B137" s="46"/>
      <c r="C137" s="46"/>
      <c r="D137" s="11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587"/>
      <c r="P137" s="587"/>
      <c r="Q137" s="586"/>
      <c r="R137" s="586"/>
      <c r="S137" s="586"/>
      <c r="T137" s="586"/>
      <c r="U137" s="390"/>
      <c r="V137" s="586"/>
      <c r="W137" s="586"/>
      <c r="X137" s="390"/>
      <c r="Y137" s="586"/>
      <c r="Z137" s="586"/>
      <c r="AA137" s="384"/>
      <c r="AB137" s="586" t="s">
        <v>633</v>
      </c>
      <c r="AC137" s="136"/>
      <c r="AD137" s="136">
        <v>722000</v>
      </c>
      <c r="AE137" s="137" t="s">
        <v>641</v>
      </c>
      <c r="AF137" s="2"/>
    </row>
    <row r="138" spans="1:32" s="11" customFormat="1" ht="21" customHeight="1">
      <c r="A138" s="46"/>
      <c r="B138" s="46"/>
      <c r="C138" s="46"/>
      <c r="D138" s="11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587" t="s">
        <v>406</v>
      </c>
      <c r="P138" s="477"/>
      <c r="Q138" s="477"/>
      <c r="R138" s="477"/>
      <c r="S138" s="476"/>
      <c r="T138" s="476"/>
      <c r="U138" s="390"/>
      <c r="V138" s="476"/>
      <c r="W138" s="476"/>
      <c r="X138" s="390"/>
      <c r="Y138" s="476"/>
      <c r="Z138" s="476"/>
      <c r="AA138" s="384"/>
      <c r="AB138" s="586" t="s">
        <v>568</v>
      </c>
      <c r="AC138" s="136"/>
      <c r="AD138" s="136">
        <v>1024000</v>
      </c>
      <c r="AE138" s="137" t="s">
        <v>25</v>
      </c>
      <c r="AF138" s="2"/>
    </row>
    <row r="139" spans="1:32" s="11" customFormat="1" ht="21" customHeight="1">
      <c r="A139" s="46"/>
      <c r="B139" s="46"/>
      <c r="C139" s="46"/>
      <c r="D139" s="11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587" t="s">
        <v>406</v>
      </c>
      <c r="P139" s="587"/>
      <c r="Q139" s="587"/>
      <c r="R139" s="587"/>
      <c r="S139" s="586"/>
      <c r="T139" s="586"/>
      <c r="U139" s="390"/>
      <c r="V139" s="586"/>
      <c r="W139" s="586"/>
      <c r="X139" s="390"/>
      <c r="Y139" s="586"/>
      <c r="Z139" s="586"/>
      <c r="AA139" s="384"/>
      <c r="AB139" s="586" t="s">
        <v>409</v>
      </c>
      <c r="AC139" s="136"/>
      <c r="AD139" s="136">
        <v>49000</v>
      </c>
      <c r="AE139" s="137" t="s">
        <v>408</v>
      </c>
      <c r="AF139" s="2"/>
    </row>
    <row r="140" spans="1:32" s="11" customFormat="1" ht="21" customHeight="1">
      <c r="A140" s="46"/>
      <c r="B140" s="46"/>
      <c r="C140" s="46"/>
      <c r="D140" s="110"/>
      <c r="E140" s="109"/>
      <c r="F140" s="109"/>
      <c r="G140" s="109"/>
      <c r="H140" s="109"/>
      <c r="I140" s="109"/>
      <c r="J140" s="109"/>
      <c r="K140" s="109"/>
      <c r="L140" s="109"/>
      <c r="M140" s="109"/>
      <c r="N140" s="70"/>
      <c r="O140" s="587" t="s">
        <v>406</v>
      </c>
      <c r="P140" s="587"/>
      <c r="Q140" s="587"/>
      <c r="R140" s="587"/>
      <c r="S140" s="586"/>
      <c r="T140" s="586"/>
      <c r="U140" s="390"/>
      <c r="V140" s="586"/>
      <c r="W140" s="586"/>
      <c r="X140" s="390"/>
      <c r="Y140" s="586"/>
      <c r="Z140" s="586"/>
      <c r="AA140" s="384"/>
      <c r="AB140" s="586" t="s">
        <v>410</v>
      </c>
      <c r="AC140" s="136"/>
      <c r="AD140" s="136">
        <v>57</v>
      </c>
      <c r="AE140" s="137" t="s">
        <v>408</v>
      </c>
      <c r="AF140" s="2"/>
    </row>
    <row r="141" spans="1:32" s="11" customFormat="1" ht="21" customHeight="1">
      <c r="A141" s="46"/>
      <c r="B141" s="46"/>
      <c r="C141" s="46"/>
      <c r="D141" s="11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587" t="s">
        <v>407</v>
      </c>
      <c r="P141" s="477"/>
      <c r="Q141" s="476"/>
      <c r="R141" s="476"/>
      <c r="S141" s="476"/>
      <c r="T141" s="476"/>
      <c r="U141" s="390"/>
      <c r="V141" s="476"/>
      <c r="W141" s="476"/>
      <c r="X141" s="390"/>
      <c r="Y141" s="476"/>
      <c r="Z141" s="476"/>
      <c r="AA141" s="384" t="s">
        <v>323</v>
      </c>
      <c r="AB141" s="586" t="s">
        <v>605</v>
      </c>
      <c r="AC141" s="136"/>
      <c r="AD141" s="136">
        <v>300000</v>
      </c>
      <c r="AE141" s="137" t="s">
        <v>25</v>
      </c>
      <c r="AF141" s="2"/>
    </row>
    <row r="142" spans="1:32" s="11" customFormat="1" ht="21" customHeight="1">
      <c r="A142" s="46"/>
      <c r="B142" s="46"/>
      <c r="C142" s="59"/>
      <c r="D142" s="161"/>
      <c r="E142" s="111"/>
      <c r="F142" s="111"/>
      <c r="G142" s="111"/>
      <c r="H142" s="111"/>
      <c r="I142" s="111"/>
      <c r="J142" s="111"/>
      <c r="K142" s="111"/>
      <c r="L142" s="111"/>
      <c r="M142" s="111"/>
      <c r="N142" s="84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32"/>
      <c r="AE142" s="124"/>
      <c r="AF142" s="2"/>
    </row>
    <row r="143" spans="1:32" s="11" customFormat="1" ht="21" customHeight="1">
      <c r="A143" s="46"/>
      <c r="B143" s="46"/>
      <c r="C143" s="46" t="s">
        <v>94</v>
      </c>
      <c r="D143" s="160">
        <v>750</v>
      </c>
      <c r="E143" s="114">
        <f>AD143/1000</f>
        <v>750</v>
      </c>
      <c r="F143" s="109">
        <f>SUMIF($AB$144:$AB$146,"보조",$AD$144:$AD$146)/1000</f>
        <v>600</v>
      </c>
      <c r="G143" s="109">
        <f>SUMIF($AB$144:$AB$146,"7종",$AD$144:$AD$146)/1000</f>
        <v>0</v>
      </c>
      <c r="H143" s="109">
        <f>SUMIF($AB$144:$AB$146,"시비",$AD$144:$AD$146)/1000</f>
        <v>0</v>
      </c>
      <c r="I143" s="109">
        <f>SUMIF($AB$144:$AB$146,"후원",$AD$144:$AD$146)/1000</f>
        <v>150</v>
      </c>
      <c r="J143" s="109">
        <f>SUMIF($AB$144:$AB$146,"입소",$AD$144:$AD$146)/1000</f>
        <v>0</v>
      </c>
      <c r="K143" s="109">
        <f>SUMIF($AB$144:$AB$146,"법인",$AD$144:$AD$146)/1000</f>
        <v>0</v>
      </c>
      <c r="L143" s="109">
        <f>SUMIF($AB$144:$AB$146,"잡수",$AD$144:$AD$146)/1000</f>
        <v>0</v>
      </c>
      <c r="M143" s="109">
        <f>E143-D143</f>
        <v>0</v>
      </c>
      <c r="N143" s="70">
        <f>IF(D143=0,0,M143/D143)</f>
        <v>0</v>
      </c>
      <c r="O143" s="97" t="s">
        <v>95</v>
      </c>
      <c r="P143" s="93"/>
      <c r="Q143" s="93"/>
      <c r="R143" s="93"/>
      <c r="S143" s="93"/>
      <c r="T143" s="89"/>
      <c r="U143" s="89"/>
      <c r="V143" s="89"/>
      <c r="W143" s="89"/>
      <c r="X143" s="89"/>
      <c r="Y143" s="178" t="s">
        <v>145</v>
      </c>
      <c r="Z143" s="178"/>
      <c r="AA143" s="178"/>
      <c r="AB143" s="178"/>
      <c r="AC143" s="180"/>
      <c r="AD143" s="180">
        <f>SUM(AD144:AD146)</f>
        <v>750000</v>
      </c>
      <c r="AE143" s="179" t="s">
        <v>25</v>
      </c>
      <c r="AF143" s="1"/>
    </row>
    <row r="144" spans="1:32" s="11" customFormat="1" ht="21" customHeight="1">
      <c r="A144" s="46"/>
      <c r="B144" s="46"/>
      <c r="C144" s="46" t="s">
        <v>155</v>
      </c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587" t="s">
        <v>550</v>
      </c>
      <c r="P144" s="477"/>
      <c r="Q144" s="477"/>
      <c r="R144" s="477"/>
      <c r="S144" s="476"/>
      <c r="T144" s="390"/>
      <c r="U144" s="390"/>
      <c r="V144" s="403">
        <v>50000</v>
      </c>
      <c r="W144" s="404" t="s">
        <v>57</v>
      </c>
      <c r="X144" s="404" t="s">
        <v>26</v>
      </c>
      <c r="Y144" s="403">
        <v>12</v>
      </c>
      <c r="Z144" s="405" t="s">
        <v>29</v>
      </c>
      <c r="AA144" s="403" t="s">
        <v>27</v>
      </c>
      <c r="AB144" s="476" t="s">
        <v>324</v>
      </c>
      <c r="AC144" s="476"/>
      <c r="AD144" s="586">
        <f>V144*Y144</f>
        <v>600000</v>
      </c>
      <c r="AE144" s="137" t="s">
        <v>322</v>
      </c>
      <c r="AF144" s="2"/>
    </row>
    <row r="145" spans="1:32" s="11" customFormat="1" ht="21" customHeight="1">
      <c r="A145" s="46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587" t="s">
        <v>413</v>
      </c>
      <c r="P145" s="477"/>
      <c r="Q145" s="477"/>
      <c r="R145" s="477"/>
      <c r="S145" s="476"/>
      <c r="T145" s="390"/>
      <c r="U145" s="390"/>
      <c r="V145" s="476"/>
      <c r="W145" s="476"/>
      <c r="X145" s="476"/>
      <c r="Y145" s="476"/>
      <c r="Z145" s="476"/>
      <c r="AA145" s="476"/>
      <c r="AB145" s="535" t="s">
        <v>340</v>
      </c>
      <c r="AC145" s="476"/>
      <c r="AD145" s="476">
        <v>150000</v>
      </c>
      <c r="AE145" s="137" t="s">
        <v>322</v>
      </c>
      <c r="AF145" s="2"/>
    </row>
    <row r="146" spans="1:32" s="11" customFormat="1" ht="21" customHeight="1">
      <c r="A146" s="46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293"/>
      <c r="P146" s="293"/>
      <c r="Q146" s="293"/>
      <c r="R146" s="293"/>
      <c r="S146" s="392"/>
      <c r="T146" s="393"/>
      <c r="U146" s="372"/>
      <c r="V146" s="394"/>
      <c r="W146" s="392"/>
      <c r="X146" s="392"/>
      <c r="Y146" s="392"/>
      <c r="Z146" s="392"/>
      <c r="AA146" s="392"/>
      <c r="AB146" s="392"/>
      <c r="AC146" s="392"/>
      <c r="AD146" s="392"/>
      <c r="AE146" s="395"/>
      <c r="AF146" s="1"/>
    </row>
    <row r="147" spans="1:32" s="11" customFormat="1" ht="21" customHeight="1">
      <c r="A147" s="46"/>
      <c r="B147" s="46"/>
      <c r="C147" s="36" t="s">
        <v>89</v>
      </c>
      <c r="D147" s="162">
        <v>1200</v>
      </c>
      <c r="E147" s="114">
        <f>AD147/1000</f>
        <v>1200</v>
      </c>
      <c r="F147" s="113">
        <f>SUMIF($AB$148:$AB$150,"보조",$AD$148:$AD$150)/1000</f>
        <v>1000</v>
      </c>
      <c r="G147" s="113">
        <f>SUMIF($AB$148:$AB$150,"7종",$AD$148:$AD$150)/1000</f>
        <v>0</v>
      </c>
      <c r="H147" s="113">
        <f>SUMIF($AB$148:$AB$150,"시비",$AD$148:$AD$150)/1000</f>
        <v>0</v>
      </c>
      <c r="I147" s="113">
        <f>SUMIF($AB$148:$AB$150,"후원",$AD$148:$AD$150)/1000</f>
        <v>0</v>
      </c>
      <c r="J147" s="113">
        <f>SUMIF($AB$148:$AB$150,"입소",$AD$148:$AD$150)/1000</f>
        <v>200</v>
      </c>
      <c r="K147" s="113">
        <f>SUMIF($AB$148:$AB$150,"법인",$AD$148:$AD$150)/1000</f>
        <v>0</v>
      </c>
      <c r="L147" s="113">
        <f>SUMIF($AB$148:$AB$150,"잡수",$AD$148:$AD$150)/1000</f>
        <v>0</v>
      </c>
      <c r="M147" s="113">
        <f>E147-D147</f>
        <v>0</v>
      </c>
      <c r="N147" s="121">
        <f>IF(D147=0,0,M147/D147)</f>
        <v>0</v>
      </c>
      <c r="O147" s="97" t="s">
        <v>140</v>
      </c>
      <c r="P147" s="177"/>
      <c r="Q147" s="93"/>
      <c r="R147" s="93"/>
      <c r="S147" s="93"/>
      <c r="T147" s="89"/>
      <c r="U147" s="89"/>
      <c r="V147" s="89"/>
      <c r="W147" s="190"/>
      <c r="X147" s="190"/>
      <c r="Y147" s="178" t="s">
        <v>145</v>
      </c>
      <c r="Z147" s="178"/>
      <c r="AA147" s="178"/>
      <c r="AB147" s="178"/>
      <c r="AC147" s="180"/>
      <c r="AD147" s="180">
        <f>SUM(AD148:AD150)</f>
        <v>1200000</v>
      </c>
      <c r="AE147" s="179" t="s">
        <v>25</v>
      </c>
      <c r="AF147" s="1"/>
    </row>
    <row r="148" spans="1:32" s="11" customFormat="1" ht="21" customHeight="1">
      <c r="A148" s="46"/>
      <c r="B148" s="46"/>
      <c r="C148" s="46"/>
      <c r="D148" s="11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587" t="s">
        <v>551</v>
      </c>
      <c r="P148" s="477"/>
      <c r="Q148" s="476"/>
      <c r="R148" s="476"/>
      <c r="S148" s="476">
        <v>250000</v>
      </c>
      <c r="T148" s="476" t="s">
        <v>325</v>
      </c>
      <c r="U148" s="477" t="s">
        <v>326</v>
      </c>
      <c r="V148" s="578">
        <v>4</v>
      </c>
      <c r="W148" s="578" t="s">
        <v>56</v>
      </c>
      <c r="X148" s="477"/>
      <c r="Y148" s="476"/>
      <c r="Z148" s="476"/>
      <c r="AA148" s="476" t="s">
        <v>329</v>
      </c>
      <c r="AB148" s="578" t="s">
        <v>378</v>
      </c>
      <c r="AC148" s="136"/>
      <c r="AD148" s="136">
        <f>S148*V148</f>
        <v>1000000</v>
      </c>
      <c r="AE148" s="137" t="s">
        <v>25</v>
      </c>
      <c r="AF148" s="1"/>
    </row>
    <row r="149" spans="1:32" s="11" customFormat="1" ht="21" customHeight="1">
      <c r="A149" s="46"/>
      <c r="B149" s="46"/>
      <c r="C149" s="46"/>
      <c r="D149" s="11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587"/>
      <c r="P149" s="587"/>
      <c r="Q149" s="586"/>
      <c r="R149" s="586"/>
      <c r="S149" s="586">
        <v>50000</v>
      </c>
      <c r="T149" s="586" t="s">
        <v>57</v>
      </c>
      <c r="U149" s="587" t="s">
        <v>58</v>
      </c>
      <c r="V149" s="586">
        <v>4</v>
      </c>
      <c r="W149" s="586" t="s">
        <v>56</v>
      </c>
      <c r="X149" s="587"/>
      <c r="Y149" s="586"/>
      <c r="Z149" s="586"/>
      <c r="AA149" s="586" t="s">
        <v>53</v>
      </c>
      <c r="AB149" s="586" t="s">
        <v>546</v>
      </c>
      <c r="AC149" s="136"/>
      <c r="AD149" s="136">
        <f>S149*V149</f>
        <v>200000</v>
      </c>
      <c r="AE149" s="137" t="s">
        <v>25</v>
      </c>
      <c r="AF149" s="1"/>
    </row>
    <row r="150" spans="1:32" s="11" customFormat="1" ht="21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477"/>
      <c r="P150" s="477"/>
      <c r="Q150" s="476"/>
      <c r="R150" s="476"/>
      <c r="S150" s="476"/>
      <c r="T150" s="476"/>
      <c r="U150" s="477"/>
      <c r="V150" s="476"/>
      <c r="W150" s="476"/>
      <c r="X150" s="477"/>
      <c r="Y150" s="476"/>
      <c r="Z150" s="476"/>
      <c r="AA150" s="476"/>
      <c r="AB150" s="476"/>
      <c r="AC150" s="136"/>
      <c r="AD150" s="136"/>
      <c r="AE150" s="137"/>
      <c r="AF150" s="1"/>
    </row>
    <row r="151" spans="1:32" s="11" customFormat="1" ht="21" customHeight="1">
      <c r="A151" s="46"/>
      <c r="B151" s="46"/>
      <c r="C151" s="36" t="s">
        <v>90</v>
      </c>
      <c r="D151" s="162">
        <v>400</v>
      </c>
      <c r="E151" s="114">
        <f>AD151/1000</f>
        <v>430</v>
      </c>
      <c r="F151" s="113">
        <f>SUMIF($AB$152:$AB$157,"보조",$AD$152:$AD$157)/1000</f>
        <v>230</v>
      </c>
      <c r="G151" s="113">
        <f>SUMIF($AB$152:$AB$157,"7종",$AD$152:$AD$157)/1000</f>
        <v>0</v>
      </c>
      <c r="H151" s="113">
        <f>SUMIF($AB$152:$AB$157,"시비",$AD$152:$AD$157)/1000</f>
        <v>0</v>
      </c>
      <c r="I151" s="113">
        <f>SUMIF($AB$152:$AB$157,"후원",$AD$152:$AD$157)/1000</f>
        <v>0</v>
      </c>
      <c r="J151" s="113">
        <f>SUMIF($AB$152:$AB$157,"입소",$AD$152:$AD$157)/1000</f>
        <v>200</v>
      </c>
      <c r="K151" s="113">
        <f>SUMIF($AB$152:$AB$157,"법인",$AD$152:$AD$157)/1000</f>
        <v>0</v>
      </c>
      <c r="L151" s="113">
        <f>SUMIF($AB$152:$AB$157,"잡수",$AD$152:$AD$157)/1000</f>
        <v>0</v>
      </c>
      <c r="M151" s="113">
        <f>E151-D151</f>
        <v>30</v>
      </c>
      <c r="N151" s="121">
        <f>IF(D151=0,0,M151/D151)</f>
        <v>7.4999999999999997E-2</v>
      </c>
      <c r="O151" s="97" t="s">
        <v>141</v>
      </c>
      <c r="P151" s="177"/>
      <c r="Q151" s="182"/>
      <c r="R151" s="182"/>
      <c r="S151" s="182"/>
      <c r="T151" s="181"/>
      <c r="U151" s="181"/>
      <c r="V151" s="181"/>
      <c r="W151" s="190"/>
      <c r="X151" s="190"/>
      <c r="Y151" s="178" t="s">
        <v>145</v>
      </c>
      <c r="Z151" s="178"/>
      <c r="AA151" s="178"/>
      <c r="AB151" s="178"/>
      <c r="AC151" s="180"/>
      <c r="AD151" s="180">
        <f>SUM(AD152:AD156)</f>
        <v>430000</v>
      </c>
      <c r="AE151" s="179" t="s">
        <v>25</v>
      </c>
      <c r="AF151" s="1"/>
    </row>
    <row r="152" spans="1:32" s="14" customFormat="1" ht="21" customHeight="1">
      <c r="A152" s="46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579" t="s">
        <v>379</v>
      </c>
      <c r="P152" s="477"/>
      <c r="Q152" s="476"/>
      <c r="R152" s="476"/>
      <c r="S152" s="476">
        <v>40000</v>
      </c>
      <c r="T152" s="476" t="s">
        <v>325</v>
      </c>
      <c r="U152" s="477" t="s">
        <v>326</v>
      </c>
      <c r="V152" s="476">
        <v>1</v>
      </c>
      <c r="W152" s="476" t="s">
        <v>330</v>
      </c>
      <c r="X152" s="477" t="s">
        <v>326</v>
      </c>
      <c r="Y152" s="476">
        <v>4</v>
      </c>
      <c r="Z152" s="476" t="s">
        <v>327</v>
      </c>
      <c r="AA152" s="476" t="s">
        <v>329</v>
      </c>
      <c r="AB152" s="476" t="s">
        <v>331</v>
      </c>
      <c r="AC152" s="136"/>
      <c r="AD152" s="136">
        <f>S152*V152*Y152</f>
        <v>160000</v>
      </c>
      <c r="AE152" s="137" t="s">
        <v>25</v>
      </c>
      <c r="AF152" s="5"/>
    </row>
    <row r="153" spans="1:32" s="14" customFormat="1" ht="21" customHeight="1">
      <c r="A153" s="46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290"/>
      <c r="O153" s="378" t="s">
        <v>380</v>
      </c>
      <c r="P153" s="587"/>
      <c r="Q153" s="586"/>
      <c r="R153" s="586"/>
      <c r="S153" s="586"/>
      <c r="T153" s="586"/>
      <c r="U153" s="587"/>
      <c r="V153" s="586"/>
      <c r="W153" s="586"/>
      <c r="X153" s="587"/>
      <c r="Y153" s="586"/>
      <c r="Z153" s="586"/>
      <c r="AA153" s="586"/>
      <c r="AB153" s="586" t="s">
        <v>569</v>
      </c>
      <c r="AC153" s="136"/>
      <c r="AD153" s="136">
        <v>70000</v>
      </c>
      <c r="AE153" s="137" t="s">
        <v>566</v>
      </c>
      <c r="AF153" s="5"/>
    </row>
    <row r="154" spans="1:32" s="14" customFormat="1" ht="21" customHeight="1">
      <c r="A154" s="46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290"/>
      <c r="O154" s="378"/>
      <c r="P154" s="477"/>
      <c r="Q154" s="477"/>
      <c r="R154" s="477"/>
      <c r="S154" s="476"/>
      <c r="T154" s="476"/>
      <c r="U154" s="477"/>
      <c r="V154" s="476"/>
      <c r="W154" s="476"/>
      <c r="X154" s="477"/>
      <c r="Y154" s="391"/>
      <c r="Z154" s="384"/>
      <c r="AA154" s="384"/>
      <c r="AB154" s="578" t="s">
        <v>381</v>
      </c>
      <c r="AC154" s="136"/>
      <c r="AD154" s="476">
        <v>200000</v>
      </c>
      <c r="AE154" s="137" t="s">
        <v>325</v>
      </c>
      <c r="AF154" s="5"/>
    </row>
    <row r="155" spans="1:32" s="14" customFormat="1" ht="21" customHeight="1">
      <c r="A155" s="46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579" t="s">
        <v>382</v>
      </c>
      <c r="P155" s="579"/>
      <c r="Q155" s="579"/>
      <c r="R155" s="579"/>
      <c r="S155" s="578">
        <v>20000</v>
      </c>
      <c r="T155" s="578" t="s">
        <v>57</v>
      </c>
      <c r="U155" s="579" t="s">
        <v>58</v>
      </c>
      <c r="V155" s="578">
        <v>0</v>
      </c>
      <c r="W155" s="578" t="s">
        <v>56</v>
      </c>
      <c r="X155" s="579" t="s">
        <v>58</v>
      </c>
      <c r="Y155" s="391">
        <v>1</v>
      </c>
      <c r="Z155" s="384" t="s">
        <v>72</v>
      </c>
      <c r="AA155" s="384" t="s">
        <v>53</v>
      </c>
      <c r="AB155" s="578" t="s">
        <v>381</v>
      </c>
      <c r="AC155" s="136"/>
      <c r="AD155" s="578">
        <f>S155*V155*Y155</f>
        <v>0</v>
      </c>
      <c r="AE155" s="137" t="s">
        <v>57</v>
      </c>
      <c r="AF155" s="5"/>
    </row>
    <row r="156" spans="1:32" s="14" customFormat="1" ht="21" customHeight="1">
      <c r="A156" s="46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579" t="s">
        <v>383</v>
      </c>
      <c r="P156" s="477"/>
      <c r="Q156" s="477"/>
      <c r="R156" s="477"/>
      <c r="S156" s="476"/>
      <c r="T156" s="476"/>
      <c r="U156" s="477"/>
      <c r="V156" s="476"/>
      <c r="W156" s="476"/>
      <c r="X156" s="477"/>
      <c r="Y156" s="505"/>
      <c r="Z156" s="491"/>
      <c r="AA156" s="507"/>
      <c r="AB156" s="578" t="s">
        <v>381</v>
      </c>
      <c r="AC156" s="476"/>
      <c r="AD156" s="476">
        <v>0</v>
      </c>
      <c r="AE156" s="137" t="s">
        <v>322</v>
      </c>
      <c r="AF156" s="5"/>
    </row>
    <row r="157" spans="1:32" s="11" customFormat="1" ht="21" customHeight="1">
      <c r="A157" s="46"/>
      <c r="B157" s="46"/>
      <c r="C157" s="59"/>
      <c r="D157" s="161"/>
      <c r="E157" s="167"/>
      <c r="F157" s="167"/>
      <c r="G157" s="167"/>
      <c r="H157" s="167"/>
      <c r="I157" s="167"/>
      <c r="J157" s="167"/>
      <c r="K157" s="167"/>
      <c r="L157" s="167"/>
      <c r="M157" s="133"/>
      <c r="N157" s="84"/>
      <c r="O157" s="508"/>
      <c r="P157" s="508"/>
      <c r="Q157" s="508"/>
      <c r="R157" s="508"/>
      <c r="S157" s="508"/>
      <c r="T157" s="134"/>
      <c r="U157" s="476"/>
      <c r="V157" s="384"/>
      <c r="W157" s="476"/>
      <c r="X157" s="476"/>
      <c r="Y157" s="476"/>
      <c r="Z157" s="476"/>
      <c r="AA157" s="476"/>
      <c r="AB157" s="476"/>
      <c r="AC157" s="476"/>
      <c r="AD157" s="476"/>
      <c r="AE157" s="137"/>
      <c r="AF157" s="1"/>
    </row>
    <row r="158" spans="1:32" s="11" customFormat="1" ht="21" customHeight="1">
      <c r="A158" s="46"/>
      <c r="B158" s="46"/>
      <c r="C158" s="46" t="s">
        <v>91</v>
      </c>
      <c r="D158" s="130">
        <v>180</v>
      </c>
      <c r="E158" s="114">
        <f>AD158/1000</f>
        <v>150</v>
      </c>
      <c r="F158" s="109">
        <f>SUMIF($AB$159:$AB$161,"보조",$AD$159:$AD$161)/1000</f>
        <v>60</v>
      </c>
      <c r="G158" s="109">
        <f>SUMIF($AB$159:$AB$161,"7종",$AD$159:$AD$161)/1000</f>
        <v>0</v>
      </c>
      <c r="H158" s="109">
        <f>SUMIF($AB$159:$AB$161,"시비",$AD$159:$AD$161)/1000</f>
        <v>0</v>
      </c>
      <c r="I158" s="109">
        <f>SUMIF($AB$159:$AB$161,"후원",$AD$159:$AD$161)/1000</f>
        <v>0</v>
      </c>
      <c r="J158" s="109">
        <f>SUMIF($AB$159:$AB$161,"입소",$AD$159:$AD$161)/1000</f>
        <v>90</v>
      </c>
      <c r="K158" s="109">
        <f>SUMIF($AB$159:$AB$161,"법인",$AD$159:$AD$161)/1000</f>
        <v>0</v>
      </c>
      <c r="L158" s="109">
        <f>SUMIF($AB$159:$AB$161,"잡수",$AD$159:$AD$161)/1000</f>
        <v>0</v>
      </c>
      <c r="M158" s="109">
        <f>E158-D158</f>
        <v>-30</v>
      </c>
      <c r="N158" s="70">
        <f>IF(D158=0,0,M158/D158)</f>
        <v>-0.16666666666666666</v>
      </c>
      <c r="O158" s="97" t="s">
        <v>96</v>
      </c>
      <c r="P158" s="93"/>
      <c r="Q158" s="93"/>
      <c r="R158" s="93"/>
      <c r="S158" s="93"/>
      <c r="T158" s="89"/>
      <c r="U158" s="89"/>
      <c r="V158" s="89"/>
      <c r="W158" s="89"/>
      <c r="X158" s="89"/>
      <c r="Y158" s="178" t="s">
        <v>145</v>
      </c>
      <c r="Z158" s="178"/>
      <c r="AA158" s="178"/>
      <c r="AB158" s="178"/>
      <c r="AC158" s="180"/>
      <c r="AD158" s="180">
        <f>ROUND(SUM(AD159:AD160),-3)</f>
        <v>150000</v>
      </c>
      <c r="AE158" s="179" t="s">
        <v>25</v>
      </c>
      <c r="AF158" s="1"/>
    </row>
    <row r="159" spans="1:32" s="11" customFormat="1" ht="21" customHeight="1">
      <c r="A159" s="46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587" t="s">
        <v>414</v>
      </c>
      <c r="P159" s="477"/>
      <c r="Q159" s="477"/>
      <c r="R159" s="477"/>
      <c r="S159" s="476">
        <v>15000</v>
      </c>
      <c r="T159" s="390" t="s">
        <v>325</v>
      </c>
      <c r="U159" s="390" t="s">
        <v>26</v>
      </c>
      <c r="V159" s="476">
        <v>4</v>
      </c>
      <c r="W159" s="476" t="s">
        <v>328</v>
      </c>
      <c r="X159" s="384"/>
      <c r="Y159" s="505"/>
      <c r="Z159" s="491"/>
      <c r="AA159" s="506" t="s">
        <v>329</v>
      </c>
      <c r="AB159" s="476" t="s">
        <v>331</v>
      </c>
      <c r="AC159" s="476"/>
      <c r="AD159" s="476">
        <f>S159*V159</f>
        <v>60000</v>
      </c>
      <c r="AE159" s="137" t="s">
        <v>25</v>
      </c>
      <c r="AF159" s="1"/>
    </row>
    <row r="160" spans="1:32" s="11" customFormat="1" ht="21" customHeight="1">
      <c r="A160" s="46"/>
      <c r="B160" s="46"/>
      <c r="C160" s="46"/>
      <c r="D160" s="160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534"/>
      <c r="P160" s="534"/>
      <c r="Q160" s="534"/>
      <c r="R160" s="534"/>
      <c r="S160" s="533">
        <v>15000</v>
      </c>
      <c r="T160" s="390" t="s">
        <v>57</v>
      </c>
      <c r="U160" s="390" t="s">
        <v>26</v>
      </c>
      <c r="V160" s="533">
        <v>6</v>
      </c>
      <c r="W160" s="533" t="s">
        <v>166</v>
      </c>
      <c r="X160" s="384"/>
      <c r="Y160" s="505"/>
      <c r="Z160" s="491"/>
      <c r="AA160" s="506" t="s">
        <v>235</v>
      </c>
      <c r="AB160" s="586" t="s">
        <v>392</v>
      </c>
      <c r="AC160" s="533"/>
      <c r="AD160" s="533">
        <f>S160*V160</f>
        <v>90000</v>
      </c>
      <c r="AE160" s="137" t="s">
        <v>25</v>
      </c>
      <c r="AF160" s="1"/>
    </row>
    <row r="161" spans="1:33" s="11" customFormat="1" ht="21" customHeight="1">
      <c r="A161" s="46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477"/>
      <c r="P161" s="477"/>
      <c r="Q161" s="477"/>
      <c r="R161" s="477"/>
      <c r="S161" s="476"/>
      <c r="T161" s="390"/>
      <c r="U161" s="477"/>
      <c r="V161" s="476"/>
      <c r="W161" s="477"/>
      <c r="X161" s="476"/>
      <c r="Y161" s="476"/>
      <c r="Z161" s="476"/>
      <c r="AA161" s="476"/>
      <c r="AB161" s="476"/>
      <c r="AC161" s="476"/>
      <c r="AD161" s="476"/>
      <c r="AE161" s="137"/>
      <c r="AF161" s="1"/>
    </row>
    <row r="162" spans="1:33" s="11" customFormat="1" ht="21" customHeight="1">
      <c r="A162" s="46"/>
      <c r="B162" s="36" t="s">
        <v>97</v>
      </c>
      <c r="C162" s="174" t="s">
        <v>150</v>
      </c>
      <c r="D162" s="175">
        <f t="shared" ref="D162:L162" si="19">SUM(D163,D168,D175,D179,D185,D189,D195)</f>
        <v>5940</v>
      </c>
      <c r="E162" s="175">
        <f t="shared" si="19"/>
        <v>4940</v>
      </c>
      <c r="F162" s="175">
        <f t="shared" si="19"/>
        <v>0</v>
      </c>
      <c r="G162" s="175">
        <f t="shared" si="19"/>
        <v>0</v>
      </c>
      <c r="H162" s="175">
        <f t="shared" si="19"/>
        <v>0</v>
      </c>
      <c r="I162" s="175">
        <f t="shared" si="19"/>
        <v>0</v>
      </c>
      <c r="J162" s="175">
        <f t="shared" si="19"/>
        <v>4940</v>
      </c>
      <c r="K162" s="175">
        <f t="shared" si="19"/>
        <v>0</v>
      </c>
      <c r="L162" s="175">
        <f t="shared" si="19"/>
        <v>0</v>
      </c>
      <c r="M162" s="175">
        <f>E162-D162</f>
        <v>-1000</v>
      </c>
      <c r="N162" s="176">
        <f>IF(D162=0,0,M162/D162)</f>
        <v>-0.16835016835016836</v>
      </c>
      <c r="O162" s="177"/>
      <c r="P162" s="177"/>
      <c r="Q162" s="177"/>
      <c r="R162" s="177"/>
      <c r="S162" s="177"/>
      <c r="T162" s="178"/>
      <c r="U162" s="178"/>
      <c r="V162" s="178"/>
      <c r="W162" s="178"/>
      <c r="X162" s="178"/>
      <c r="Y162" s="178" t="s">
        <v>28</v>
      </c>
      <c r="Z162" s="178"/>
      <c r="AA162" s="178"/>
      <c r="AB162" s="178"/>
      <c r="AC162" s="180"/>
      <c r="AD162" s="180">
        <f>SUM(AD163,AD168,AD175,AD179,AD185,AD189,AD195)</f>
        <v>4940000</v>
      </c>
      <c r="AE162" s="179" t="s">
        <v>25</v>
      </c>
      <c r="AF162" s="1"/>
    </row>
    <row r="163" spans="1:33" s="15" customFormat="1" ht="24" customHeight="1">
      <c r="A163" s="46"/>
      <c r="B163" s="46" t="s">
        <v>342</v>
      </c>
      <c r="C163" s="36" t="s">
        <v>415</v>
      </c>
      <c r="D163" s="553">
        <v>920</v>
      </c>
      <c r="E163" s="114">
        <f>AD163/1000</f>
        <v>920</v>
      </c>
      <c r="F163" s="109">
        <f>SUMIF($AB$164:$AB$167,"보조",$AD$164:$AD$167)/1000</f>
        <v>0</v>
      </c>
      <c r="G163" s="109">
        <f>SUMIF($AB$164:$AB$167,"7종",$AD$164:$AD$167)/1000</f>
        <v>0</v>
      </c>
      <c r="H163" s="109">
        <f>SUMIF($AB$164:$AB$167,"시비",$AD$164:$AD$167)/1000</f>
        <v>0</v>
      </c>
      <c r="I163" s="109">
        <f>SUMIF($AB$164:$AB$167,"후원",$AD$164:$AD$167)/1000</f>
        <v>0</v>
      </c>
      <c r="J163" s="109">
        <f>SUMIF($AB$164:$AB$167,"입소",$AD$164:$AD$167)/1000</f>
        <v>920</v>
      </c>
      <c r="K163" s="109">
        <f>SUMIF($AB$164:$AB$167,"법인",$AD$164:$AD$167)/1000</f>
        <v>0</v>
      </c>
      <c r="L163" s="109">
        <f>SUMIF($AB$164:$AB$167,"잡수",$AD$164:$AD$167)/1000</f>
        <v>0</v>
      </c>
      <c r="M163" s="109">
        <f>E163-D163</f>
        <v>0</v>
      </c>
      <c r="N163" s="70">
        <f>IF(D163=0,0,M163/D163)</f>
        <v>0</v>
      </c>
      <c r="O163" s="542"/>
      <c r="P163" s="166"/>
      <c r="Q163" s="166"/>
      <c r="R163" s="166"/>
      <c r="S163" s="166"/>
      <c r="T163" s="88"/>
      <c r="U163" s="88"/>
      <c r="V163" s="88"/>
      <c r="W163" s="148" t="s">
        <v>139</v>
      </c>
      <c r="X163" s="148"/>
      <c r="Y163" s="148"/>
      <c r="Z163" s="148"/>
      <c r="AA163" s="148"/>
      <c r="AB163" s="148"/>
      <c r="AC163" s="149"/>
      <c r="AD163" s="149">
        <f>SUM(AD164:AD166)</f>
        <v>920000</v>
      </c>
      <c r="AE163" s="150" t="s">
        <v>25</v>
      </c>
      <c r="AF163" s="16"/>
    </row>
    <row r="164" spans="1:33" s="15" customFormat="1" ht="24" customHeight="1">
      <c r="A164" s="46"/>
      <c r="B164" s="46"/>
      <c r="C164" s="46" t="s">
        <v>416</v>
      </c>
      <c r="D164" s="163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87" t="s">
        <v>417</v>
      </c>
      <c r="P164" s="539"/>
      <c r="Q164" s="539"/>
      <c r="R164" s="539"/>
      <c r="S164" s="586">
        <v>50000</v>
      </c>
      <c r="T164" s="390" t="s">
        <v>57</v>
      </c>
      <c r="U164" s="390" t="s">
        <v>26</v>
      </c>
      <c r="V164" s="586">
        <v>4</v>
      </c>
      <c r="W164" s="586" t="s">
        <v>418</v>
      </c>
      <c r="X164" s="390" t="s">
        <v>26</v>
      </c>
      <c r="Y164" s="505">
        <v>1</v>
      </c>
      <c r="Z164" s="491" t="s">
        <v>572</v>
      </c>
      <c r="AA164" s="506" t="s">
        <v>53</v>
      </c>
      <c r="AB164" s="586" t="s">
        <v>392</v>
      </c>
      <c r="AC164" s="586"/>
      <c r="AD164" s="586">
        <f>S164*V164*Y164</f>
        <v>200000</v>
      </c>
      <c r="AE164" s="137" t="s">
        <v>25</v>
      </c>
      <c r="AF164" s="16"/>
    </row>
    <row r="165" spans="1:33" s="15" customFormat="1" ht="24" customHeight="1">
      <c r="A165" s="46"/>
      <c r="B165" s="46"/>
      <c r="C165" s="46"/>
      <c r="D165" s="163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87" t="s">
        <v>419</v>
      </c>
      <c r="P165" s="539"/>
      <c r="Q165" s="539"/>
      <c r="R165" s="539"/>
      <c r="S165" s="586">
        <v>20000</v>
      </c>
      <c r="T165" s="390" t="s">
        <v>57</v>
      </c>
      <c r="U165" s="390" t="s">
        <v>26</v>
      </c>
      <c r="V165" s="586">
        <v>4</v>
      </c>
      <c r="W165" s="586" t="s">
        <v>300</v>
      </c>
      <c r="X165" s="390" t="s">
        <v>26</v>
      </c>
      <c r="Y165" s="505">
        <v>6</v>
      </c>
      <c r="Z165" s="491" t="s">
        <v>572</v>
      </c>
      <c r="AA165" s="506" t="s">
        <v>53</v>
      </c>
      <c r="AB165" s="586" t="s">
        <v>392</v>
      </c>
      <c r="AC165" s="586"/>
      <c r="AD165" s="586">
        <f t="shared" ref="AD165:AD166" si="20">S165*V165*Y165</f>
        <v>480000</v>
      </c>
      <c r="AE165" s="137" t="s">
        <v>25</v>
      </c>
      <c r="AF165" s="16"/>
    </row>
    <row r="166" spans="1:33" s="15" customFormat="1" ht="24" customHeight="1">
      <c r="A166" s="46"/>
      <c r="B166" s="46"/>
      <c r="C166" s="46"/>
      <c r="D166" s="16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87" t="s">
        <v>420</v>
      </c>
      <c r="P166" s="539"/>
      <c r="Q166" s="539"/>
      <c r="R166" s="539"/>
      <c r="S166" s="586">
        <v>10000</v>
      </c>
      <c r="T166" s="390" t="s">
        <v>57</v>
      </c>
      <c r="U166" s="390" t="s">
        <v>26</v>
      </c>
      <c r="V166" s="586">
        <v>4</v>
      </c>
      <c r="W166" s="586" t="s">
        <v>300</v>
      </c>
      <c r="X166" s="390" t="s">
        <v>26</v>
      </c>
      <c r="Y166" s="505">
        <v>6</v>
      </c>
      <c r="Z166" s="491" t="s">
        <v>572</v>
      </c>
      <c r="AA166" s="506" t="s">
        <v>53</v>
      </c>
      <c r="AB166" s="586" t="s">
        <v>392</v>
      </c>
      <c r="AC166" s="586"/>
      <c r="AD166" s="586">
        <f t="shared" si="20"/>
        <v>240000</v>
      </c>
      <c r="AE166" s="137" t="s">
        <v>25</v>
      </c>
      <c r="AF166" s="16"/>
    </row>
    <row r="167" spans="1:33" s="15" customFormat="1" ht="24" customHeight="1">
      <c r="A167" s="46"/>
      <c r="B167" s="46"/>
      <c r="C167" s="59"/>
      <c r="D167" s="161"/>
      <c r="E167" s="111"/>
      <c r="F167" s="111"/>
      <c r="G167" s="111"/>
      <c r="H167" s="111"/>
      <c r="I167" s="111"/>
      <c r="J167" s="111"/>
      <c r="K167" s="111"/>
      <c r="L167" s="111"/>
      <c r="M167" s="111"/>
      <c r="N167" s="84"/>
      <c r="O167" s="538"/>
      <c r="P167" s="538"/>
      <c r="Q167" s="538"/>
      <c r="R167" s="538"/>
      <c r="S167" s="537"/>
      <c r="T167" s="537"/>
      <c r="U167" s="538"/>
      <c r="V167" s="537"/>
      <c r="W167" s="537"/>
      <c r="X167" s="537"/>
      <c r="Y167" s="537"/>
      <c r="Z167" s="537"/>
      <c r="AA167" s="537"/>
      <c r="AB167" s="537"/>
      <c r="AC167" s="537"/>
      <c r="AD167" s="537"/>
      <c r="AE167" s="501"/>
      <c r="AF167" s="16"/>
    </row>
    <row r="168" spans="1:33" s="15" customFormat="1" ht="24" customHeight="1">
      <c r="A168" s="46"/>
      <c r="B168" s="46"/>
      <c r="C168" s="36" t="s">
        <v>421</v>
      </c>
      <c r="D168" s="162">
        <v>1000</v>
      </c>
      <c r="E168" s="114">
        <f>AD168/1000</f>
        <v>400</v>
      </c>
      <c r="F168" s="109">
        <f>SUMIF($AB$169:$AB$174,"보조",$AD$169:$AD$174)/1000</f>
        <v>0</v>
      </c>
      <c r="G168" s="109">
        <f>SUMIF($AB$169:$AB$174,"7종",$AD$169:$AD$174)/1000</f>
        <v>0</v>
      </c>
      <c r="H168" s="109">
        <f>SUMIF($AB$169:$AB$174,"시비",$AD$169:$AD$174)/1000</f>
        <v>0</v>
      </c>
      <c r="I168" s="109">
        <f>SUMIF($AB$169:$AB$174,"후원",$AD$169:$AD$174)/1000</f>
        <v>0</v>
      </c>
      <c r="J168" s="109">
        <f>SUMIF($AB$169:$AB$174,"입소",$AD$169:$AD$174)/1000</f>
        <v>400</v>
      </c>
      <c r="K168" s="109">
        <f>SUMIF($AB$169:$AB$174,"법인",$AD$169:$AD$174)/1000</f>
        <v>0</v>
      </c>
      <c r="L168" s="109">
        <f>SUMIF($AB$169:$AB$174,"잡수",$AD$169:$AD$174)/1000</f>
        <v>0</v>
      </c>
      <c r="M168" s="109">
        <f>E168-D168</f>
        <v>-600</v>
      </c>
      <c r="N168" s="70">
        <f>IF(D168=0,0,M168/D168)</f>
        <v>-0.6</v>
      </c>
      <c r="O168" s="381"/>
      <c r="P168" s="398"/>
      <c r="Q168" s="398"/>
      <c r="R168" s="546"/>
      <c r="S168" s="546"/>
      <c r="T168" s="546"/>
      <c r="U168" s="546"/>
      <c r="V168" s="546"/>
      <c r="W168" s="547" t="s">
        <v>139</v>
      </c>
      <c r="X168" s="547"/>
      <c r="Y168" s="547"/>
      <c r="Z168" s="547"/>
      <c r="AA168" s="547"/>
      <c r="AB168" s="547"/>
      <c r="AC168" s="548"/>
      <c r="AD168" s="548">
        <f>SUM(AD169:AD173)</f>
        <v>400000</v>
      </c>
      <c r="AE168" s="549" t="s">
        <v>25</v>
      </c>
      <c r="AF168" s="16"/>
    </row>
    <row r="169" spans="1:33" s="15" customFormat="1" ht="24" customHeight="1">
      <c r="A169" s="46"/>
      <c r="B169" s="46"/>
      <c r="C169" s="46" t="s">
        <v>342</v>
      </c>
      <c r="D169" s="163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587" t="s">
        <v>422</v>
      </c>
      <c r="P169" s="539"/>
      <c r="Q169" s="539"/>
      <c r="R169" s="539"/>
      <c r="S169" s="586">
        <v>100000</v>
      </c>
      <c r="T169" s="390" t="s">
        <v>57</v>
      </c>
      <c r="U169" s="390" t="s">
        <v>26</v>
      </c>
      <c r="V169" s="586">
        <v>2</v>
      </c>
      <c r="W169" s="587" t="s">
        <v>72</v>
      </c>
      <c r="X169" s="586"/>
      <c r="Y169" s="509"/>
      <c r="Z169" s="509" t="s">
        <v>53</v>
      </c>
      <c r="AA169" s="509"/>
      <c r="AB169" s="509" t="s">
        <v>289</v>
      </c>
      <c r="AC169" s="509"/>
      <c r="AD169" s="510">
        <f>S169*V169</f>
        <v>200000</v>
      </c>
      <c r="AE169" s="511" t="s">
        <v>57</v>
      </c>
      <c r="AF169" s="16"/>
    </row>
    <row r="170" spans="1:33" s="15" customFormat="1" ht="24" customHeight="1">
      <c r="A170" s="46"/>
      <c r="B170" s="46"/>
      <c r="C170" s="46"/>
      <c r="D170" s="163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587" t="s">
        <v>423</v>
      </c>
      <c r="P170" s="502"/>
      <c r="Q170" s="502"/>
      <c r="R170" s="498"/>
      <c r="S170" s="540">
        <v>100000</v>
      </c>
      <c r="T170" s="390" t="s">
        <v>57</v>
      </c>
      <c r="U170" s="390" t="s">
        <v>26</v>
      </c>
      <c r="V170" s="540">
        <v>1</v>
      </c>
      <c r="W170" s="541" t="s">
        <v>345</v>
      </c>
      <c r="X170" s="540"/>
      <c r="Y170" s="509"/>
      <c r="Z170" s="509" t="s">
        <v>53</v>
      </c>
      <c r="AA170" s="509"/>
      <c r="AB170" s="509" t="s">
        <v>289</v>
      </c>
      <c r="AC170" s="509"/>
      <c r="AD170" s="510">
        <f>S170*V170</f>
        <v>100000</v>
      </c>
      <c r="AE170" s="511" t="s">
        <v>57</v>
      </c>
      <c r="AF170" s="16"/>
    </row>
    <row r="171" spans="1:33" s="15" customFormat="1" ht="24" customHeight="1">
      <c r="A171" s="46"/>
      <c r="B171" s="46"/>
      <c r="C171" s="46"/>
      <c r="D171" s="163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587" t="s">
        <v>424</v>
      </c>
      <c r="P171" s="502"/>
      <c r="Q171" s="502"/>
      <c r="R171" s="498"/>
      <c r="S171" s="586">
        <v>100000</v>
      </c>
      <c r="T171" s="390" t="s">
        <v>57</v>
      </c>
      <c r="U171" s="390" t="s">
        <v>26</v>
      </c>
      <c r="V171" s="586">
        <v>1</v>
      </c>
      <c r="W171" s="587" t="s">
        <v>72</v>
      </c>
      <c r="X171" s="586"/>
      <c r="Y171" s="509"/>
      <c r="Z171" s="509" t="s">
        <v>53</v>
      </c>
      <c r="AA171" s="509"/>
      <c r="AB171" s="509" t="s">
        <v>289</v>
      </c>
      <c r="AC171" s="509"/>
      <c r="AD171" s="510">
        <f>S171*V171</f>
        <v>100000</v>
      </c>
      <c r="AE171" s="511" t="s">
        <v>57</v>
      </c>
      <c r="AF171" s="16"/>
    </row>
    <row r="172" spans="1:33" s="15" customFormat="1" ht="24" customHeight="1">
      <c r="A172" s="46"/>
      <c r="B172" s="46"/>
      <c r="C172" s="46"/>
      <c r="D172" s="163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587" t="s">
        <v>425</v>
      </c>
      <c r="P172" s="502"/>
      <c r="Q172" s="502"/>
      <c r="R172" s="498"/>
      <c r="S172" s="586">
        <v>100000</v>
      </c>
      <c r="T172" s="390" t="s">
        <v>57</v>
      </c>
      <c r="U172" s="390" t="s">
        <v>26</v>
      </c>
      <c r="V172" s="586">
        <v>0</v>
      </c>
      <c r="W172" s="587" t="s">
        <v>72</v>
      </c>
      <c r="X172" s="586"/>
      <c r="Y172" s="509"/>
      <c r="Z172" s="509" t="s">
        <v>53</v>
      </c>
      <c r="AA172" s="509"/>
      <c r="AB172" s="509" t="s">
        <v>289</v>
      </c>
      <c r="AC172" s="509"/>
      <c r="AD172" s="510">
        <f>S172*V172</f>
        <v>0</v>
      </c>
      <c r="AE172" s="511" t="s">
        <v>57</v>
      </c>
      <c r="AF172" s="16"/>
    </row>
    <row r="173" spans="1:33" s="15" customFormat="1" ht="24" customHeight="1">
      <c r="A173" s="46"/>
      <c r="B173" s="46"/>
      <c r="C173" s="46"/>
      <c r="D173" s="163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587" t="s">
        <v>426</v>
      </c>
      <c r="P173" s="502"/>
      <c r="Q173" s="502"/>
      <c r="R173" s="498"/>
      <c r="S173" s="586">
        <v>100000</v>
      </c>
      <c r="T173" s="390" t="s">
        <v>57</v>
      </c>
      <c r="U173" s="390" t="s">
        <v>26</v>
      </c>
      <c r="V173" s="586">
        <v>0</v>
      </c>
      <c r="W173" s="587" t="s">
        <v>418</v>
      </c>
      <c r="X173" s="586"/>
      <c r="Y173" s="509"/>
      <c r="Z173" s="509" t="s">
        <v>53</v>
      </c>
      <c r="AA173" s="509"/>
      <c r="AB173" s="509" t="s">
        <v>289</v>
      </c>
      <c r="AC173" s="509"/>
      <c r="AD173" s="510">
        <f>S173*V173</f>
        <v>0</v>
      </c>
      <c r="AE173" s="511" t="s">
        <v>57</v>
      </c>
      <c r="AF173" s="16"/>
    </row>
    <row r="174" spans="1:33" s="15" customFormat="1" ht="24" customHeight="1">
      <c r="A174" s="46"/>
      <c r="B174" s="46"/>
      <c r="C174" s="59"/>
      <c r="D174" s="164"/>
      <c r="E174" s="111"/>
      <c r="F174" s="111"/>
      <c r="G174" s="111"/>
      <c r="H174" s="111"/>
      <c r="I174" s="111"/>
      <c r="J174" s="111"/>
      <c r="K174" s="111"/>
      <c r="L174" s="111"/>
      <c r="M174" s="111"/>
      <c r="N174" s="84"/>
      <c r="O174" s="538"/>
      <c r="P174" s="538"/>
      <c r="Q174" s="538"/>
      <c r="R174" s="538"/>
      <c r="S174" s="538"/>
      <c r="T174" s="537"/>
      <c r="U174" s="537"/>
      <c r="V174" s="537"/>
      <c r="W174" s="537"/>
      <c r="X174" s="537"/>
      <c r="Y174" s="537"/>
      <c r="Z174" s="537"/>
      <c r="AA174" s="537"/>
      <c r="AB174" s="537"/>
      <c r="AC174" s="512"/>
      <c r="AD174" s="512"/>
      <c r="AE174" s="501"/>
      <c r="AF174" s="16"/>
      <c r="AG174" s="16"/>
    </row>
    <row r="175" spans="1:33" s="15" customFormat="1" ht="24" customHeight="1">
      <c r="A175" s="46"/>
      <c r="B175" s="46"/>
      <c r="C175" s="36" t="s">
        <v>427</v>
      </c>
      <c r="D175" s="553">
        <v>400</v>
      </c>
      <c r="E175" s="114">
        <f>AD175/1000</f>
        <v>400</v>
      </c>
      <c r="F175" s="113">
        <f>SUMIF($AB$176:$AB$178,"보조",$AD$176:$AD$178)/1000</f>
        <v>0</v>
      </c>
      <c r="G175" s="113">
        <f>SUMIF($AB$176:$AB$178,"7종",$AD$176:$AD$178)/1000</f>
        <v>0</v>
      </c>
      <c r="H175" s="113">
        <f>SUMIF($AB$176:$AB$178,"시비",$AD$176:$AD$178)/1000</f>
        <v>0</v>
      </c>
      <c r="I175" s="113">
        <f>SUMIF($AB$176:$AB$178,"후원",$AD$176:$AD$178)/1000</f>
        <v>0</v>
      </c>
      <c r="J175" s="113">
        <f>SUMIF($AB$176:$AB$178,"입소",$AD$176:$AD$178)/1000</f>
        <v>400</v>
      </c>
      <c r="K175" s="113">
        <f>SUMIF($AB$176:$AB$178,"법인",$AD$176:$AD$178)/1000</f>
        <v>0</v>
      </c>
      <c r="L175" s="113">
        <f>SUMIF($AB$176:$AB$178,"잡수",$AD$176:$AD$178)/1000</f>
        <v>0</v>
      </c>
      <c r="M175" s="113">
        <f>E175-D175</f>
        <v>0</v>
      </c>
      <c r="N175" s="121">
        <f>IF(D175=0,0,M175/D175)</f>
        <v>0</v>
      </c>
      <c r="O175" s="381"/>
      <c r="P175" s="398"/>
      <c r="Q175" s="398"/>
      <c r="R175" s="546"/>
      <c r="S175" s="546"/>
      <c r="T175" s="546"/>
      <c r="U175" s="546"/>
      <c r="V175" s="546"/>
      <c r="W175" s="547" t="s">
        <v>139</v>
      </c>
      <c r="X175" s="547"/>
      <c r="Y175" s="547"/>
      <c r="Z175" s="547"/>
      <c r="AA175" s="547"/>
      <c r="AB175" s="547"/>
      <c r="AC175" s="548"/>
      <c r="AD175" s="548">
        <f>SUM(AD176:AD177)</f>
        <v>400000</v>
      </c>
      <c r="AE175" s="549" t="s">
        <v>25</v>
      </c>
      <c r="AF175" s="16"/>
      <c r="AG175" s="16"/>
    </row>
    <row r="176" spans="1:33" s="15" customFormat="1" ht="24" customHeight="1">
      <c r="A176" s="46"/>
      <c r="B176" s="46"/>
      <c r="C176" s="46" t="s">
        <v>416</v>
      </c>
      <c r="D176" s="163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87" t="s">
        <v>428</v>
      </c>
      <c r="P176" s="502"/>
      <c r="Q176" s="502"/>
      <c r="R176" s="498" t="s">
        <v>577</v>
      </c>
      <c r="S176" s="586">
        <v>10000</v>
      </c>
      <c r="T176" s="586" t="s">
        <v>57</v>
      </c>
      <c r="U176" s="587" t="s">
        <v>58</v>
      </c>
      <c r="V176" s="586">
        <v>5</v>
      </c>
      <c r="W176" s="586" t="s">
        <v>56</v>
      </c>
      <c r="X176" s="587" t="s">
        <v>58</v>
      </c>
      <c r="Y176" s="391">
        <v>4</v>
      </c>
      <c r="Z176" s="384" t="s">
        <v>72</v>
      </c>
      <c r="AA176" s="384" t="s">
        <v>53</v>
      </c>
      <c r="AB176" s="586" t="s">
        <v>289</v>
      </c>
      <c r="AC176" s="136"/>
      <c r="AD176" s="586">
        <f>S176*V176*Y176</f>
        <v>200000</v>
      </c>
      <c r="AE176" s="137" t="s">
        <v>57</v>
      </c>
      <c r="AF176" s="16"/>
      <c r="AG176" s="16"/>
    </row>
    <row r="177" spans="1:33" s="15" customFormat="1" ht="24" customHeight="1">
      <c r="A177" s="46"/>
      <c r="B177" s="46"/>
      <c r="C177" s="46"/>
      <c r="D177" s="163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587"/>
      <c r="P177" s="502"/>
      <c r="Q177" s="502"/>
      <c r="R177" s="498" t="s">
        <v>578</v>
      </c>
      <c r="S177" s="586">
        <v>5000</v>
      </c>
      <c r="T177" s="586" t="s">
        <v>57</v>
      </c>
      <c r="U177" s="587" t="s">
        <v>58</v>
      </c>
      <c r="V177" s="586">
        <v>5</v>
      </c>
      <c r="W177" s="586" t="s">
        <v>56</v>
      </c>
      <c r="X177" s="587" t="s">
        <v>58</v>
      </c>
      <c r="Y177" s="391">
        <v>8</v>
      </c>
      <c r="Z177" s="384" t="s">
        <v>72</v>
      </c>
      <c r="AA177" s="384" t="s">
        <v>53</v>
      </c>
      <c r="AB177" s="586" t="s">
        <v>289</v>
      </c>
      <c r="AC177" s="136"/>
      <c r="AD177" s="586">
        <f>S177*V177*Y177</f>
        <v>200000</v>
      </c>
      <c r="AE177" s="137" t="s">
        <v>57</v>
      </c>
      <c r="AF177" s="16"/>
      <c r="AG177" s="16"/>
    </row>
    <row r="178" spans="1:33" s="15" customFormat="1" ht="24" customHeight="1">
      <c r="A178" s="46"/>
      <c r="B178" s="46"/>
      <c r="C178" s="59"/>
      <c r="D178" s="161"/>
      <c r="E178" s="111"/>
      <c r="F178" s="111"/>
      <c r="G178" s="111"/>
      <c r="H178" s="111"/>
      <c r="I178" s="111"/>
      <c r="J178" s="111"/>
      <c r="K178" s="111"/>
      <c r="L178" s="111"/>
      <c r="M178" s="111"/>
      <c r="N178" s="84"/>
      <c r="O178" s="538"/>
      <c r="P178" s="538"/>
      <c r="Q178" s="538"/>
      <c r="R178" s="538"/>
      <c r="S178" s="538"/>
      <c r="T178" s="537"/>
      <c r="U178" s="537"/>
      <c r="V178" s="537"/>
      <c r="W178" s="537"/>
      <c r="X178" s="537"/>
      <c r="Y178" s="537"/>
      <c r="Z178" s="537"/>
      <c r="AA178" s="537"/>
      <c r="AB178" s="537"/>
      <c r="AC178" s="512"/>
      <c r="AD178" s="550"/>
      <c r="AE178" s="501"/>
      <c r="AF178" s="16"/>
    </row>
    <row r="179" spans="1:33" s="15" customFormat="1" ht="24" customHeight="1">
      <c r="A179" s="46"/>
      <c r="B179" s="46"/>
      <c r="C179" s="36" t="s">
        <v>433</v>
      </c>
      <c r="D179" s="162">
        <v>2100</v>
      </c>
      <c r="E179" s="114">
        <f>AD179/1000</f>
        <v>2100</v>
      </c>
      <c r="F179" s="113">
        <f>SUMIF($AB$180:$AB$184,"보조",$AD$180:$AD$184)/1000</f>
        <v>0</v>
      </c>
      <c r="G179" s="113">
        <f>SUMIF($AB$180:$AB$184,"7종",$AD$180:$AD$184)/1000</f>
        <v>0</v>
      </c>
      <c r="H179" s="113">
        <f>SUMIF($AB$180:$AB$184,"시비",$AD$180:$AD$184)/1000</f>
        <v>0</v>
      </c>
      <c r="I179" s="113">
        <f>SUMIF($AB$180:$AB$184,"후원",$AD$180:$AD$184)/1000</f>
        <v>0</v>
      </c>
      <c r="J179" s="113">
        <f>SUMIF($AB$180:$AB$184,"입소",$AD$180:$AD$184)/1000</f>
        <v>2100</v>
      </c>
      <c r="K179" s="113">
        <f>SUMIF($AB$180:$AB$184,"법인",$AD$180:$AD$184)/1000</f>
        <v>0</v>
      </c>
      <c r="L179" s="113">
        <f>SUMIF($AB$180:$AB$184,"잡수",$AD$180:$AD$184)/1000</f>
        <v>0</v>
      </c>
      <c r="M179" s="113">
        <f>E179-D179</f>
        <v>0</v>
      </c>
      <c r="N179" s="121">
        <f>IF(D179=0,0,M179/D179)</f>
        <v>0</v>
      </c>
      <c r="O179" s="381"/>
      <c r="P179" s="398"/>
      <c r="Q179" s="398"/>
      <c r="R179" s="546"/>
      <c r="S179" s="546"/>
      <c r="T179" s="546"/>
      <c r="U179" s="546"/>
      <c r="V179" s="546"/>
      <c r="W179" s="547" t="s">
        <v>139</v>
      </c>
      <c r="X179" s="547"/>
      <c r="Y179" s="547"/>
      <c r="Z179" s="547"/>
      <c r="AA179" s="547"/>
      <c r="AB179" s="547"/>
      <c r="AC179" s="548"/>
      <c r="AD179" s="548">
        <f>SUM(AD180:AD183)</f>
        <v>2100000</v>
      </c>
      <c r="AE179" s="549" t="s">
        <v>25</v>
      </c>
      <c r="AF179" s="16"/>
    </row>
    <row r="180" spans="1:33" s="15" customFormat="1" ht="24" customHeight="1">
      <c r="A180" s="46"/>
      <c r="B180" s="46"/>
      <c r="C180" s="46" t="s">
        <v>434</v>
      </c>
      <c r="D180" s="16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508" t="s">
        <v>429</v>
      </c>
      <c r="P180" s="508"/>
      <c r="Q180" s="508"/>
      <c r="R180" s="508"/>
      <c r="S180" s="586">
        <v>50000</v>
      </c>
      <c r="T180" s="390" t="s">
        <v>57</v>
      </c>
      <c r="U180" s="390" t="s">
        <v>26</v>
      </c>
      <c r="V180" s="586">
        <v>4</v>
      </c>
      <c r="W180" s="587" t="s">
        <v>418</v>
      </c>
      <c r="X180" s="586"/>
      <c r="Y180" s="509"/>
      <c r="Z180" s="509" t="s">
        <v>53</v>
      </c>
      <c r="AA180" s="509"/>
      <c r="AB180" s="509" t="s">
        <v>289</v>
      </c>
      <c r="AC180" s="509"/>
      <c r="AD180" s="510">
        <f t="shared" ref="AD180:AD183" si="21">S180*V180</f>
        <v>200000</v>
      </c>
      <c r="AE180" s="511" t="s">
        <v>57</v>
      </c>
      <c r="AF180" s="16"/>
    </row>
    <row r="181" spans="1:33" s="15" customFormat="1" ht="24" customHeight="1">
      <c r="A181" s="46"/>
      <c r="B181" s="46"/>
      <c r="C181" s="46"/>
      <c r="D181" s="16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508" t="s">
        <v>430</v>
      </c>
      <c r="P181" s="508"/>
      <c r="Q181" s="508"/>
      <c r="R181" s="508"/>
      <c r="S181" s="586">
        <v>200000</v>
      </c>
      <c r="T181" s="390" t="s">
        <v>57</v>
      </c>
      <c r="U181" s="390" t="s">
        <v>26</v>
      </c>
      <c r="V181" s="586">
        <v>5</v>
      </c>
      <c r="W181" s="587" t="s">
        <v>418</v>
      </c>
      <c r="X181" s="586"/>
      <c r="Y181" s="509"/>
      <c r="Z181" s="509" t="s">
        <v>53</v>
      </c>
      <c r="AA181" s="509"/>
      <c r="AB181" s="509" t="s">
        <v>289</v>
      </c>
      <c r="AC181" s="509"/>
      <c r="AD181" s="510">
        <f t="shared" si="21"/>
        <v>1000000</v>
      </c>
      <c r="AE181" s="511" t="s">
        <v>57</v>
      </c>
      <c r="AF181" s="16"/>
    </row>
    <row r="182" spans="1:33" s="15" customFormat="1" ht="24" customHeight="1">
      <c r="A182" s="46"/>
      <c r="B182" s="46"/>
      <c r="C182" s="46"/>
      <c r="D182" s="160"/>
      <c r="E182" s="109"/>
      <c r="F182" s="109"/>
      <c r="G182" s="109"/>
      <c r="H182" s="109"/>
      <c r="I182" s="109"/>
      <c r="J182" s="109"/>
      <c r="K182" s="109"/>
      <c r="L182" s="109"/>
      <c r="M182" s="109"/>
      <c r="N182" s="70"/>
      <c r="O182" s="508" t="s">
        <v>431</v>
      </c>
      <c r="P182" s="508"/>
      <c r="Q182" s="508"/>
      <c r="R182" s="508"/>
      <c r="S182" s="586">
        <v>150000</v>
      </c>
      <c r="T182" s="390" t="s">
        <v>57</v>
      </c>
      <c r="U182" s="390" t="s">
        <v>26</v>
      </c>
      <c r="V182" s="586">
        <v>4</v>
      </c>
      <c r="W182" s="587" t="s">
        <v>418</v>
      </c>
      <c r="X182" s="586"/>
      <c r="Y182" s="509"/>
      <c r="Z182" s="509" t="s">
        <v>53</v>
      </c>
      <c r="AA182" s="509"/>
      <c r="AB182" s="509" t="s">
        <v>289</v>
      </c>
      <c r="AC182" s="509"/>
      <c r="AD182" s="510">
        <f t="shared" si="21"/>
        <v>600000</v>
      </c>
      <c r="AE182" s="511" t="s">
        <v>57</v>
      </c>
      <c r="AF182" s="16"/>
    </row>
    <row r="183" spans="1:33" s="15" customFormat="1" ht="24" customHeight="1">
      <c r="A183" s="46"/>
      <c r="B183" s="46"/>
      <c r="C183" s="46"/>
      <c r="D183" s="16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508" t="s">
        <v>432</v>
      </c>
      <c r="P183" s="508"/>
      <c r="Q183" s="508"/>
      <c r="R183" s="508"/>
      <c r="S183" s="586">
        <v>75000</v>
      </c>
      <c r="T183" s="390" t="s">
        <v>57</v>
      </c>
      <c r="U183" s="390" t="s">
        <v>26</v>
      </c>
      <c r="V183" s="586">
        <v>4</v>
      </c>
      <c r="W183" s="587" t="s">
        <v>418</v>
      </c>
      <c r="X183" s="586"/>
      <c r="Y183" s="509"/>
      <c r="Z183" s="509" t="s">
        <v>53</v>
      </c>
      <c r="AA183" s="509"/>
      <c r="AB183" s="509" t="s">
        <v>289</v>
      </c>
      <c r="AC183" s="509"/>
      <c r="AD183" s="510">
        <f t="shared" si="21"/>
        <v>300000</v>
      </c>
      <c r="AE183" s="511" t="s">
        <v>57</v>
      </c>
      <c r="AF183" s="16"/>
    </row>
    <row r="184" spans="1:33" s="15" customFormat="1" ht="24" customHeight="1">
      <c r="A184" s="46"/>
      <c r="B184" s="46"/>
      <c r="C184" s="59"/>
      <c r="D184" s="161"/>
      <c r="E184" s="111"/>
      <c r="F184" s="111"/>
      <c r="G184" s="111"/>
      <c r="H184" s="111"/>
      <c r="I184" s="111"/>
      <c r="J184" s="111"/>
      <c r="K184" s="111"/>
      <c r="L184" s="111"/>
      <c r="M184" s="111"/>
      <c r="N184" s="84"/>
      <c r="O184" s="543"/>
      <c r="P184" s="543"/>
      <c r="Q184" s="543"/>
      <c r="R184" s="543"/>
      <c r="S184" s="537"/>
      <c r="T184" s="500"/>
      <c r="U184" s="500"/>
      <c r="V184" s="537"/>
      <c r="W184" s="538"/>
      <c r="X184" s="537"/>
      <c r="Y184" s="543"/>
      <c r="Z184" s="543"/>
      <c r="AA184" s="543"/>
      <c r="AB184" s="543"/>
      <c r="AC184" s="543"/>
      <c r="AD184" s="544"/>
      <c r="AE184" s="545"/>
      <c r="AF184" s="16"/>
    </row>
    <row r="185" spans="1:33" s="15" customFormat="1" ht="24" customHeight="1">
      <c r="A185" s="46"/>
      <c r="B185" s="46"/>
      <c r="C185" s="36" t="s">
        <v>435</v>
      </c>
      <c r="D185" s="162">
        <v>520</v>
      </c>
      <c r="E185" s="114">
        <f>AD185/1000</f>
        <v>120</v>
      </c>
      <c r="F185" s="113">
        <f>SUMIF($AB$186:$AB$188,"보조",$AD$186:$AD$188)/1000</f>
        <v>0</v>
      </c>
      <c r="G185" s="113">
        <f>SUMIF($AB$186:$AB$188,"7종",$AD$186:$AD$188)/1000</f>
        <v>0</v>
      </c>
      <c r="H185" s="113">
        <f>SUMIF($AB$186:$AB$188,"시비",$AD$186:$AD$188)/1000</f>
        <v>0</v>
      </c>
      <c r="I185" s="113">
        <f>SUMIF($AB$186:$AB$188,"후원",$AD$186:$AD$188)/1000</f>
        <v>0</v>
      </c>
      <c r="J185" s="113">
        <f>SUMIF($AB$186:$AB$188,"입소",$AD$186:$AD$188)/1000</f>
        <v>120</v>
      </c>
      <c r="K185" s="113">
        <f>SUMIF($AB$186:$AB$188,"법인",$AD$186:$AD$188)/1000</f>
        <v>0</v>
      </c>
      <c r="L185" s="113">
        <f>SUMIF($AB$186:$AB$188,"잡수",$AD$186:$AD$188)/1000</f>
        <v>0</v>
      </c>
      <c r="M185" s="113">
        <f>E185-D185</f>
        <v>-400</v>
      </c>
      <c r="N185" s="121">
        <f>IF(D185=0,0,M185/D185)</f>
        <v>-0.76923076923076927</v>
      </c>
      <c r="O185" s="381"/>
      <c r="P185" s="398"/>
      <c r="Q185" s="398"/>
      <c r="R185" s="546"/>
      <c r="S185" s="546"/>
      <c r="T185" s="546"/>
      <c r="U185" s="546"/>
      <c r="V185" s="546"/>
      <c r="W185" s="547" t="s">
        <v>139</v>
      </c>
      <c r="X185" s="547"/>
      <c r="Y185" s="547"/>
      <c r="Z185" s="547"/>
      <c r="AA185" s="547"/>
      <c r="AB185" s="547"/>
      <c r="AC185" s="548"/>
      <c r="AD185" s="548">
        <f>SUM(AD186:AD187)</f>
        <v>120000</v>
      </c>
      <c r="AE185" s="549" t="s">
        <v>25</v>
      </c>
      <c r="AF185" s="16"/>
    </row>
    <row r="186" spans="1:33" s="15" customFormat="1" ht="24" customHeight="1">
      <c r="A186" s="46"/>
      <c r="B186" s="46"/>
      <c r="C186" s="46" t="s">
        <v>416</v>
      </c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87" t="s">
        <v>573</v>
      </c>
      <c r="P186" s="508"/>
      <c r="Q186" s="508"/>
      <c r="R186" s="508"/>
      <c r="S186" s="586">
        <v>10000</v>
      </c>
      <c r="T186" s="390" t="s">
        <v>57</v>
      </c>
      <c r="U186" s="390" t="s">
        <v>26</v>
      </c>
      <c r="V186" s="586">
        <v>4</v>
      </c>
      <c r="W186" s="587" t="s">
        <v>418</v>
      </c>
      <c r="X186" s="390" t="s">
        <v>26</v>
      </c>
      <c r="Y186" s="391">
        <v>3</v>
      </c>
      <c r="Z186" s="384" t="s">
        <v>72</v>
      </c>
      <c r="AA186" s="509" t="s">
        <v>53</v>
      </c>
      <c r="AB186" s="509" t="s">
        <v>289</v>
      </c>
      <c r="AC186" s="509"/>
      <c r="AD186" s="510">
        <f>S186*V186*Y186</f>
        <v>120000</v>
      </c>
      <c r="AE186" s="511" t="s">
        <v>57</v>
      </c>
      <c r="AF186" s="16"/>
    </row>
    <row r="187" spans="1:33" s="15" customFormat="1" ht="24" customHeight="1">
      <c r="A187" s="46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587" t="s">
        <v>574</v>
      </c>
      <c r="P187" s="551"/>
      <c r="Q187" s="551"/>
      <c r="R187" s="551"/>
      <c r="S187" s="586">
        <v>30000</v>
      </c>
      <c r="T187" s="390" t="s">
        <v>57</v>
      </c>
      <c r="U187" s="390" t="s">
        <v>26</v>
      </c>
      <c r="V187" s="586">
        <v>4</v>
      </c>
      <c r="W187" s="587" t="s">
        <v>418</v>
      </c>
      <c r="X187" s="390" t="s">
        <v>26</v>
      </c>
      <c r="Y187" s="509">
        <v>0</v>
      </c>
      <c r="Z187" s="509" t="s">
        <v>575</v>
      </c>
      <c r="AA187" s="509" t="s">
        <v>576</v>
      </c>
      <c r="AB187" s="509" t="s">
        <v>289</v>
      </c>
      <c r="AC187" s="509"/>
      <c r="AD187" s="510">
        <f>S187*V187*Y187</f>
        <v>0</v>
      </c>
      <c r="AE187" s="511" t="s">
        <v>57</v>
      </c>
      <c r="AF187" s="16"/>
    </row>
    <row r="188" spans="1:33" s="15" customFormat="1" ht="24" customHeight="1">
      <c r="A188" s="46"/>
      <c r="B188" s="46"/>
      <c r="C188" s="59"/>
      <c r="D188" s="161"/>
      <c r="E188" s="111"/>
      <c r="F188" s="111"/>
      <c r="G188" s="111"/>
      <c r="H188" s="111"/>
      <c r="I188" s="111"/>
      <c r="J188" s="111"/>
      <c r="K188" s="111"/>
      <c r="L188" s="111"/>
      <c r="M188" s="111"/>
      <c r="N188" s="84"/>
      <c r="O188" s="538"/>
      <c r="P188" s="538"/>
      <c r="Q188" s="538"/>
      <c r="R188" s="538"/>
      <c r="S188" s="538"/>
      <c r="T188" s="537"/>
      <c r="U188" s="537"/>
      <c r="V188" s="537"/>
      <c r="W188" s="537"/>
      <c r="X188" s="537"/>
      <c r="Y188" s="537"/>
      <c r="Z188" s="537"/>
      <c r="AA188" s="537"/>
      <c r="AB188" s="537"/>
      <c r="AC188" s="512"/>
      <c r="AD188" s="550"/>
      <c r="AE188" s="501"/>
      <c r="AF188" s="16"/>
    </row>
    <row r="189" spans="1:33" s="15" customFormat="1" ht="24" customHeight="1">
      <c r="A189" s="46"/>
      <c r="B189" s="46"/>
      <c r="C189" s="36" t="s">
        <v>436</v>
      </c>
      <c r="D189" s="162">
        <v>800</v>
      </c>
      <c r="E189" s="114">
        <f>AD189/1000</f>
        <v>800</v>
      </c>
      <c r="F189" s="113">
        <f>SUMIF($AB$190:$AB$194,"보조",$AD$190:$AD$194)/1000</f>
        <v>0</v>
      </c>
      <c r="G189" s="113">
        <f>SUMIF($AB$190:$AB$194,"7종",$AD$190:$AD$194)/1000</f>
        <v>0</v>
      </c>
      <c r="H189" s="113">
        <f>SUMIF($AB$190:$AB$194,"시비",$AD$190:$AD$194)/1000</f>
        <v>0</v>
      </c>
      <c r="I189" s="113">
        <f>SUMIF($AB$190:$AB$194,"후원",$AD$190:$AD$194)/1000</f>
        <v>0</v>
      </c>
      <c r="J189" s="113">
        <f>SUMIF($AB$190:$AB$194,"입소",$AD$190:$AD$194)/1000</f>
        <v>800</v>
      </c>
      <c r="K189" s="113">
        <f>SUMIF($AB$190:$AB$194,"법인",$AD$190:$AD$194)/1000</f>
        <v>0</v>
      </c>
      <c r="L189" s="113">
        <f>SUMIF($AB$190:$AB$194,"잡수",$AD$190:$AD$194)/1000</f>
        <v>0</v>
      </c>
      <c r="M189" s="113">
        <f>E189-D189</f>
        <v>0</v>
      </c>
      <c r="N189" s="121">
        <f>IF(D189=0,0,M189/D189)</f>
        <v>0</v>
      </c>
      <c r="O189" s="402"/>
      <c r="P189" s="402"/>
      <c r="Q189" s="402"/>
      <c r="R189" s="402"/>
      <c r="S189" s="402"/>
      <c r="T189" s="386"/>
      <c r="U189" s="386"/>
      <c r="V189" s="386"/>
      <c r="W189" s="547" t="s">
        <v>139</v>
      </c>
      <c r="X189" s="547"/>
      <c r="Y189" s="547"/>
      <c r="Z189" s="547"/>
      <c r="AA189" s="547"/>
      <c r="AB189" s="547"/>
      <c r="AC189" s="548"/>
      <c r="AD189" s="548">
        <f>SUM(AD190:AD193)</f>
        <v>800000</v>
      </c>
      <c r="AE189" s="549" t="s">
        <v>25</v>
      </c>
      <c r="AF189" s="16"/>
    </row>
    <row r="190" spans="1:33" s="15" customFormat="1" ht="24" customHeight="1">
      <c r="A190" s="46"/>
      <c r="B190" s="46"/>
      <c r="C190" s="46" t="s">
        <v>342</v>
      </c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587" t="s">
        <v>437</v>
      </c>
      <c r="P190" s="539"/>
      <c r="Q190" s="539"/>
      <c r="R190" s="539"/>
      <c r="S190" s="586">
        <v>10000</v>
      </c>
      <c r="T190" s="586" t="s">
        <v>57</v>
      </c>
      <c r="U190" s="587" t="s">
        <v>58</v>
      </c>
      <c r="V190" s="586">
        <v>4</v>
      </c>
      <c r="W190" s="586" t="s">
        <v>56</v>
      </c>
      <c r="X190" s="587" t="s">
        <v>58</v>
      </c>
      <c r="Y190" s="391">
        <v>4</v>
      </c>
      <c r="Z190" s="384" t="s">
        <v>72</v>
      </c>
      <c r="AA190" s="384" t="s">
        <v>53</v>
      </c>
      <c r="AB190" s="586" t="s">
        <v>289</v>
      </c>
      <c r="AC190" s="136"/>
      <c r="AD190" s="586">
        <f>S190*V190*Y190</f>
        <v>160000</v>
      </c>
      <c r="AE190" s="137" t="s">
        <v>57</v>
      </c>
      <c r="AF190" s="16"/>
    </row>
    <row r="191" spans="1:33" s="15" customFormat="1" ht="24" customHeight="1">
      <c r="A191" s="46"/>
      <c r="B191" s="46"/>
      <c r="C191" s="46"/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08" t="s">
        <v>438</v>
      </c>
      <c r="P191" s="502"/>
      <c r="Q191" s="502"/>
      <c r="R191" s="498"/>
      <c r="S191" s="586">
        <v>10000</v>
      </c>
      <c r="T191" s="586" t="s">
        <v>57</v>
      </c>
      <c r="U191" s="587" t="s">
        <v>58</v>
      </c>
      <c r="V191" s="586">
        <v>4</v>
      </c>
      <c r="W191" s="586" t="s">
        <v>56</v>
      </c>
      <c r="X191" s="587" t="s">
        <v>58</v>
      </c>
      <c r="Y191" s="391">
        <v>4</v>
      </c>
      <c r="Z191" s="384" t="s">
        <v>72</v>
      </c>
      <c r="AA191" s="384" t="s">
        <v>53</v>
      </c>
      <c r="AB191" s="586" t="s">
        <v>289</v>
      </c>
      <c r="AC191" s="136"/>
      <c r="AD191" s="586">
        <f>S191*V191*Y191</f>
        <v>160000</v>
      </c>
      <c r="AE191" s="137" t="s">
        <v>57</v>
      </c>
      <c r="AF191" s="16"/>
    </row>
    <row r="192" spans="1:33" s="15" customFormat="1" ht="24" customHeight="1">
      <c r="A192" s="46"/>
      <c r="B192" s="46"/>
      <c r="C192" s="46"/>
      <c r="D192" s="16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508" t="s">
        <v>440</v>
      </c>
      <c r="P192" s="502"/>
      <c r="Q192" s="502"/>
      <c r="R192" s="498"/>
      <c r="S192" s="498"/>
      <c r="T192" s="498"/>
      <c r="U192" s="498"/>
      <c r="V192" s="498"/>
      <c r="W192" s="586"/>
      <c r="X192" s="586"/>
      <c r="Y192" s="586"/>
      <c r="Z192" s="586"/>
      <c r="AA192" s="586"/>
      <c r="AB192" s="586" t="s">
        <v>411</v>
      </c>
      <c r="AC192" s="136"/>
      <c r="AD192" s="136">
        <v>80000</v>
      </c>
      <c r="AE192" s="137" t="s">
        <v>408</v>
      </c>
      <c r="AF192" s="16"/>
    </row>
    <row r="193" spans="1:32" s="15" customFormat="1" ht="24" customHeight="1">
      <c r="A193" s="46"/>
      <c r="B193" s="46"/>
      <c r="C193" s="46"/>
      <c r="D193" s="16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508" t="s">
        <v>439</v>
      </c>
      <c r="P193" s="508"/>
      <c r="Q193" s="508"/>
      <c r="R193" s="508"/>
      <c r="S193" s="586">
        <v>20000</v>
      </c>
      <c r="T193" s="586" t="s">
        <v>57</v>
      </c>
      <c r="U193" s="587" t="s">
        <v>58</v>
      </c>
      <c r="V193" s="586">
        <v>4</v>
      </c>
      <c r="W193" s="586" t="s">
        <v>56</v>
      </c>
      <c r="X193" s="587" t="s">
        <v>58</v>
      </c>
      <c r="Y193" s="391">
        <v>5</v>
      </c>
      <c r="Z193" s="384" t="s">
        <v>575</v>
      </c>
      <c r="AA193" s="384" t="s">
        <v>53</v>
      </c>
      <c r="AB193" s="586" t="s">
        <v>289</v>
      </c>
      <c r="AC193" s="136"/>
      <c r="AD193" s="586">
        <f>S193*V193*Y193</f>
        <v>400000</v>
      </c>
      <c r="AE193" s="137" t="s">
        <v>57</v>
      </c>
      <c r="AF193" s="16"/>
    </row>
    <row r="194" spans="1:32" s="15" customFormat="1" ht="24" customHeight="1">
      <c r="A194" s="46"/>
      <c r="B194" s="46"/>
      <c r="C194" s="59"/>
      <c r="D194" s="161"/>
      <c r="E194" s="111"/>
      <c r="F194" s="111"/>
      <c r="G194" s="111"/>
      <c r="H194" s="111"/>
      <c r="I194" s="111"/>
      <c r="J194" s="111"/>
      <c r="K194" s="111"/>
      <c r="L194" s="111"/>
      <c r="M194" s="111"/>
      <c r="N194" s="84"/>
      <c r="O194" s="543"/>
      <c r="P194" s="543"/>
      <c r="Q194" s="543"/>
      <c r="R194" s="543"/>
      <c r="S194" s="543"/>
      <c r="T194" s="543"/>
      <c r="U194" s="543"/>
      <c r="V194" s="543"/>
      <c r="W194" s="543"/>
      <c r="X194" s="543"/>
      <c r="Y194" s="543"/>
      <c r="Z194" s="543"/>
      <c r="AA194" s="543"/>
      <c r="AB194" s="543"/>
      <c r="AC194" s="543"/>
      <c r="AD194" s="544"/>
      <c r="AE194" s="545"/>
      <c r="AF194" s="16"/>
    </row>
    <row r="195" spans="1:32" s="15" customFormat="1" ht="24" customHeight="1">
      <c r="A195" s="46"/>
      <c r="B195" s="46"/>
      <c r="C195" s="36" t="s">
        <v>344</v>
      </c>
      <c r="D195" s="162">
        <v>200</v>
      </c>
      <c r="E195" s="114">
        <f>AD195/1000</f>
        <v>200</v>
      </c>
      <c r="F195" s="113">
        <f>SUMIF($AB$196:$AB$198,"보조",$AD$196:$AD$198)/1000</f>
        <v>0</v>
      </c>
      <c r="G195" s="113">
        <f>SUMIF($AB$196:$AB$198,"7종",$AD$196:$AD$198)/1000</f>
        <v>0</v>
      </c>
      <c r="H195" s="113">
        <f>SUMIF($AB$196:$AB$198,"시비",$AD$196:$AD$198)/1000</f>
        <v>0</v>
      </c>
      <c r="I195" s="113">
        <f>SUMIF($AB$196:$AB$198,"후원",$AD$196:$AD$198)/1000</f>
        <v>0</v>
      </c>
      <c r="J195" s="113">
        <f>SUMIF($AB$196:$AB$198,"입소",$AD$196:$AD$198)/1000</f>
        <v>200</v>
      </c>
      <c r="K195" s="113">
        <f>SUMIF($AB$196:$AB$198,"법인",$AD$196:$AD$198)/1000</f>
        <v>0</v>
      </c>
      <c r="L195" s="113">
        <f>SUMIF($AB$196:$AB$198,"잡수",$AD$196:$AD$198)/1000</f>
        <v>0</v>
      </c>
      <c r="M195" s="113">
        <f>E195-D195</f>
        <v>0</v>
      </c>
      <c r="N195" s="121">
        <f>IF(D195=0,0,M195/D195)</f>
        <v>0</v>
      </c>
      <c r="O195" s="381"/>
      <c r="P195" s="398"/>
      <c r="Q195" s="398"/>
      <c r="R195" s="546"/>
      <c r="S195" s="546"/>
      <c r="T195" s="546"/>
      <c r="U195" s="546"/>
      <c r="V195" s="546"/>
      <c r="W195" s="547" t="s">
        <v>139</v>
      </c>
      <c r="X195" s="547"/>
      <c r="Y195" s="547"/>
      <c r="Z195" s="547"/>
      <c r="AA195" s="547"/>
      <c r="AB195" s="547"/>
      <c r="AC195" s="548"/>
      <c r="AD195" s="548">
        <f>SUM(AD196:AD197)</f>
        <v>200000</v>
      </c>
      <c r="AE195" s="549" t="s">
        <v>25</v>
      </c>
      <c r="AF195" s="16"/>
    </row>
    <row r="196" spans="1:32" s="15" customFormat="1" ht="24" customHeight="1">
      <c r="A196" s="46"/>
      <c r="B196" s="46"/>
      <c r="C196" s="46" t="s">
        <v>343</v>
      </c>
      <c r="D196" s="16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87" t="s">
        <v>441</v>
      </c>
      <c r="P196" s="502"/>
      <c r="Q196" s="502"/>
      <c r="R196" s="498"/>
      <c r="S196" s="586">
        <v>25000</v>
      </c>
      <c r="T196" s="586" t="s">
        <v>57</v>
      </c>
      <c r="U196" s="587" t="s">
        <v>58</v>
      </c>
      <c r="V196" s="586">
        <v>4</v>
      </c>
      <c r="W196" s="586" t="s">
        <v>56</v>
      </c>
      <c r="X196" s="587" t="s">
        <v>58</v>
      </c>
      <c r="Y196" s="391">
        <v>1</v>
      </c>
      <c r="Z196" s="384" t="s">
        <v>72</v>
      </c>
      <c r="AA196" s="384" t="s">
        <v>53</v>
      </c>
      <c r="AB196" s="586" t="s">
        <v>289</v>
      </c>
      <c r="AC196" s="136"/>
      <c r="AD196" s="586">
        <f>S196*V196*Y196</f>
        <v>100000</v>
      </c>
      <c r="AE196" s="137" t="s">
        <v>57</v>
      </c>
      <c r="AF196" s="16"/>
    </row>
    <row r="197" spans="1:32" s="15" customFormat="1" ht="24" customHeight="1">
      <c r="A197" s="46"/>
      <c r="B197" s="46"/>
      <c r="C197" s="46" t="s">
        <v>342</v>
      </c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587" t="s">
        <v>442</v>
      </c>
      <c r="P197" s="502"/>
      <c r="Q197" s="502"/>
      <c r="R197" s="498"/>
      <c r="S197" s="586">
        <v>25000</v>
      </c>
      <c r="T197" s="586" t="s">
        <v>57</v>
      </c>
      <c r="U197" s="587" t="s">
        <v>58</v>
      </c>
      <c r="V197" s="586">
        <v>4</v>
      </c>
      <c r="W197" s="586" t="s">
        <v>56</v>
      </c>
      <c r="X197" s="587" t="s">
        <v>58</v>
      </c>
      <c r="Y197" s="391">
        <v>1</v>
      </c>
      <c r="Z197" s="384" t="s">
        <v>72</v>
      </c>
      <c r="AA197" s="384" t="s">
        <v>53</v>
      </c>
      <c r="AB197" s="586" t="s">
        <v>289</v>
      </c>
      <c r="AC197" s="136"/>
      <c r="AD197" s="586">
        <f>S197*V197*Y197</f>
        <v>100000</v>
      </c>
      <c r="AE197" s="137" t="s">
        <v>57</v>
      </c>
      <c r="AF197" s="16"/>
    </row>
    <row r="198" spans="1:32" s="15" customFormat="1" ht="24" customHeight="1">
      <c r="A198" s="46"/>
      <c r="B198" s="46"/>
      <c r="C198" s="59"/>
      <c r="D198" s="161"/>
      <c r="E198" s="111"/>
      <c r="F198" s="111"/>
      <c r="G198" s="111"/>
      <c r="H198" s="111"/>
      <c r="I198" s="111"/>
      <c r="J198" s="111"/>
      <c r="K198" s="111"/>
      <c r="L198" s="111"/>
      <c r="M198" s="111"/>
      <c r="N198" s="84"/>
      <c r="O198" s="538"/>
      <c r="P198" s="385"/>
      <c r="Q198" s="385"/>
      <c r="R198" s="552"/>
      <c r="S198" s="552"/>
      <c r="T198" s="552"/>
      <c r="U198" s="552"/>
      <c r="V198" s="552"/>
      <c r="W198" s="537"/>
      <c r="X198" s="537"/>
      <c r="Y198" s="537"/>
      <c r="Z198" s="537"/>
      <c r="AA198" s="537"/>
      <c r="AB198" s="537"/>
      <c r="AC198" s="512"/>
      <c r="AD198" s="512"/>
      <c r="AE198" s="501"/>
      <c r="AF198" s="16"/>
    </row>
    <row r="199" spans="1:32" s="11" customFormat="1" ht="21" customHeight="1">
      <c r="A199" s="112" t="s">
        <v>157</v>
      </c>
      <c r="B199" s="656" t="s">
        <v>20</v>
      </c>
      <c r="C199" s="657"/>
      <c r="D199" s="175">
        <f>SUM(D200)</f>
        <v>11</v>
      </c>
      <c r="E199" s="175">
        <f>SUM(E200)</f>
        <v>6</v>
      </c>
      <c r="F199" s="175">
        <f t="shared" ref="F199:L199" si="22">SUM(F200)</f>
        <v>6</v>
      </c>
      <c r="G199" s="175">
        <f t="shared" si="22"/>
        <v>0</v>
      </c>
      <c r="H199" s="175">
        <f t="shared" si="22"/>
        <v>0</v>
      </c>
      <c r="I199" s="175">
        <f t="shared" si="22"/>
        <v>0</v>
      </c>
      <c r="J199" s="175">
        <f t="shared" si="22"/>
        <v>0</v>
      </c>
      <c r="K199" s="175">
        <f t="shared" si="22"/>
        <v>0</v>
      </c>
      <c r="L199" s="175">
        <f t="shared" si="22"/>
        <v>0</v>
      </c>
      <c r="M199" s="175">
        <f>E199-D199</f>
        <v>-5</v>
      </c>
      <c r="N199" s="176">
        <f>IF(D199=0,0,M199/D199)</f>
        <v>-0.45454545454545453</v>
      </c>
      <c r="O199" s="97" t="s">
        <v>160</v>
      </c>
      <c r="P199" s="177"/>
      <c r="Q199" s="177"/>
      <c r="R199" s="177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>
        <f>SUM(AD200)</f>
        <v>6000</v>
      </c>
      <c r="AE199" s="179" t="s">
        <v>25</v>
      </c>
      <c r="AF199" s="1"/>
    </row>
    <row r="200" spans="1:32" s="11" customFormat="1" ht="21" customHeight="1">
      <c r="A200" s="195" t="s">
        <v>159</v>
      </c>
      <c r="B200" s="46" t="s">
        <v>157</v>
      </c>
      <c r="C200" s="46" t="s">
        <v>157</v>
      </c>
      <c r="D200" s="160">
        <v>11</v>
      </c>
      <c r="E200" s="114">
        <f>AD200/1000</f>
        <v>6</v>
      </c>
      <c r="F200" s="109">
        <f>SUMIF($AB$201:$AB$208,"보조",$AD$201:$AD$208)/1000</f>
        <v>6</v>
      </c>
      <c r="G200" s="109">
        <f>SUMIF($AB$201:$AB$208,"7종",$AD$201:$AD$208)/1000</f>
        <v>0</v>
      </c>
      <c r="H200" s="109">
        <f>SUMIF($AB$201:$AB$208,"시비",$AD$201:$AD$208)/1000</f>
        <v>0</v>
      </c>
      <c r="I200" s="109">
        <f>SUMIF($AB$201:$AB$208,"후원",$AD$201:$AD$208)/1000</f>
        <v>0</v>
      </c>
      <c r="J200" s="109">
        <f>SUMIF($AB$201:$AB$208,"입소",$AD$201:$AD$208)/1000</f>
        <v>0</v>
      </c>
      <c r="K200" s="109">
        <f>SUMIF($AB$201:$AB$208,"법인",$AD$201:$AD$208)/1000</f>
        <v>0</v>
      </c>
      <c r="L200" s="109">
        <f>SUMIF($AB$201:$AB$208,"잡수",$AD$201:$AD$208)/1000</f>
        <v>0</v>
      </c>
      <c r="M200" s="109">
        <f>E200-D200</f>
        <v>-5</v>
      </c>
      <c r="N200" s="70">
        <f>IF(D200=0,0,M200/D200)</f>
        <v>-0.45454545454545453</v>
      </c>
      <c r="O200" s="385" t="s">
        <v>283</v>
      </c>
      <c r="P200" s="32"/>
      <c r="Q200" s="32"/>
      <c r="R200" s="32"/>
      <c r="S200" s="32"/>
      <c r="T200" s="33"/>
      <c r="U200" s="33"/>
      <c r="V200" s="33"/>
      <c r="W200" s="33"/>
      <c r="X200" s="33"/>
      <c r="Y200" s="178" t="s">
        <v>145</v>
      </c>
      <c r="Z200" s="99"/>
      <c r="AA200" s="99"/>
      <c r="AB200" s="99"/>
      <c r="AC200" s="118"/>
      <c r="AD200" s="118">
        <f>ROUNDUP(SUM(AD201:AD206),-3)</f>
        <v>6000</v>
      </c>
      <c r="AE200" s="119" t="s">
        <v>25</v>
      </c>
      <c r="AF200" s="1"/>
    </row>
    <row r="201" spans="1:32" ht="21" customHeight="1">
      <c r="A201" s="45"/>
      <c r="B201" s="46" t="s">
        <v>158</v>
      </c>
      <c r="C201" s="46" t="s">
        <v>158</v>
      </c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587" t="s">
        <v>443</v>
      </c>
      <c r="P201" s="477"/>
      <c r="Q201" s="477"/>
      <c r="R201" s="477"/>
      <c r="S201" s="476"/>
      <c r="T201" s="476"/>
      <c r="U201" s="476"/>
      <c r="V201" s="476"/>
      <c r="W201" s="476"/>
      <c r="X201" s="476"/>
      <c r="Y201" s="476"/>
      <c r="Z201" s="476"/>
      <c r="AA201" s="476"/>
      <c r="AB201" s="586" t="s">
        <v>450</v>
      </c>
      <c r="AC201" s="476"/>
      <c r="AD201" s="68">
        <v>0</v>
      </c>
      <c r="AE201" s="137" t="s">
        <v>25</v>
      </c>
    </row>
    <row r="202" spans="1:32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587" t="s">
        <v>444</v>
      </c>
      <c r="P202" s="477"/>
      <c r="Q202" s="477"/>
      <c r="R202" s="477"/>
      <c r="S202" s="476"/>
      <c r="T202" s="476"/>
      <c r="U202" s="476"/>
      <c r="V202" s="476"/>
      <c r="W202" s="476"/>
      <c r="X202" s="476"/>
      <c r="Y202" s="476"/>
      <c r="Z202" s="476"/>
      <c r="AA202" s="476"/>
      <c r="AB202" s="586" t="s">
        <v>450</v>
      </c>
      <c r="AC202" s="476"/>
      <c r="AD202" s="68">
        <v>5000</v>
      </c>
      <c r="AE202" s="137" t="s">
        <v>325</v>
      </c>
    </row>
    <row r="203" spans="1:32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587" t="s">
        <v>449</v>
      </c>
      <c r="P203" s="587"/>
      <c r="Q203" s="587"/>
      <c r="R203" s="587"/>
      <c r="S203" s="586"/>
      <c r="T203" s="586"/>
      <c r="U203" s="586"/>
      <c r="V203" s="586"/>
      <c r="W203" s="586"/>
      <c r="X203" s="586"/>
      <c r="Y203" s="586"/>
      <c r="Z203" s="586"/>
      <c r="AA203" s="586"/>
      <c r="AB203" s="586" t="s">
        <v>450</v>
      </c>
      <c r="AC203" s="586"/>
      <c r="AD203" s="68">
        <v>1000</v>
      </c>
      <c r="AE203" s="137" t="s">
        <v>408</v>
      </c>
    </row>
    <row r="204" spans="1:32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587" t="s">
        <v>445</v>
      </c>
      <c r="P204" s="477"/>
      <c r="Q204" s="477"/>
      <c r="R204" s="477"/>
      <c r="S204" s="476"/>
      <c r="T204" s="476"/>
      <c r="U204" s="476"/>
      <c r="V204" s="476"/>
      <c r="W204" s="476"/>
      <c r="X204" s="476"/>
      <c r="Y204" s="476"/>
      <c r="Z204" s="476"/>
      <c r="AA204" s="476"/>
      <c r="AB204" s="586" t="s">
        <v>629</v>
      </c>
      <c r="AC204" s="476"/>
      <c r="AD204" s="68">
        <v>0</v>
      </c>
      <c r="AE204" s="137" t="s">
        <v>325</v>
      </c>
    </row>
    <row r="205" spans="1:32" ht="21" customHeight="1">
      <c r="A205" s="45"/>
      <c r="B205" s="46"/>
      <c r="C205" s="46"/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587" t="s">
        <v>446</v>
      </c>
      <c r="P205" s="477"/>
      <c r="Q205" s="477"/>
      <c r="R205" s="477"/>
      <c r="S205" s="476"/>
      <c r="T205" s="476"/>
      <c r="U205" s="476"/>
      <c r="V205" s="476"/>
      <c r="W205" s="476"/>
      <c r="X205" s="476"/>
      <c r="Y205" s="476"/>
      <c r="Z205" s="476"/>
      <c r="AA205" s="476"/>
      <c r="AB205" s="586" t="s">
        <v>629</v>
      </c>
      <c r="AC205" s="476"/>
      <c r="AD205" s="68">
        <v>0</v>
      </c>
      <c r="AE205" s="137" t="s">
        <v>325</v>
      </c>
    </row>
    <row r="206" spans="1:32" ht="21" customHeight="1">
      <c r="A206" s="45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587" t="s">
        <v>447</v>
      </c>
      <c r="P206" s="477"/>
      <c r="Q206" s="477"/>
      <c r="R206" s="477"/>
      <c r="S206" s="476"/>
      <c r="T206" s="476"/>
      <c r="U206" s="476"/>
      <c r="V206" s="476"/>
      <c r="W206" s="476"/>
      <c r="X206" s="476"/>
      <c r="Y206" s="476"/>
      <c r="Z206" s="476"/>
      <c r="AA206" s="476"/>
      <c r="AB206" s="586" t="s">
        <v>630</v>
      </c>
      <c r="AC206" s="476"/>
      <c r="AD206" s="68">
        <v>0</v>
      </c>
      <c r="AE206" s="137" t="s">
        <v>25</v>
      </c>
    </row>
    <row r="207" spans="1:32" ht="21" customHeight="1">
      <c r="A207" s="45"/>
      <c r="B207" s="46"/>
      <c r="C207" s="47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587" t="s">
        <v>448</v>
      </c>
      <c r="P207" s="587"/>
      <c r="Q207" s="587"/>
      <c r="R207" s="587"/>
      <c r="S207" s="586"/>
      <c r="T207" s="586"/>
      <c r="U207" s="586"/>
      <c r="V207" s="586"/>
      <c r="W207" s="586"/>
      <c r="X207" s="586"/>
      <c r="Y207" s="586"/>
      <c r="Z207" s="586"/>
      <c r="AA207" s="586"/>
      <c r="AB207" s="586" t="s">
        <v>631</v>
      </c>
      <c r="AC207" s="586"/>
      <c r="AD207" s="68"/>
      <c r="AE207" s="137"/>
    </row>
    <row r="208" spans="1:32" s="14" customFormat="1" ht="21" customHeight="1">
      <c r="A208" s="45"/>
      <c r="B208" s="59"/>
      <c r="C208" s="47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1"/>
      <c r="AE208" s="57"/>
      <c r="AF208" s="4"/>
    </row>
    <row r="209" spans="1:32" s="11" customFormat="1" ht="21" customHeight="1">
      <c r="A209" s="35" t="s">
        <v>98</v>
      </c>
      <c r="B209" s="656" t="s">
        <v>20</v>
      </c>
      <c r="C209" s="657"/>
      <c r="D209" s="175">
        <f>D210</f>
        <v>0</v>
      </c>
      <c r="E209" s="175">
        <f>E210</f>
        <v>0</v>
      </c>
      <c r="F209" s="175">
        <f t="shared" ref="F209:L209" si="23">F210</f>
        <v>0</v>
      </c>
      <c r="G209" s="175">
        <f t="shared" si="23"/>
        <v>0</v>
      </c>
      <c r="H209" s="175">
        <f t="shared" si="23"/>
        <v>0</v>
      </c>
      <c r="I209" s="175">
        <f t="shared" si="23"/>
        <v>0</v>
      </c>
      <c r="J209" s="175">
        <f t="shared" si="23"/>
        <v>0</v>
      </c>
      <c r="K209" s="175">
        <f t="shared" si="23"/>
        <v>0</v>
      </c>
      <c r="L209" s="175">
        <f t="shared" si="23"/>
        <v>0</v>
      </c>
      <c r="M209" s="175">
        <f>E209-D209</f>
        <v>0</v>
      </c>
      <c r="N209" s="176">
        <f>IF(D209=0,0,M209/D209)</f>
        <v>0</v>
      </c>
      <c r="O209" s="177" t="s">
        <v>98</v>
      </c>
      <c r="P209" s="177"/>
      <c r="Q209" s="177"/>
      <c r="R209" s="177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>
        <f>SUM(AD210)</f>
        <v>0</v>
      </c>
      <c r="AE209" s="179" t="s">
        <v>25</v>
      </c>
      <c r="AF209" s="1"/>
    </row>
    <row r="210" spans="1:32" s="11" customFormat="1" ht="21" customHeight="1">
      <c r="A210" s="45"/>
      <c r="B210" s="46" t="s">
        <v>98</v>
      </c>
      <c r="C210" s="46" t="s">
        <v>98</v>
      </c>
      <c r="D210" s="160">
        <v>0</v>
      </c>
      <c r="E210" s="114">
        <f>AD210/1000</f>
        <v>0</v>
      </c>
      <c r="F210" s="109">
        <f>SUMIF($AB$210:$AB$211,"보조",$AD$210:$AD$211)/1000</f>
        <v>0</v>
      </c>
      <c r="G210" s="109">
        <f>SUMIF($AB$210:$AB$211,"7종",$AD$210:$AD$211)/1000</f>
        <v>0</v>
      </c>
      <c r="H210" s="109">
        <f>SUMIF($AB$210:$AB$211,"시비",$AD$210:$AD$211)/1000</f>
        <v>0</v>
      </c>
      <c r="I210" s="109">
        <f>SUMIF($AB$210:$AB$211,"후원",$AD$210:$AD$211)/1000</f>
        <v>0</v>
      </c>
      <c r="J210" s="109">
        <f>SUMIF($AB$210:$AB$211,"입소",$AD$210:$AD$211)/1000</f>
        <v>0</v>
      </c>
      <c r="K210" s="109">
        <f>SUMIF($AB$210:$AB$211,"법인",$AD$210:$AD$211)/1000</f>
        <v>0</v>
      </c>
      <c r="L210" s="109">
        <f>SUMIF($AB$210:$AB$211,"잡수",$AD$210:$AD$211)/1000</f>
        <v>0</v>
      </c>
      <c r="M210" s="109">
        <f>E210-D210</f>
        <v>0</v>
      </c>
      <c r="N210" s="70">
        <f>IF(D210=0,0,M210/D210)</f>
        <v>0</v>
      </c>
      <c r="O210" s="116" t="s">
        <v>99</v>
      </c>
      <c r="P210" s="32"/>
      <c r="Q210" s="32"/>
      <c r="R210" s="32"/>
      <c r="S210" s="32"/>
      <c r="T210" s="33"/>
      <c r="U210" s="33"/>
      <c r="V210" s="33"/>
      <c r="W210" s="33"/>
      <c r="X210" s="33"/>
      <c r="Y210" s="178" t="s">
        <v>145</v>
      </c>
      <c r="Z210" s="99"/>
      <c r="AA210" s="99"/>
      <c r="AB210" s="99"/>
      <c r="AC210" s="118"/>
      <c r="AD210" s="118">
        <v>0</v>
      </c>
      <c r="AE210" s="119" t="s">
        <v>25</v>
      </c>
      <c r="AF210" s="1"/>
    </row>
    <row r="211" spans="1:32" s="1" customFormat="1" ht="21" customHeight="1" thickBot="1">
      <c r="A211" s="138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141"/>
    </row>
    <row r="212" spans="1:32" s="11" customFormat="1" ht="21" customHeight="1">
      <c r="A212" s="35" t="s">
        <v>21</v>
      </c>
      <c r="B212" s="654" t="s">
        <v>20</v>
      </c>
      <c r="C212" s="655"/>
      <c r="D212" s="200">
        <f>SUM(D213)</f>
        <v>18</v>
      </c>
      <c r="E212" s="200">
        <f>SUM(E213)</f>
        <v>18</v>
      </c>
      <c r="F212" s="200">
        <f t="shared" ref="F212:L212" si="24">SUM(F213)</f>
        <v>0</v>
      </c>
      <c r="G212" s="200">
        <f t="shared" si="24"/>
        <v>0</v>
      </c>
      <c r="H212" s="200">
        <f t="shared" si="24"/>
        <v>0</v>
      </c>
      <c r="I212" s="200">
        <f t="shared" si="24"/>
        <v>4</v>
      </c>
      <c r="J212" s="200">
        <f t="shared" si="24"/>
        <v>12</v>
      </c>
      <c r="K212" s="200">
        <f t="shared" si="24"/>
        <v>0</v>
      </c>
      <c r="L212" s="200">
        <f t="shared" si="24"/>
        <v>2</v>
      </c>
      <c r="M212" s="200">
        <f>E212-D212</f>
        <v>0</v>
      </c>
      <c r="N212" s="201">
        <f>IF(D212=0,0,M212/D212)</f>
        <v>0</v>
      </c>
      <c r="O212" s="168" t="s">
        <v>21</v>
      </c>
      <c r="P212" s="169"/>
      <c r="Q212" s="169"/>
      <c r="R212" s="169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>
        <f>AD213</f>
        <v>18000</v>
      </c>
      <c r="AE212" s="171" t="s">
        <v>25</v>
      </c>
      <c r="AF212" s="1"/>
    </row>
    <row r="213" spans="1:32" s="11" customFormat="1" ht="21" customHeight="1">
      <c r="A213" s="45"/>
      <c r="B213" s="46" t="s">
        <v>21</v>
      </c>
      <c r="C213" s="46" t="s">
        <v>21</v>
      </c>
      <c r="D213" s="109">
        <v>18</v>
      </c>
      <c r="E213" s="114">
        <f>AD213/1000</f>
        <v>18</v>
      </c>
      <c r="F213" s="109">
        <f>SUMIF($AB$214:$AB$220,"보조",$AD$214:$AD$220)/1000</f>
        <v>0</v>
      </c>
      <c r="G213" s="109">
        <f>SUMIF($AB$214:$AB$220,"7종",$AD$214:$AD$220)/1000</f>
        <v>0</v>
      </c>
      <c r="H213" s="109">
        <f>SUMIF($AB$214:$AB$220,"시비",$AD$214:$AD$220)/1000</f>
        <v>0</v>
      </c>
      <c r="I213" s="109">
        <f>SUMIF($AB$214:$AB$220,"후원",$AD$214:$AD$220)/1000</f>
        <v>4</v>
      </c>
      <c r="J213" s="109">
        <f>SUMIF($AB$214:$AB$220,"입소",$AD$214:$AD$220)/1000</f>
        <v>12</v>
      </c>
      <c r="K213" s="109">
        <f>SUMIF($AB$214:$AB$220,"법인",$AD$214:$AD$220)/1000</f>
        <v>0</v>
      </c>
      <c r="L213" s="109">
        <f>SUMIF($AB$214:$AB$220,"잡수",$AD$214:$AD$220)/1000</f>
        <v>2</v>
      </c>
      <c r="M213" s="109">
        <f>SUMIF($AB$214:$AB$220,"보조",$AD$214:$AD$220)/1000</f>
        <v>0</v>
      </c>
      <c r="N213" s="70">
        <f>IF(D213=0,0,M213/D213)</f>
        <v>0</v>
      </c>
      <c r="O213" s="116" t="s">
        <v>52</v>
      </c>
      <c r="P213" s="32"/>
      <c r="Q213" s="32"/>
      <c r="R213" s="32"/>
      <c r="S213" s="32"/>
      <c r="T213" s="33"/>
      <c r="U213" s="33"/>
      <c r="V213" s="33"/>
      <c r="W213" s="33"/>
      <c r="X213" s="33"/>
      <c r="Y213" s="178" t="s">
        <v>145</v>
      </c>
      <c r="Z213" s="99"/>
      <c r="AA213" s="99"/>
      <c r="AB213" s="99"/>
      <c r="AC213" s="118"/>
      <c r="AD213" s="118">
        <f>SUM(AD214:AD219)</f>
        <v>18000</v>
      </c>
      <c r="AE213" s="119" t="s">
        <v>25</v>
      </c>
      <c r="AF213" s="1"/>
    </row>
    <row r="214" spans="1:32" s="11" customFormat="1" ht="21" customHeight="1">
      <c r="A214" s="45"/>
      <c r="B214" s="46"/>
      <c r="C214" s="46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87" t="s">
        <v>534</v>
      </c>
      <c r="P214" s="477"/>
      <c r="Q214" s="477"/>
      <c r="R214" s="477"/>
      <c r="S214" s="477"/>
      <c r="T214" s="476"/>
      <c r="U214" s="476"/>
      <c r="V214" s="476"/>
      <c r="W214" s="476"/>
      <c r="X214" s="476"/>
      <c r="Y214" s="476"/>
      <c r="Z214" s="476"/>
      <c r="AA214" s="476"/>
      <c r="AB214" s="586" t="s">
        <v>632</v>
      </c>
      <c r="AC214" s="136"/>
      <c r="AD214" s="68">
        <v>3000</v>
      </c>
      <c r="AE214" s="137" t="s">
        <v>325</v>
      </c>
      <c r="AF214" s="2"/>
    </row>
    <row r="215" spans="1:32" s="11" customFormat="1" ht="21" customHeight="1">
      <c r="A215" s="45"/>
      <c r="B215" s="46"/>
      <c r="C215" s="46"/>
      <c r="D215" s="16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587" t="s">
        <v>535</v>
      </c>
      <c r="P215" s="477"/>
      <c r="Q215" s="477"/>
      <c r="R215" s="477"/>
      <c r="S215" s="477"/>
      <c r="T215" s="476"/>
      <c r="U215" s="476"/>
      <c r="V215" s="476"/>
      <c r="W215" s="476"/>
      <c r="X215" s="476"/>
      <c r="Y215" s="476"/>
      <c r="Z215" s="476"/>
      <c r="AA215" s="476"/>
      <c r="AB215" s="586" t="s">
        <v>632</v>
      </c>
      <c r="AC215" s="136"/>
      <c r="AD215" s="68">
        <v>9000</v>
      </c>
      <c r="AE215" s="137" t="s">
        <v>325</v>
      </c>
      <c r="AF215" s="2"/>
    </row>
    <row r="216" spans="1:32" s="11" customFormat="1" ht="21" customHeight="1">
      <c r="A216" s="45"/>
      <c r="B216" s="46"/>
      <c r="C216" s="46"/>
      <c r="D216" s="16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587" t="s">
        <v>451</v>
      </c>
      <c r="P216" s="587"/>
      <c r="Q216" s="587"/>
      <c r="R216" s="587"/>
      <c r="S216" s="587"/>
      <c r="T216" s="586"/>
      <c r="U216" s="586"/>
      <c r="V216" s="586"/>
      <c r="W216" s="586"/>
      <c r="X216" s="586"/>
      <c r="Y216" s="586"/>
      <c r="Z216" s="586"/>
      <c r="AA216" s="586"/>
      <c r="AB216" s="586" t="s">
        <v>633</v>
      </c>
      <c r="AC216" s="136"/>
      <c r="AD216" s="68">
        <v>3000</v>
      </c>
      <c r="AE216" s="137" t="s">
        <v>533</v>
      </c>
      <c r="AF216" s="2"/>
    </row>
    <row r="217" spans="1:32" s="11" customFormat="1" ht="21" customHeight="1">
      <c r="A217" s="45"/>
      <c r="B217" s="46"/>
      <c r="C217" s="46"/>
      <c r="D217" s="16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587" t="s">
        <v>532</v>
      </c>
      <c r="P217" s="477"/>
      <c r="Q217" s="477"/>
      <c r="R217" s="477"/>
      <c r="S217" s="477"/>
      <c r="T217" s="476"/>
      <c r="U217" s="476"/>
      <c r="V217" s="476"/>
      <c r="W217" s="476"/>
      <c r="X217" s="476"/>
      <c r="Y217" s="476"/>
      <c r="Z217" s="476"/>
      <c r="AA217" s="476"/>
      <c r="AB217" s="586" t="s">
        <v>634</v>
      </c>
      <c r="AC217" s="136"/>
      <c r="AD217" s="68">
        <v>1000</v>
      </c>
      <c r="AE217" s="137" t="s">
        <v>325</v>
      </c>
      <c r="AF217" s="2"/>
    </row>
    <row r="218" spans="1:32" s="11" customFormat="1" ht="21" customHeight="1">
      <c r="A218" s="45"/>
      <c r="B218" s="46"/>
      <c r="C218" s="46"/>
      <c r="D218" s="16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587" t="s">
        <v>452</v>
      </c>
      <c r="P218" s="477"/>
      <c r="Q218" s="477"/>
      <c r="R218" s="477"/>
      <c r="S218" s="477"/>
      <c r="T218" s="476"/>
      <c r="U218" s="476"/>
      <c r="V218" s="476"/>
      <c r="W218" s="476"/>
      <c r="X218" s="476"/>
      <c r="Y218" s="476"/>
      <c r="Z218" s="476"/>
      <c r="AA218" s="476"/>
      <c r="AB218" s="586" t="s">
        <v>635</v>
      </c>
      <c r="AC218" s="136"/>
      <c r="AD218" s="68">
        <v>1000</v>
      </c>
      <c r="AE218" s="137" t="s">
        <v>325</v>
      </c>
      <c r="AF218" s="2"/>
    </row>
    <row r="219" spans="1:32" s="11" customFormat="1" ht="21" customHeight="1">
      <c r="A219" s="45"/>
      <c r="B219" s="46"/>
      <c r="C219" s="46"/>
      <c r="D219" s="16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587" t="s">
        <v>536</v>
      </c>
      <c r="P219" s="587"/>
      <c r="Q219" s="587"/>
      <c r="R219" s="587"/>
      <c r="S219" s="587"/>
      <c r="T219" s="586"/>
      <c r="U219" s="586"/>
      <c r="V219" s="586"/>
      <c r="W219" s="586"/>
      <c r="X219" s="586"/>
      <c r="Y219" s="586"/>
      <c r="Z219" s="586"/>
      <c r="AA219" s="586"/>
      <c r="AB219" s="586" t="s">
        <v>636</v>
      </c>
      <c r="AC219" s="136"/>
      <c r="AD219" s="68">
        <v>1000</v>
      </c>
      <c r="AE219" s="137" t="s">
        <v>57</v>
      </c>
      <c r="AF219" s="2"/>
    </row>
    <row r="220" spans="1:32" s="1" customFormat="1" ht="21" customHeight="1" thickBot="1">
      <c r="A220" s="138"/>
      <c r="B220" s="102"/>
      <c r="C220" s="102"/>
      <c r="D220" s="165"/>
      <c r="E220" s="139"/>
      <c r="F220" s="139"/>
      <c r="G220" s="139"/>
      <c r="H220" s="139"/>
      <c r="I220" s="139"/>
      <c r="J220" s="139"/>
      <c r="K220" s="139"/>
      <c r="L220" s="139"/>
      <c r="M220" s="139"/>
      <c r="N220" s="140"/>
      <c r="O220" s="513"/>
      <c r="P220" s="513"/>
      <c r="Q220" s="513"/>
      <c r="R220" s="513"/>
      <c r="S220" s="514"/>
      <c r="T220" s="514"/>
      <c r="U220" s="514"/>
      <c r="V220" s="514"/>
      <c r="W220" s="514"/>
      <c r="X220" s="514"/>
      <c r="Y220" s="514"/>
      <c r="Z220" s="514"/>
      <c r="AA220" s="514"/>
      <c r="AB220" s="514"/>
      <c r="AC220" s="514"/>
      <c r="AD220" s="514"/>
      <c r="AE220" s="515"/>
    </row>
    <row r="222" spans="1:32" ht="21" customHeight="1">
      <c r="E222" s="387"/>
      <c r="F222" s="387"/>
    </row>
    <row r="223" spans="1:32" ht="21" customHeight="1">
      <c r="E223" s="387"/>
      <c r="F223" s="387"/>
    </row>
    <row r="224" spans="1:32" ht="21" customHeight="1">
      <c r="F224" s="387"/>
    </row>
    <row r="225" spans="5:6" ht="21" customHeight="1">
      <c r="E225" s="387"/>
      <c r="F225" s="387"/>
    </row>
    <row r="226" spans="5:6" ht="21" customHeight="1">
      <c r="E226" s="387"/>
      <c r="F226" s="387"/>
    </row>
    <row r="227" spans="5:6" ht="21" customHeight="1">
      <c r="E227" s="387"/>
      <c r="F227" s="387"/>
    </row>
  </sheetData>
  <mergeCells count="15">
    <mergeCell ref="O2:AE3"/>
    <mergeCell ref="V112:W112"/>
    <mergeCell ref="V84:W84"/>
    <mergeCell ref="B5:C5"/>
    <mergeCell ref="A4:C4"/>
    <mergeCell ref="M2:N2"/>
    <mergeCell ref="A2:C2"/>
    <mergeCell ref="D2:D3"/>
    <mergeCell ref="E2:L2"/>
    <mergeCell ref="A1:E1"/>
    <mergeCell ref="B212:C212"/>
    <mergeCell ref="B209:C209"/>
    <mergeCell ref="B199:C199"/>
    <mergeCell ref="B132:C132"/>
    <mergeCell ref="B117:C117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topLeftCell="A13" workbookViewId="0">
      <selection activeCell="K24" sqref="K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82" t="s">
        <v>668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4" ht="34.5" customHeight="1">
      <c r="A2" s="683" t="s">
        <v>266</v>
      </c>
      <c r="B2" s="684"/>
      <c r="C2" s="685"/>
      <c r="D2" s="686" t="s">
        <v>334</v>
      </c>
      <c r="E2" s="685"/>
      <c r="F2" s="687" t="s">
        <v>271</v>
      </c>
      <c r="G2" s="689" t="s">
        <v>270</v>
      </c>
      <c r="H2" s="690"/>
      <c r="I2" s="690"/>
      <c r="J2" s="690"/>
      <c r="K2" s="693" t="s">
        <v>269</v>
      </c>
      <c r="L2" s="297"/>
      <c r="M2" s="297"/>
      <c r="N2" s="297"/>
    </row>
    <row r="3" spans="1:14" ht="35.25" customHeight="1" thickBot="1">
      <c r="A3" s="304" t="s">
        <v>267</v>
      </c>
      <c r="B3" s="305" t="s">
        <v>268</v>
      </c>
      <c r="C3" s="324" t="s">
        <v>178</v>
      </c>
      <c r="D3" s="450" t="s">
        <v>606</v>
      </c>
      <c r="E3" s="450" t="s">
        <v>649</v>
      </c>
      <c r="F3" s="688"/>
      <c r="G3" s="691"/>
      <c r="H3" s="692"/>
      <c r="I3" s="692"/>
      <c r="J3" s="692"/>
      <c r="K3" s="694"/>
      <c r="L3" s="297"/>
      <c r="M3" s="297"/>
      <c r="N3" s="297"/>
    </row>
    <row r="4" spans="1:14" ht="36.75" customHeight="1" thickBot="1">
      <c r="A4" s="679" t="s">
        <v>272</v>
      </c>
      <c r="B4" s="680"/>
      <c r="C4" s="681"/>
      <c r="D4" s="335">
        <f>SUM(D5:D25)</f>
        <v>71949000</v>
      </c>
      <c r="E4" s="336">
        <f>SUM(E5:E25)</f>
        <v>72629000</v>
      </c>
      <c r="F4" s="331">
        <f t="shared" ref="F4:F25" si="0">E4-D4</f>
        <v>680000</v>
      </c>
      <c r="G4" s="595"/>
      <c r="H4" s="595"/>
      <c r="I4" s="595"/>
      <c r="J4" s="595"/>
      <c r="K4" s="349"/>
      <c r="L4" s="297"/>
      <c r="M4" s="297"/>
      <c r="N4" s="297"/>
    </row>
    <row r="5" spans="1:14" ht="46.5" customHeight="1" thickBot="1">
      <c r="A5" s="312" t="s">
        <v>460</v>
      </c>
      <c r="B5" s="313" t="s">
        <v>460</v>
      </c>
      <c r="C5" s="325" t="s">
        <v>460</v>
      </c>
      <c r="D5" s="337">
        <v>7200000</v>
      </c>
      <c r="E5" s="338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8">
        <f>G5*H5*I5</f>
        <v>75000000</v>
      </c>
      <c r="K5" s="350"/>
    </row>
    <row r="6" spans="1:14" ht="27">
      <c r="A6" s="320" t="s">
        <v>461</v>
      </c>
      <c r="B6" s="357" t="s">
        <v>462</v>
      </c>
      <c r="C6" s="326" t="s">
        <v>463</v>
      </c>
      <c r="D6" s="339">
        <v>0</v>
      </c>
      <c r="E6" s="340">
        <v>0</v>
      </c>
      <c r="F6" s="458">
        <f t="shared" si="0"/>
        <v>0</v>
      </c>
      <c r="G6" s="321"/>
      <c r="H6" s="321"/>
      <c r="I6" s="321"/>
      <c r="J6" s="321"/>
      <c r="K6" s="351" t="s">
        <v>464</v>
      </c>
    </row>
    <row r="7" spans="1:14" ht="24.75" customHeight="1">
      <c r="A7" s="451"/>
      <c r="B7" s="452"/>
      <c r="C7" s="453" t="s">
        <v>465</v>
      </c>
      <c r="D7" s="346">
        <v>0</v>
      </c>
      <c r="E7" s="347">
        <v>0</v>
      </c>
      <c r="F7" s="334">
        <f t="shared" si="0"/>
        <v>0</v>
      </c>
      <c r="G7" s="306"/>
      <c r="H7" s="306"/>
      <c r="I7" s="306"/>
      <c r="J7" s="306"/>
      <c r="K7" s="527" t="s">
        <v>464</v>
      </c>
    </row>
    <row r="8" spans="1:14" ht="33" customHeight="1">
      <c r="A8" s="307"/>
      <c r="B8" s="301" t="s">
        <v>466</v>
      </c>
      <c r="C8" s="327" t="s">
        <v>465</v>
      </c>
      <c r="D8" s="341">
        <v>54505000</v>
      </c>
      <c r="E8" s="342">
        <v>54505000</v>
      </c>
      <c r="F8" s="298">
        <f t="shared" si="0"/>
        <v>0</v>
      </c>
      <c r="G8" s="306"/>
      <c r="H8" s="306"/>
      <c r="I8" s="306"/>
      <c r="J8" s="306"/>
      <c r="K8" s="352" t="s">
        <v>553</v>
      </c>
    </row>
    <row r="9" spans="1:14" ht="33" customHeight="1">
      <c r="A9" s="307"/>
      <c r="B9" s="452"/>
      <c r="C9" s="328" t="s">
        <v>467</v>
      </c>
      <c r="D9" s="346">
        <v>1000000</v>
      </c>
      <c r="E9" s="347">
        <v>2000000</v>
      </c>
      <c r="F9" s="334">
        <f t="shared" si="0"/>
        <v>1000000</v>
      </c>
      <c r="G9" s="306"/>
      <c r="H9" s="306"/>
      <c r="I9" s="306"/>
      <c r="J9" s="306"/>
      <c r="K9" s="527" t="s">
        <v>464</v>
      </c>
    </row>
    <row r="10" spans="1:14" ht="34.5" customHeight="1">
      <c r="A10" s="307"/>
      <c r="B10" s="302"/>
      <c r="C10" s="328" t="s">
        <v>663</v>
      </c>
      <c r="D10" s="341">
        <v>1200000</v>
      </c>
      <c r="E10" s="342">
        <v>600000</v>
      </c>
      <c r="F10" s="298">
        <f t="shared" si="0"/>
        <v>-600000</v>
      </c>
      <c r="G10" s="306"/>
      <c r="H10" s="306"/>
      <c r="I10" s="306"/>
      <c r="J10" s="306"/>
      <c r="K10" s="352" t="s">
        <v>666</v>
      </c>
    </row>
    <row r="11" spans="1:14" ht="46.5" customHeight="1">
      <c r="A11" s="307"/>
      <c r="B11" s="302"/>
      <c r="C11" s="328" t="s">
        <v>664</v>
      </c>
      <c r="D11" s="341">
        <v>0</v>
      </c>
      <c r="E11" s="342">
        <v>1800000</v>
      </c>
      <c r="F11" s="298">
        <f t="shared" si="0"/>
        <v>1800000</v>
      </c>
      <c r="G11" s="306"/>
      <c r="H11" s="306"/>
      <c r="I11" s="306"/>
      <c r="J11" s="306"/>
      <c r="K11" s="352" t="s">
        <v>665</v>
      </c>
    </row>
    <row r="12" spans="1:14" ht="36" customHeight="1">
      <c r="A12" s="307"/>
      <c r="B12" s="303"/>
      <c r="C12" s="328" t="s">
        <v>468</v>
      </c>
      <c r="D12" s="341">
        <v>600000</v>
      </c>
      <c r="E12" s="342">
        <v>600000</v>
      </c>
      <c r="F12" s="298">
        <f t="shared" si="0"/>
        <v>0</v>
      </c>
      <c r="G12" s="306"/>
      <c r="H12" s="306"/>
      <c r="I12" s="306"/>
      <c r="J12" s="306"/>
      <c r="K12" s="352" t="s">
        <v>464</v>
      </c>
    </row>
    <row r="13" spans="1:14" ht="36" customHeight="1">
      <c r="A13" s="307"/>
      <c r="B13" s="308" t="s">
        <v>469</v>
      </c>
      <c r="C13" s="328" t="s">
        <v>470</v>
      </c>
      <c r="D13" s="341">
        <v>0</v>
      </c>
      <c r="E13" s="342">
        <v>0</v>
      </c>
      <c r="F13" s="298">
        <f t="shared" si="0"/>
        <v>0</v>
      </c>
      <c r="G13" s="306"/>
      <c r="H13" s="306"/>
      <c r="I13" s="306"/>
      <c r="J13" s="306"/>
      <c r="K13" s="454" t="s">
        <v>464</v>
      </c>
    </row>
    <row r="14" spans="1:14" ht="36" customHeight="1">
      <c r="A14" s="307"/>
      <c r="B14" s="306"/>
      <c r="C14" s="328" t="s">
        <v>468</v>
      </c>
      <c r="D14" s="341">
        <v>0</v>
      </c>
      <c r="E14" s="342">
        <v>0</v>
      </c>
      <c r="F14" s="298">
        <f t="shared" si="0"/>
        <v>0</v>
      </c>
      <c r="G14" s="306"/>
      <c r="H14" s="306"/>
      <c r="I14" s="306"/>
      <c r="J14" s="306"/>
      <c r="K14" s="352" t="s">
        <v>464</v>
      </c>
    </row>
    <row r="15" spans="1:14" ht="34.5" customHeight="1">
      <c r="A15" s="307"/>
      <c r="B15" s="461" t="s">
        <v>471</v>
      </c>
      <c r="C15" s="328" t="s">
        <v>472</v>
      </c>
      <c r="D15" s="341">
        <v>1600000</v>
      </c>
      <c r="E15" s="342">
        <v>80000</v>
      </c>
      <c r="F15" s="298">
        <f t="shared" si="0"/>
        <v>-1520000</v>
      </c>
      <c r="G15" s="306"/>
      <c r="H15" s="306"/>
      <c r="I15" s="306"/>
      <c r="J15" s="306"/>
      <c r="K15" s="454" t="s">
        <v>667</v>
      </c>
    </row>
    <row r="16" spans="1:14" ht="33" customHeight="1" thickBot="1">
      <c r="A16" s="309"/>
      <c r="B16" s="311"/>
      <c r="C16" s="328"/>
      <c r="D16" s="343">
        <v>0</v>
      </c>
      <c r="E16" s="344">
        <v>0</v>
      </c>
      <c r="F16" s="333">
        <f t="shared" si="0"/>
        <v>0</v>
      </c>
      <c r="G16" s="311"/>
      <c r="H16" s="311"/>
      <c r="I16" s="311"/>
      <c r="J16" s="311"/>
      <c r="K16" s="352" t="s">
        <v>464</v>
      </c>
    </row>
    <row r="17" spans="1:11" ht="36" customHeight="1">
      <c r="A17" s="373" t="s">
        <v>473</v>
      </c>
      <c r="B17" s="374" t="s">
        <v>473</v>
      </c>
      <c r="C17" s="369" t="s">
        <v>474</v>
      </c>
      <c r="D17" s="339">
        <v>0</v>
      </c>
      <c r="E17" s="370">
        <v>0</v>
      </c>
      <c r="F17" s="332">
        <f t="shared" si="0"/>
        <v>0</v>
      </c>
      <c r="G17" s="371"/>
      <c r="H17" s="371"/>
      <c r="I17" s="371"/>
      <c r="J17" s="371"/>
      <c r="K17" s="351" t="s">
        <v>464</v>
      </c>
    </row>
    <row r="18" spans="1:11" ht="35.25" customHeight="1" thickBot="1">
      <c r="A18" s="309"/>
      <c r="B18" s="455"/>
      <c r="C18" s="329" t="s">
        <v>475</v>
      </c>
      <c r="D18" s="343">
        <v>600000</v>
      </c>
      <c r="E18" s="456">
        <v>600000</v>
      </c>
      <c r="F18" s="333">
        <f t="shared" si="0"/>
        <v>0</v>
      </c>
      <c r="G18" s="457"/>
      <c r="H18" s="457"/>
      <c r="I18" s="457"/>
      <c r="J18" s="457"/>
      <c r="K18" s="528" t="s">
        <v>464</v>
      </c>
    </row>
    <row r="19" spans="1:11" ht="51" customHeight="1" thickBot="1">
      <c r="A19" s="322" t="s">
        <v>476</v>
      </c>
      <c r="B19" s="313" t="s">
        <v>477</v>
      </c>
      <c r="C19" s="325" t="s">
        <v>478</v>
      </c>
      <c r="D19" s="337">
        <v>0</v>
      </c>
      <c r="E19" s="345">
        <v>0</v>
      </c>
      <c r="F19" s="317">
        <f t="shared" si="0"/>
        <v>0</v>
      </c>
      <c r="G19" s="323"/>
      <c r="H19" s="323"/>
      <c r="I19" s="323"/>
      <c r="J19" s="323"/>
      <c r="K19" s="350" t="s">
        <v>479</v>
      </c>
    </row>
    <row r="20" spans="1:11" ht="40.5" customHeight="1">
      <c r="A20" s="318" t="s">
        <v>480</v>
      </c>
      <c r="B20" s="319" t="s">
        <v>481</v>
      </c>
      <c r="C20" s="330" t="s">
        <v>482</v>
      </c>
      <c r="D20" s="346">
        <v>3844000</v>
      </c>
      <c r="E20" s="347">
        <v>3844000</v>
      </c>
      <c r="F20" s="334">
        <f t="shared" si="0"/>
        <v>0</v>
      </c>
      <c r="G20" s="306"/>
      <c r="H20" s="306"/>
      <c r="I20" s="306"/>
      <c r="J20" s="306"/>
      <c r="K20" s="355" t="s">
        <v>464</v>
      </c>
    </row>
    <row r="21" spans="1:11" ht="40.5" customHeight="1">
      <c r="A21" s="307"/>
      <c r="B21" s="299"/>
      <c r="C21" s="328" t="s">
        <v>483</v>
      </c>
      <c r="D21" s="341">
        <v>0</v>
      </c>
      <c r="E21" s="342">
        <v>0</v>
      </c>
      <c r="F21" s="298">
        <f t="shared" si="0"/>
        <v>0</v>
      </c>
      <c r="G21" s="306"/>
      <c r="H21" s="306"/>
      <c r="I21" s="306"/>
      <c r="J21" s="306"/>
      <c r="K21" s="353" t="s">
        <v>479</v>
      </c>
    </row>
    <row r="22" spans="1:11" ht="40.5" customHeight="1">
      <c r="A22" s="307"/>
      <c r="B22" s="299"/>
      <c r="C22" s="328" t="s">
        <v>484</v>
      </c>
      <c r="D22" s="341">
        <v>0</v>
      </c>
      <c r="E22" s="342">
        <v>0</v>
      </c>
      <c r="F22" s="298">
        <f t="shared" si="0"/>
        <v>0</v>
      </c>
      <c r="G22" s="306"/>
      <c r="H22" s="306"/>
      <c r="I22" s="306"/>
      <c r="J22" s="306"/>
      <c r="K22" s="353" t="s">
        <v>479</v>
      </c>
    </row>
    <row r="23" spans="1:11" ht="40.5" customHeight="1">
      <c r="A23" s="307"/>
      <c r="B23" s="300"/>
      <c r="C23" s="328" t="s">
        <v>485</v>
      </c>
      <c r="D23" s="342">
        <v>49000</v>
      </c>
      <c r="E23" s="342">
        <v>49000</v>
      </c>
      <c r="F23" s="298">
        <f t="shared" si="0"/>
        <v>0</v>
      </c>
      <c r="G23" s="306"/>
      <c r="H23" s="306"/>
      <c r="I23" s="306"/>
      <c r="J23" s="306"/>
      <c r="K23" s="353" t="s">
        <v>479</v>
      </c>
    </row>
    <row r="24" spans="1:11" ht="44.25" customHeight="1" thickBot="1">
      <c r="A24" s="309"/>
      <c r="B24" s="310" t="s">
        <v>486</v>
      </c>
      <c r="C24" s="329" t="s">
        <v>487</v>
      </c>
      <c r="D24" s="344">
        <v>1322000</v>
      </c>
      <c r="E24" s="344">
        <v>1322000</v>
      </c>
      <c r="F24" s="333">
        <f t="shared" si="0"/>
        <v>0</v>
      </c>
      <c r="G24" s="311"/>
      <c r="H24" s="311"/>
      <c r="I24" s="311"/>
      <c r="J24" s="311"/>
      <c r="K24" s="354" t="s">
        <v>669</v>
      </c>
    </row>
    <row r="25" spans="1:11" ht="53.25" customHeight="1" thickBot="1">
      <c r="A25" s="312" t="s">
        <v>488</v>
      </c>
      <c r="B25" s="313" t="s">
        <v>488</v>
      </c>
      <c r="C25" s="325" t="s">
        <v>488</v>
      </c>
      <c r="D25" s="338">
        <v>29000</v>
      </c>
      <c r="E25" s="338">
        <v>29000</v>
      </c>
      <c r="F25" s="317">
        <f t="shared" si="0"/>
        <v>0</v>
      </c>
      <c r="G25" s="314">
        <v>250000</v>
      </c>
      <c r="H25" s="315">
        <v>25</v>
      </c>
      <c r="I25" s="316">
        <v>12</v>
      </c>
      <c r="J25" s="348">
        <f>G25*H25*I25</f>
        <v>75000000</v>
      </c>
      <c r="K25" s="350" t="s">
        <v>464</v>
      </c>
    </row>
    <row r="26" spans="1:11" ht="46.5" customHeight="1">
      <c r="D26" s="296"/>
      <c r="E26" s="296"/>
    </row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opLeftCell="A7" workbookViewId="0">
      <selection activeCell="E23" sqref="E23:E2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82" t="s">
        <v>648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</row>
    <row r="2" spans="1:14" ht="46.5" customHeight="1">
      <c r="A2" s="683" t="s">
        <v>489</v>
      </c>
      <c r="B2" s="684"/>
      <c r="C2" s="685"/>
      <c r="D2" s="686" t="s">
        <v>490</v>
      </c>
      <c r="E2" s="685"/>
      <c r="F2" s="687" t="s">
        <v>491</v>
      </c>
      <c r="G2" s="689" t="s">
        <v>492</v>
      </c>
      <c r="H2" s="690"/>
      <c r="I2" s="690"/>
      <c r="J2" s="690"/>
      <c r="K2" s="693" t="s">
        <v>493</v>
      </c>
      <c r="L2" s="297"/>
      <c r="M2" s="297"/>
      <c r="N2" s="297"/>
    </row>
    <row r="3" spans="1:14" ht="46.5" customHeight="1" thickBot="1">
      <c r="A3" s="304" t="s">
        <v>494</v>
      </c>
      <c r="B3" s="305" t="s">
        <v>495</v>
      </c>
      <c r="C3" s="324" t="s">
        <v>496</v>
      </c>
      <c r="D3" s="450" t="s">
        <v>606</v>
      </c>
      <c r="E3" s="450" t="s">
        <v>649</v>
      </c>
      <c r="F3" s="688"/>
      <c r="G3" s="691"/>
      <c r="H3" s="692"/>
      <c r="I3" s="692"/>
      <c r="J3" s="692"/>
      <c r="K3" s="694"/>
      <c r="L3" s="297"/>
      <c r="M3" s="297"/>
      <c r="N3" s="297"/>
    </row>
    <row r="4" spans="1:14" ht="46.5" customHeight="1" thickBot="1">
      <c r="A4" s="679" t="s">
        <v>497</v>
      </c>
      <c r="B4" s="680"/>
      <c r="C4" s="681"/>
      <c r="D4" s="336">
        <f>SUM(D5:D30)</f>
        <v>71949000</v>
      </c>
      <c r="E4" s="336">
        <f>SUM(E5:E30)</f>
        <v>72629000</v>
      </c>
      <c r="F4" s="331">
        <f t="shared" ref="F4:F30" si="0">E4-D4</f>
        <v>680000</v>
      </c>
      <c r="G4" s="595"/>
      <c r="H4" s="595"/>
      <c r="I4" s="595"/>
      <c r="J4" s="595"/>
      <c r="K4" s="349"/>
      <c r="L4" s="297"/>
      <c r="M4" s="297"/>
      <c r="N4" s="297"/>
    </row>
    <row r="5" spans="1:14" ht="50.1" customHeight="1">
      <c r="A5" s="356" t="s">
        <v>498</v>
      </c>
      <c r="B5" s="357" t="s">
        <v>499</v>
      </c>
      <c r="C5" s="326" t="s">
        <v>500</v>
      </c>
      <c r="D5" s="340">
        <v>23636000</v>
      </c>
      <c r="E5" s="340">
        <v>23636000</v>
      </c>
      <c r="F5" s="332">
        <f t="shared" si="0"/>
        <v>0</v>
      </c>
      <c r="G5" s="321"/>
      <c r="H5" s="321"/>
      <c r="I5" s="321"/>
      <c r="J5" s="321"/>
      <c r="K5" s="351" t="s">
        <v>464</v>
      </c>
    </row>
    <row r="6" spans="1:14" ht="34.5" customHeight="1">
      <c r="A6" s="459"/>
      <c r="B6" s="319"/>
      <c r="C6" s="453" t="s">
        <v>501</v>
      </c>
      <c r="D6" s="347">
        <v>1600000</v>
      </c>
      <c r="E6" s="347">
        <v>80000</v>
      </c>
      <c r="F6" s="298">
        <f t="shared" si="0"/>
        <v>-1520000</v>
      </c>
      <c r="G6" s="306"/>
      <c r="H6" s="306"/>
      <c r="I6" s="306"/>
      <c r="J6" s="306"/>
      <c r="K6" s="352" t="s">
        <v>656</v>
      </c>
    </row>
    <row r="7" spans="1:14" ht="50.1" customHeight="1">
      <c r="A7" s="307"/>
      <c r="B7" s="319"/>
      <c r="C7" s="327" t="s">
        <v>502</v>
      </c>
      <c r="D7" s="342">
        <v>8662000</v>
      </c>
      <c r="E7" s="342">
        <v>9780000</v>
      </c>
      <c r="F7" s="298">
        <f t="shared" si="0"/>
        <v>1118000</v>
      </c>
      <c r="G7" s="306"/>
      <c r="H7" s="306"/>
      <c r="I7" s="306"/>
      <c r="J7" s="306"/>
      <c r="K7" s="352" t="s">
        <v>657</v>
      </c>
    </row>
    <row r="8" spans="1:14" ht="50.1" customHeight="1">
      <c r="A8" s="307"/>
      <c r="B8" s="299"/>
      <c r="C8" s="328" t="s">
        <v>503</v>
      </c>
      <c r="D8" s="342">
        <v>2692000</v>
      </c>
      <c r="E8" s="342">
        <v>2799000</v>
      </c>
      <c r="F8" s="298">
        <f t="shared" si="0"/>
        <v>107000</v>
      </c>
      <c r="G8" s="306"/>
      <c r="H8" s="306"/>
      <c r="I8" s="306"/>
      <c r="J8" s="306"/>
      <c r="K8" s="352" t="s">
        <v>658</v>
      </c>
    </row>
    <row r="9" spans="1:14" ht="50.1" customHeight="1">
      <c r="A9" s="307"/>
      <c r="B9" s="299"/>
      <c r="C9" s="328" t="s">
        <v>504</v>
      </c>
      <c r="D9" s="342">
        <v>3349000</v>
      </c>
      <c r="E9" s="342">
        <v>3123000</v>
      </c>
      <c r="F9" s="298">
        <f t="shared" si="0"/>
        <v>-226000</v>
      </c>
      <c r="G9" s="306"/>
      <c r="H9" s="306"/>
      <c r="I9" s="306"/>
      <c r="J9" s="306"/>
      <c r="K9" s="352" t="s">
        <v>659</v>
      </c>
    </row>
    <row r="10" spans="1:14" ht="49.5" customHeight="1">
      <c r="A10" s="307"/>
      <c r="B10" s="308"/>
      <c r="C10" s="328" t="s">
        <v>505</v>
      </c>
      <c r="D10" s="342">
        <v>70000</v>
      </c>
      <c r="E10" s="342">
        <v>70000</v>
      </c>
      <c r="F10" s="298">
        <f t="shared" si="0"/>
        <v>0</v>
      </c>
      <c r="G10" s="306"/>
      <c r="H10" s="306"/>
      <c r="I10" s="306"/>
      <c r="J10" s="306"/>
      <c r="K10" s="352" t="s">
        <v>464</v>
      </c>
    </row>
    <row r="11" spans="1:14" ht="38.25" customHeight="1">
      <c r="A11" s="307"/>
      <c r="B11" s="461" t="s">
        <v>506</v>
      </c>
      <c r="C11" s="328" t="s">
        <v>507</v>
      </c>
      <c r="D11" s="342">
        <v>100000</v>
      </c>
      <c r="E11" s="342">
        <v>100000</v>
      </c>
      <c r="F11" s="298">
        <f t="shared" si="0"/>
        <v>0</v>
      </c>
      <c r="G11" s="306"/>
      <c r="H11" s="306"/>
      <c r="I11" s="306"/>
      <c r="J11" s="306"/>
      <c r="K11" s="352" t="s">
        <v>464</v>
      </c>
    </row>
    <row r="12" spans="1:14" ht="38.25" customHeight="1">
      <c r="A12" s="307"/>
      <c r="B12" s="319"/>
      <c r="C12" s="358" t="s">
        <v>508</v>
      </c>
      <c r="D12" s="342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352" t="s">
        <v>479</v>
      </c>
    </row>
    <row r="13" spans="1:14" ht="34.5" customHeight="1">
      <c r="A13" s="307"/>
      <c r="B13" s="460"/>
      <c r="C13" s="358" t="s">
        <v>509</v>
      </c>
      <c r="D13" s="359">
        <v>300000</v>
      </c>
      <c r="E13" s="359">
        <v>300000</v>
      </c>
      <c r="F13" s="360">
        <f t="shared" si="0"/>
        <v>0</v>
      </c>
      <c r="G13" s="306"/>
      <c r="H13" s="306"/>
      <c r="I13" s="306"/>
      <c r="J13" s="306"/>
      <c r="K13" s="361" t="s">
        <v>464</v>
      </c>
    </row>
    <row r="14" spans="1:14" ht="38.25" customHeight="1">
      <c r="A14" s="307"/>
      <c r="B14" s="461" t="s">
        <v>510</v>
      </c>
      <c r="C14" s="358" t="s">
        <v>511</v>
      </c>
      <c r="D14" s="359">
        <v>100000</v>
      </c>
      <c r="E14" s="359">
        <v>100000</v>
      </c>
      <c r="F14" s="360">
        <f t="shared" si="0"/>
        <v>0</v>
      </c>
      <c r="G14" s="306"/>
      <c r="H14" s="306"/>
      <c r="I14" s="306"/>
      <c r="J14" s="306"/>
      <c r="K14" s="361" t="s">
        <v>464</v>
      </c>
    </row>
    <row r="15" spans="1:14" ht="36" customHeight="1">
      <c r="A15" s="307"/>
      <c r="B15" s="308"/>
      <c r="C15" s="358" t="s">
        <v>512</v>
      </c>
      <c r="D15" s="359">
        <v>3232000</v>
      </c>
      <c r="E15" s="359">
        <v>2812000</v>
      </c>
      <c r="F15" s="360">
        <f t="shared" si="0"/>
        <v>-420000</v>
      </c>
      <c r="G15" s="306"/>
      <c r="H15" s="306"/>
      <c r="I15" s="306"/>
      <c r="J15" s="306"/>
      <c r="K15" s="361" t="s">
        <v>660</v>
      </c>
    </row>
    <row r="16" spans="1:14" ht="37.5" customHeight="1">
      <c r="A16" s="307"/>
      <c r="B16" s="308"/>
      <c r="C16" s="358" t="s">
        <v>513</v>
      </c>
      <c r="D16" s="359">
        <v>5534000</v>
      </c>
      <c r="E16" s="359">
        <v>6169000</v>
      </c>
      <c r="F16" s="360">
        <f t="shared" si="0"/>
        <v>635000</v>
      </c>
      <c r="G16" s="306"/>
      <c r="H16" s="306"/>
      <c r="I16" s="306"/>
      <c r="J16" s="306"/>
      <c r="K16" s="361" t="s">
        <v>554</v>
      </c>
    </row>
    <row r="17" spans="1:11" ht="36.75" customHeight="1">
      <c r="A17" s="307"/>
      <c r="B17" s="308"/>
      <c r="C17" s="358" t="s">
        <v>514</v>
      </c>
      <c r="D17" s="359">
        <v>725000</v>
      </c>
      <c r="E17" s="359">
        <v>725000</v>
      </c>
      <c r="F17" s="360">
        <f t="shared" si="0"/>
        <v>0</v>
      </c>
      <c r="G17" s="306"/>
      <c r="H17" s="306"/>
      <c r="I17" s="306"/>
      <c r="J17" s="306"/>
      <c r="K17" s="361" t="s">
        <v>464</v>
      </c>
    </row>
    <row r="18" spans="1:11" ht="36.75" customHeight="1">
      <c r="A18" s="307"/>
      <c r="B18" s="308"/>
      <c r="C18" s="358" t="s">
        <v>515</v>
      </c>
      <c r="D18" s="359">
        <v>400000</v>
      </c>
      <c r="E18" s="359">
        <v>400000</v>
      </c>
      <c r="F18" s="360">
        <f t="shared" si="0"/>
        <v>0</v>
      </c>
      <c r="G18" s="306"/>
      <c r="H18" s="306"/>
      <c r="I18" s="306"/>
      <c r="J18" s="306"/>
      <c r="K18" s="361" t="s">
        <v>464</v>
      </c>
    </row>
    <row r="19" spans="1:11" ht="38.25" customHeight="1" thickBot="1">
      <c r="A19" s="309"/>
      <c r="B19" s="311"/>
      <c r="C19" s="329" t="s">
        <v>516</v>
      </c>
      <c r="D19" s="344">
        <v>150000</v>
      </c>
      <c r="E19" s="344">
        <v>100000</v>
      </c>
      <c r="F19" s="333">
        <f t="shared" si="0"/>
        <v>-50000</v>
      </c>
      <c r="G19" s="311"/>
      <c r="H19" s="311"/>
      <c r="I19" s="311"/>
      <c r="J19" s="311"/>
      <c r="K19" s="362" t="s">
        <v>655</v>
      </c>
    </row>
    <row r="20" spans="1:11" ht="48" customHeight="1">
      <c r="A20" s="356" t="s">
        <v>517</v>
      </c>
      <c r="B20" s="357" t="s">
        <v>518</v>
      </c>
      <c r="C20" s="596" t="s">
        <v>518</v>
      </c>
      <c r="D20" s="597">
        <v>0</v>
      </c>
      <c r="E20" s="597">
        <v>0</v>
      </c>
      <c r="F20" s="598">
        <f t="shared" si="0"/>
        <v>0</v>
      </c>
      <c r="G20" s="321"/>
      <c r="H20" s="321"/>
      <c r="I20" s="321"/>
      <c r="J20" s="321"/>
      <c r="K20" s="599" t="s">
        <v>479</v>
      </c>
    </row>
    <row r="21" spans="1:11" ht="48" customHeight="1">
      <c r="A21" s="459"/>
      <c r="B21" s="319"/>
      <c r="C21" s="328" t="s">
        <v>519</v>
      </c>
      <c r="D21" s="600">
        <v>1100000</v>
      </c>
      <c r="E21" s="600">
        <v>2500000</v>
      </c>
      <c r="F21" s="298">
        <f t="shared" si="0"/>
        <v>1400000</v>
      </c>
      <c r="G21" s="601"/>
      <c r="H21" s="601"/>
      <c r="I21" s="601"/>
      <c r="J21" s="601"/>
      <c r="K21" s="352" t="s">
        <v>661</v>
      </c>
    </row>
    <row r="22" spans="1:11" ht="45" customHeight="1" thickBot="1">
      <c r="A22" s="363"/>
      <c r="B22" s="364"/>
      <c r="C22" s="365" t="s">
        <v>520</v>
      </c>
      <c r="D22" s="366">
        <v>500000</v>
      </c>
      <c r="E22" s="366">
        <v>1000000</v>
      </c>
      <c r="F22" s="367">
        <f t="shared" si="0"/>
        <v>500000</v>
      </c>
      <c r="G22" s="311"/>
      <c r="H22" s="311"/>
      <c r="I22" s="311"/>
      <c r="J22" s="311"/>
      <c r="K22" s="368" t="s">
        <v>662</v>
      </c>
    </row>
    <row r="23" spans="1:11" ht="46.5" customHeight="1">
      <c r="A23" s="373" t="s">
        <v>521</v>
      </c>
      <c r="B23" s="374" t="s">
        <v>510</v>
      </c>
      <c r="C23" s="369" t="s">
        <v>522</v>
      </c>
      <c r="D23" s="340">
        <v>11300000</v>
      </c>
      <c r="E23" s="340">
        <v>11441000</v>
      </c>
      <c r="F23" s="332">
        <f t="shared" si="0"/>
        <v>141000</v>
      </c>
      <c r="G23" s="321"/>
      <c r="H23" s="321"/>
      <c r="I23" s="321"/>
      <c r="J23" s="321"/>
      <c r="K23" s="351" t="s">
        <v>650</v>
      </c>
    </row>
    <row r="24" spans="1:11" ht="31.5" customHeight="1">
      <c r="A24" s="307"/>
      <c r="B24" s="299"/>
      <c r="C24" s="328" t="s">
        <v>523</v>
      </c>
      <c r="D24" s="342">
        <v>750000</v>
      </c>
      <c r="E24" s="342">
        <v>750000</v>
      </c>
      <c r="F24" s="298">
        <f t="shared" si="0"/>
        <v>0</v>
      </c>
      <c r="G24" s="306"/>
      <c r="H24" s="306"/>
      <c r="I24" s="306"/>
      <c r="J24" s="306"/>
      <c r="K24" s="361" t="s">
        <v>651</v>
      </c>
    </row>
    <row r="25" spans="1:11" ht="35.25" customHeight="1">
      <c r="A25" s="307"/>
      <c r="B25" s="299"/>
      <c r="C25" s="328" t="s">
        <v>524</v>
      </c>
      <c r="D25" s="342">
        <v>1200000</v>
      </c>
      <c r="E25" s="342">
        <v>1200000</v>
      </c>
      <c r="F25" s="298">
        <f t="shared" si="0"/>
        <v>0</v>
      </c>
      <c r="G25" s="306"/>
      <c r="H25" s="306"/>
      <c r="I25" s="306"/>
      <c r="J25" s="306"/>
      <c r="K25" s="353" t="s">
        <v>464</v>
      </c>
    </row>
    <row r="26" spans="1:11" ht="38.25" customHeight="1">
      <c r="A26" s="307"/>
      <c r="B26" s="299"/>
      <c r="C26" s="328" t="s">
        <v>525</v>
      </c>
      <c r="D26" s="342">
        <v>400000</v>
      </c>
      <c r="E26" s="342">
        <v>430000</v>
      </c>
      <c r="F26" s="298">
        <f t="shared" si="0"/>
        <v>30000</v>
      </c>
      <c r="G26" s="306"/>
      <c r="H26" s="306"/>
      <c r="I26" s="306"/>
      <c r="J26" s="306"/>
      <c r="K26" s="352" t="s">
        <v>607</v>
      </c>
    </row>
    <row r="27" spans="1:11" ht="32.25" customHeight="1">
      <c r="A27" s="307"/>
      <c r="B27" s="299"/>
      <c r="C27" s="328" t="s">
        <v>526</v>
      </c>
      <c r="D27" s="342">
        <v>180000</v>
      </c>
      <c r="E27" s="342">
        <v>150000</v>
      </c>
      <c r="F27" s="298">
        <f t="shared" si="0"/>
        <v>-30000</v>
      </c>
      <c r="G27" s="306"/>
      <c r="H27" s="306"/>
      <c r="I27" s="306"/>
      <c r="J27" s="306"/>
      <c r="K27" s="353" t="s">
        <v>652</v>
      </c>
    </row>
    <row r="28" spans="1:11" ht="39.75" customHeight="1" thickBot="1">
      <c r="A28" s="309"/>
      <c r="B28" s="310" t="s">
        <v>527</v>
      </c>
      <c r="C28" s="376" t="s">
        <v>527</v>
      </c>
      <c r="D28" s="344">
        <v>5940000</v>
      </c>
      <c r="E28" s="344">
        <v>4940000</v>
      </c>
      <c r="F28" s="333">
        <f t="shared" si="0"/>
        <v>-1000000</v>
      </c>
      <c r="G28" s="311"/>
      <c r="H28" s="311"/>
      <c r="I28" s="311"/>
      <c r="J28" s="311"/>
      <c r="K28" s="362" t="s">
        <v>653</v>
      </c>
    </row>
    <row r="29" spans="1:11" ht="39" customHeight="1" thickBot="1">
      <c r="A29" s="312" t="s">
        <v>528</v>
      </c>
      <c r="B29" s="313" t="s">
        <v>528</v>
      </c>
      <c r="C29" s="325" t="s">
        <v>528</v>
      </c>
      <c r="D29" s="338">
        <v>11000</v>
      </c>
      <c r="E29" s="338">
        <v>6000</v>
      </c>
      <c r="F29" s="317">
        <f t="shared" si="0"/>
        <v>-5000</v>
      </c>
      <c r="G29" s="323"/>
      <c r="H29" s="323"/>
      <c r="I29" s="323"/>
      <c r="J29" s="323"/>
      <c r="K29" s="375" t="s">
        <v>654</v>
      </c>
    </row>
    <row r="30" spans="1:11" ht="34.5" customHeight="1" thickBot="1">
      <c r="A30" s="312" t="s">
        <v>529</v>
      </c>
      <c r="B30" s="313" t="s">
        <v>529</v>
      </c>
      <c r="C30" s="325" t="s">
        <v>529</v>
      </c>
      <c r="D30" s="338">
        <v>18000</v>
      </c>
      <c r="E30" s="338">
        <v>18000</v>
      </c>
      <c r="F30" s="317">
        <f t="shared" si="0"/>
        <v>0</v>
      </c>
      <c r="G30" s="323"/>
      <c r="H30" s="323"/>
      <c r="I30" s="323"/>
      <c r="J30" s="323"/>
      <c r="K30" s="375" t="s">
        <v>464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8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몬띠의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G17" sqref="G17"/>
    </sheetView>
  </sheetViews>
  <sheetFormatPr defaultRowHeight="13.5"/>
  <cols>
    <col min="1" max="1" width="13.5546875" bestFit="1" customWidth="1"/>
    <col min="2" max="4" width="12.6640625" bestFit="1" customWidth="1"/>
    <col min="6" max="6" width="15.33203125" bestFit="1" customWidth="1"/>
    <col min="7" max="9" width="12.6640625" bestFit="1" customWidth="1"/>
  </cols>
  <sheetData>
    <row r="2" spans="1:9" ht="24.95" customHeight="1">
      <c r="A2" s="530"/>
      <c r="B2" s="530" t="s">
        <v>585</v>
      </c>
      <c r="C2" s="530" t="s">
        <v>586</v>
      </c>
      <c r="D2" s="530" t="s">
        <v>587</v>
      </c>
      <c r="F2" s="530"/>
      <c r="G2" s="530" t="s">
        <v>585</v>
      </c>
      <c r="H2" s="530" t="s">
        <v>586</v>
      </c>
      <c r="I2" s="530" t="s">
        <v>587</v>
      </c>
    </row>
    <row r="3" spans="1:9" ht="24.95" customHeight="1">
      <c r="A3" s="530" t="s">
        <v>588</v>
      </c>
      <c r="B3" s="531">
        <v>40000</v>
      </c>
      <c r="C3" s="531">
        <v>0</v>
      </c>
      <c r="D3" s="531"/>
      <c r="F3" s="530" t="s">
        <v>589</v>
      </c>
      <c r="G3" s="531">
        <v>54505000</v>
      </c>
      <c r="H3" s="531">
        <v>54505000</v>
      </c>
      <c r="I3" s="531">
        <v>54505000</v>
      </c>
    </row>
    <row r="4" spans="1:9" ht="24.95" customHeight="1">
      <c r="A4" s="530" t="s">
        <v>336</v>
      </c>
      <c r="B4" s="531">
        <v>2632000</v>
      </c>
      <c r="C4" s="531">
        <v>1500000</v>
      </c>
      <c r="D4" s="531">
        <v>1500000</v>
      </c>
      <c r="F4" s="530" t="s">
        <v>590</v>
      </c>
      <c r="G4" s="531">
        <v>1000000</v>
      </c>
      <c r="H4" s="531">
        <v>1000000</v>
      </c>
      <c r="I4" s="531">
        <v>1000000</v>
      </c>
    </row>
    <row r="5" spans="1:9" ht="24.95" customHeight="1">
      <c r="A5" s="530" t="s">
        <v>296</v>
      </c>
      <c r="B5" s="531">
        <v>3694000</v>
      </c>
      <c r="C5" s="531">
        <v>2320000</v>
      </c>
      <c r="D5" s="531">
        <v>2760000</v>
      </c>
      <c r="F5" s="530" t="s">
        <v>591</v>
      </c>
      <c r="G5" s="531">
        <v>1200000</v>
      </c>
      <c r="H5" s="531">
        <v>1200000</v>
      </c>
      <c r="I5" s="531">
        <v>1200000</v>
      </c>
    </row>
    <row r="6" spans="1:9" ht="24.95" customHeight="1">
      <c r="A6" s="530" t="s">
        <v>337</v>
      </c>
      <c r="B6" s="531">
        <v>475000</v>
      </c>
      <c r="C6" s="531">
        <v>304000</v>
      </c>
      <c r="D6" s="531">
        <v>465000</v>
      </c>
      <c r="F6" s="530" t="s">
        <v>592</v>
      </c>
      <c r="G6" s="531">
        <v>0</v>
      </c>
      <c r="H6" s="531">
        <v>0</v>
      </c>
      <c r="I6" s="531">
        <v>300000</v>
      </c>
    </row>
    <row r="7" spans="1:9" ht="24.95" customHeight="1">
      <c r="A7" s="530" t="s">
        <v>297</v>
      </c>
      <c r="B7" s="531">
        <v>300000</v>
      </c>
      <c r="C7" s="531">
        <v>100000</v>
      </c>
      <c r="D7" s="531">
        <v>100000</v>
      </c>
      <c r="F7" s="530" t="s">
        <v>593</v>
      </c>
      <c r="G7" s="531">
        <v>600000</v>
      </c>
      <c r="H7" s="531">
        <v>600000</v>
      </c>
      <c r="I7" s="531">
        <v>600000</v>
      </c>
    </row>
    <row r="8" spans="1:9" ht="24.95" customHeight="1">
      <c r="A8" s="530" t="s">
        <v>594</v>
      </c>
      <c r="B8" s="531">
        <v>50000</v>
      </c>
      <c r="C8" s="531">
        <v>0</v>
      </c>
      <c r="D8" s="531">
        <v>0</v>
      </c>
      <c r="F8" s="530" t="s">
        <v>595</v>
      </c>
      <c r="G8" s="531">
        <v>1600000</v>
      </c>
      <c r="H8" s="531">
        <v>1600000</v>
      </c>
      <c r="I8" s="531">
        <v>1600000</v>
      </c>
    </row>
    <row r="9" spans="1:9" ht="24.95" customHeight="1">
      <c r="A9" s="530" t="s">
        <v>596</v>
      </c>
      <c r="B9" s="531">
        <v>9727000</v>
      </c>
      <c r="C9" s="531">
        <v>8221000</v>
      </c>
      <c r="D9" s="531">
        <v>8811000</v>
      </c>
      <c r="F9" s="530" t="s">
        <v>597</v>
      </c>
      <c r="G9" s="531">
        <v>11000</v>
      </c>
      <c r="H9" s="531">
        <v>9000</v>
      </c>
      <c r="I9" s="531">
        <v>5000</v>
      </c>
    </row>
    <row r="10" spans="1:9" ht="24.95" customHeight="1">
      <c r="A10" s="530" t="s">
        <v>598</v>
      </c>
      <c r="B10" s="531">
        <v>600000</v>
      </c>
      <c r="C10" s="531">
        <v>600000</v>
      </c>
      <c r="D10" s="531">
        <v>600000</v>
      </c>
      <c r="F10" s="530"/>
      <c r="G10" s="531">
        <f>SUM(G3:G9)</f>
        <v>58916000</v>
      </c>
      <c r="H10" s="531">
        <f>SUM(H3:H9)</f>
        <v>58914000</v>
      </c>
      <c r="I10" s="531">
        <f>SUM(I3:I9)</f>
        <v>59210000</v>
      </c>
    </row>
    <row r="11" spans="1:9" ht="24.95" customHeight="1">
      <c r="A11" s="530" t="s">
        <v>599</v>
      </c>
      <c r="B11" s="531">
        <v>1000000</v>
      </c>
      <c r="C11" s="531">
        <v>250000</v>
      </c>
      <c r="D11" s="531">
        <v>440000</v>
      </c>
    </row>
    <row r="12" spans="1:9" ht="24.95" customHeight="1">
      <c r="A12" s="530" t="s">
        <v>600</v>
      </c>
      <c r="B12" s="531">
        <v>200000</v>
      </c>
      <c r="C12" s="531">
        <v>160000</v>
      </c>
      <c r="D12" s="531">
        <v>160000</v>
      </c>
    </row>
    <row r="13" spans="1:9" ht="24.95" customHeight="1">
      <c r="A13" s="530" t="s">
        <v>601</v>
      </c>
      <c r="B13" s="531">
        <v>90000</v>
      </c>
      <c r="C13" s="531">
        <v>10000</v>
      </c>
      <c r="D13" s="531">
        <v>10000</v>
      </c>
    </row>
    <row r="14" spans="1:9" ht="24.95" customHeight="1">
      <c r="A14" s="530" t="s">
        <v>602</v>
      </c>
      <c r="B14" s="531">
        <v>0</v>
      </c>
      <c r="C14" s="531">
        <v>0</v>
      </c>
      <c r="D14" s="531">
        <v>0</v>
      </c>
    </row>
    <row r="15" spans="1:9" ht="24.95" customHeight="1">
      <c r="A15" s="530" t="s">
        <v>597</v>
      </c>
      <c r="B15" s="531">
        <v>11000</v>
      </c>
      <c r="C15" s="531">
        <v>9000</v>
      </c>
      <c r="D15" s="531">
        <v>5000</v>
      </c>
    </row>
    <row r="16" spans="1:9" ht="24.95" customHeight="1">
      <c r="A16" s="607" t="s">
        <v>603</v>
      </c>
      <c r="B16" s="532">
        <f>SUM(B3:B15)</f>
        <v>18819000</v>
      </c>
      <c r="C16" s="532">
        <f>SUM(C3:C15)</f>
        <v>13474000</v>
      </c>
      <c r="D16" s="532">
        <f>SUM(D3:D15)</f>
        <v>14851000</v>
      </c>
    </row>
    <row r="17" spans="1:4" ht="24.95" customHeight="1">
      <c r="A17" s="607" t="s">
        <v>604</v>
      </c>
      <c r="B17" s="532">
        <v>35697000</v>
      </c>
      <c r="C17" s="532">
        <v>41040000</v>
      </c>
      <c r="D17" s="532">
        <v>39659000</v>
      </c>
    </row>
    <row r="18" spans="1:4" ht="24.95" customHeight="1">
      <c r="B18" s="296">
        <f>SUM(B16:B17)</f>
        <v>54516000</v>
      </c>
      <c r="C18" s="296">
        <f>SUM(C16:C17)</f>
        <v>54514000</v>
      </c>
      <c r="D18" s="296">
        <f>SUM(D16:D17)</f>
        <v>54510000</v>
      </c>
    </row>
    <row r="19" spans="1:4" ht="24.95" customHeight="1">
      <c r="B19" s="296">
        <v>54516000</v>
      </c>
      <c r="C19" s="296">
        <v>54514000</v>
      </c>
      <c r="D19" s="296">
        <v>54510000</v>
      </c>
    </row>
    <row r="20" spans="1:4" ht="24.95" customHeight="1">
      <c r="B20" s="296">
        <f>B19-B18</f>
        <v>0</v>
      </c>
      <c r="C20" s="296">
        <f>C19-C18</f>
        <v>0</v>
      </c>
      <c r="D20" s="296">
        <f>D19-D18</f>
        <v>0</v>
      </c>
    </row>
    <row r="21" spans="1:4" ht="24.95" customHeight="1">
      <c r="B21" s="296"/>
      <c r="C21" s="296"/>
      <c r="D21" s="296"/>
    </row>
    <row r="22" spans="1:4" ht="24.95" customHeight="1">
      <c r="B22" s="296"/>
      <c r="C22" s="296"/>
      <c r="D22" s="296"/>
    </row>
    <row r="23" spans="1:4" ht="24.95" customHeight="1">
      <c r="B23" s="296"/>
      <c r="C23" s="296"/>
      <c r="D23" s="296"/>
    </row>
    <row r="24" spans="1:4" ht="20.25" customHeight="1">
      <c r="B24" s="296"/>
      <c r="C24" s="296"/>
      <c r="D24" s="296"/>
    </row>
    <row r="25" spans="1:4" ht="20.25" customHeight="1">
      <c r="B25" s="296"/>
      <c r="C25" s="296"/>
      <c r="D25" s="296"/>
    </row>
    <row r="26" spans="1:4" ht="20.25" customHeight="1">
      <c r="B26" s="296"/>
      <c r="C26" s="296"/>
      <c r="D26" s="296"/>
    </row>
    <row r="27" spans="1:4" ht="20.25" customHeight="1">
      <c r="B27" s="296"/>
      <c r="C27" s="296"/>
      <c r="D27" s="296"/>
    </row>
    <row r="28" spans="1:4" ht="20.25" customHeight="1">
      <c r="B28" s="296"/>
      <c r="C28" s="296"/>
      <c r="D28" s="296"/>
    </row>
    <row r="29" spans="1:4" ht="20.25" customHeight="1"/>
    <row r="30" spans="1:4" ht="20.25" customHeight="1"/>
    <row r="33" ht="15.75" customHeight="1"/>
    <row r="34" ht="15.75" customHeight="1"/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4" sqref="B14"/>
    </sheetView>
  </sheetViews>
  <sheetFormatPr defaultRowHeight="13.5"/>
  <cols>
    <col min="1" max="1" width="13.5546875" bestFit="1" customWidth="1"/>
    <col min="2" max="4" width="12.6640625" bestFit="1" customWidth="1"/>
    <col min="5" max="6" width="11.5546875" bestFit="1" customWidth="1"/>
    <col min="7" max="7" width="12.6640625" bestFit="1" customWidth="1"/>
  </cols>
  <sheetData>
    <row r="1" spans="1:8" ht="43.5" customHeight="1">
      <c r="A1" s="695" t="s">
        <v>582</v>
      </c>
      <c r="B1" s="695"/>
      <c r="C1" s="695"/>
      <c r="D1" s="695"/>
      <c r="E1" s="695"/>
      <c r="F1" s="695"/>
      <c r="G1" s="695"/>
      <c r="H1" s="695"/>
    </row>
    <row r="2" spans="1:8" ht="36.75" customHeight="1">
      <c r="A2" s="530"/>
      <c r="B2" s="610" t="s">
        <v>299</v>
      </c>
      <c r="C2" s="614" t="s">
        <v>580</v>
      </c>
      <c r="D2" s="614" t="s">
        <v>581</v>
      </c>
      <c r="E2" s="614" t="s">
        <v>583</v>
      </c>
      <c r="F2" s="614" t="s">
        <v>584</v>
      </c>
      <c r="G2" s="612" t="s">
        <v>299</v>
      </c>
      <c r="H2" s="608" t="s">
        <v>298</v>
      </c>
    </row>
    <row r="3" spans="1:8" ht="24.95" customHeight="1">
      <c r="A3" s="530" t="s">
        <v>567</v>
      </c>
      <c r="B3" s="611">
        <v>40000</v>
      </c>
      <c r="C3" s="530">
        <v>0</v>
      </c>
      <c r="D3" s="531">
        <v>40000</v>
      </c>
      <c r="E3" s="609">
        <v>0</v>
      </c>
      <c r="F3" s="609">
        <v>0</v>
      </c>
      <c r="G3" s="613">
        <f>SUM(C3:F3)</f>
        <v>40000</v>
      </c>
      <c r="H3" s="608" t="str">
        <f>IF(B3=G3,"○")</f>
        <v>○</v>
      </c>
    </row>
    <row r="4" spans="1:8" ht="24.95" customHeight="1">
      <c r="A4" s="530" t="s">
        <v>608</v>
      </c>
      <c r="B4" s="611">
        <v>100000</v>
      </c>
      <c r="C4" s="530">
        <v>0</v>
      </c>
      <c r="D4" s="531">
        <v>100000</v>
      </c>
      <c r="E4" s="609"/>
      <c r="F4" s="609"/>
      <c r="G4" s="613">
        <f>SUM(C4:F4)</f>
        <v>100000</v>
      </c>
      <c r="H4" s="608" t="str">
        <f>IF(B4=G4,"○")</f>
        <v>○</v>
      </c>
    </row>
    <row r="5" spans="1:8" ht="24.95" customHeight="1">
      <c r="A5" s="530" t="s">
        <v>336</v>
      </c>
      <c r="B5" s="611">
        <v>2532000</v>
      </c>
      <c r="C5" s="531">
        <v>612000</v>
      </c>
      <c r="D5" s="531">
        <v>650000</v>
      </c>
      <c r="E5" s="531">
        <v>650000</v>
      </c>
      <c r="F5" s="531">
        <v>620000</v>
      </c>
      <c r="G5" s="613">
        <f t="shared" ref="G5:G16" si="0">SUM(C5:F5)</f>
        <v>2532000</v>
      </c>
      <c r="H5" s="608" t="str">
        <f t="shared" ref="H5:H16" si="1">IF(B5=G5,"○")</f>
        <v>○</v>
      </c>
    </row>
    <row r="6" spans="1:8" ht="24.95" customHeight="1">
      <c r="A6" s="530" t="s">
        <v>296</v>
      </c>
      <c r="B6" s="611">
        <v>3694000</v>
      </c>
      <c r="C6" s="531">
        <v>1329000</v>
      </c>
      <c r="D6" s="531">
        <v>800000</v>
      </c>
      <c r="E6" s="531">
        <v>800000</v>
      </c>
      <c r="F6" s="531">
        <v>765000</v>
      </c>
      <c r="G6" s="613">
        <f t="shared" si="0"/>
        <v>3694000</v>
      </c>
      <c r="H6" s="608" t="str">
        <f t="shared" si="1"/>
        <v>○</v>
      </c>
    </row>
    <row r="7" spans="1:8" ht="24.95" customHeight="1">
      <c r="A7" s="530" t="s">
        <v>337</v>
      </c>
      <c r="B7" s="611">
        <v>475000</v>
      </c>
      <c r="C7" s="531">
        <v>304000</v>
      </c>
      <c r="D7" s="531">
        <v>171000</v>
      </c>
      <c r="E7" s="609">
        <v>0</v>
      </c>
      <c r="F7" s="609">
        <v>0</v>
      </c>
      <c r="G7" s="613">
        <f t="shared" si="0"/>
        <v>475000</v>
      </c>
      <c r="H7" s="608" t="str">
        <f t="shared" si="1"/>
        <v>○</v>
      </c>
    </row>
    <row r="8" spans="1:8" ht="24.95" customHeight="1">
      <c r="A8" s="530" t="s">
        <v>297</v>
      </c>
      <c r="B8" s="611">
        <v>300000</v>
      </c>
      <c r="C8" s="531">
        <v>100000</v>
      </c>
      <c r="D8" s="531">
        <v>200000</v>
      </c>
      <c r="E8" s="609">
        <v>0</v>
      </c>
      <c r="F8" s="609">
        <v>0</v>
      </c>
      <c r="G8" s="613">
        <f t="shared" si="0"/>
        <v>300000</v>
      </c>
      <c r="H8" s="608" t="str">
        <f t="shared" si="1"/>
        <v>○</v>
      </c>
    </row>
    <row r="9" spans="1:8" ht="24.95" customHeight="1">
      <c r="A9" s="530" t="s">
        <v>87</v>
      </c>
      <c r="B9" s="611">
        <v>50000</v>
      </c>
      <c r="C9" s="531">
        <v>0</v>
      </c>
      <c r="D9" s="531">
        <v>50000</v>
      </c>
      <c r="E9" s="609">
        <v>0</v>
      </c>
      <c r="F9" s="609">
        <v>0</v>
      </c>
      <c r="G9" s="613">
        <f t="shared" si="0"/>
        <v>50000</v>
      </c>
      <c r="H9" s="608" t="str">
        <f t="shared" si="1"/>
        <v>○</v>
      </c>
    </row>
    <row r="10" spans="1:8" ht="24.95" customHeight="1">
      <c r="A10" s="530" t="s">
        <v>59</v>
      </c>
      <c r="B10" s="611">
        <v>9727000</v>
      </c>
      <c r="C10" s="531">
        <v>2400000</v>
      </c>
      <c r="D10" s="531">
        <v>2527000</v>
      </c>
      <c r="E10" s="531">
        <v>2400000</v>
      </c>
      <c r="F10" s="531">
        <v>2400000</v>
      </c>
      <c r="G10" s="613">
        <f t="shared" si="0"/>
        <v>9727000</v>
      </c>
      <c r="H10" s="608" t="str">
        <f t="shared" si="1"/>
        <v>○</v>
      </c>
    </row>
    <row r="11" spans="1:8" ht="24.95" customHeight="1">
      <c r="A11" s="530" t="s">
        <v>338</v>
      </c>
      <c r="B11" s="611">
        <v>600000</v>
      </c>
      <c r="C11" s="531">
        <v>300000</v>
      </c>
      <c r="D11" s="531">
        <v>0</v>
      </c>
      <c r="E11" s="531">
        <v>300000</v>
      </c>
      <c r="F11" s="609">
        <v>0</v>
      </c>
      <c r="G11" s="613">
        <f t="shared" si="0"/>
        <v>600000</v>
      </c>
      <c r="H11" s="608" t="str">
        <f t="shared" si="1"/>
        <v>○</v>
      </c>
    </row>
    <row r="12" spans="1:8" ht="24.95" customHeight="1">
      <c r="A12" s="530" t="s">
        <v>89</v>
      </c>
      <c r="B12" s="611">
        <v>1000000</v>
      </c>
      <c r="C12" s="531">
        <v>250000</v>
      </c>
      <c r="D12" s="531">
        <v>500000</v>
      </c>
      <c r="E12" s="531">
        <v>250000</v>
      </c>
      <c r="F12" s="609">
        <v>0</v>
      </c>
      <c r="G12" s="613">
        <f t="shared" si="0"/>
        <v>1000000</v>
      </c>
      <c r="H12" s="608" t="str">
        <f t="shared" si="1"/>
        <v>○</v>
      </c>
    </row>
    <row r="13" spans="1:8" ht="24.95" customHeight="1">
      <c r="A13" s="530" t="s">
        <v>90</v>
      </c>
      <c r="B13" s="611">
        <v>200000</v>
      </c>
      <c r="C13" s="531">
        <v>160000</v>
      </c>
      <c r="D13" s="531">
        <v>40000</v>
      </c>
      <c r="E13" s="609">
        <v>0</v>
      </c>
      <c r="F13" s="609">
        <v>0</v>
      </c>
      <c r="G13" s="613">
        <f t="shared" si="0"/>
        <v>200000</v>
      </c>
      <c r="H13" s="608" t="str">
        <f t="shared" si="1"/>
        <v>○</v>
      </c>
    </row>
    <row r="14" spans="1:8" ht="24.95" customHeight="1">
      <c r="A14" s="530" t="s">
        <v>91</v>
      </c>
      <c r="B14" s="611">
        <v>90000</v>
      </c>
      <c r="C14" s="531">
        <v>9450</v>
      </c>
      <c r="D14" s="531">
        <v>80550</v>
      </c>
      <c r="E14" s="609">
        <v>0</v>
      </c>
      <c r="F14" s="609">
        <v>0</v>
      </c>
      <c r="G14" s="613">
        <f t="shared" si="0"/>
        <v>90000</v>
      </c>
      <c r="H14" s="608" t="str">
        <f t="shared" si="1"/>
        <v>○</v>
      </c>
    </row>
    <row r="15" spans="1:8" ht="24.95" customHeight="1">
      <c r="A15" s="530" t="s">
        <v>563</v>
      </c>
      <c r="B15" s="611">
        <v>0</v>
      </c>
      <c r="C15" s="531"/>
      <c r="D15" s="531"/>
      <c r="E15" s="531"/>
      <c r="F15" s="531"/>
      <c r="G15" s="613">
        <f t="shared" si="0"/>
        <v>0</v>
      </c>
      <c r="H15" s="608" t="str">
        <f t="shared" si="1"/>
        <v>○</v>
      </c>
    </row>
    <row r="16" spans="1:8" ht="24.95" customHeight="1">
      <c r="A16" s="607" t="s">
        <v>92</v>
      </c>
      <c r="B16" s="532">
        <f>SUM(B3:B15)</f>
        <v>18808000</v>
      </c>
      <c r="C16" s="532">
        <f t="shared" ref="C16:F16" si="2">SUM(C3:C15)</f>
        <v>5464450</v>
      </c>
      <c r="D16" s="532">
        <f t="shared" si="2"/>
        <v>5158550</v>
      </c>
      <c r="E16" s="532">
        <f t="shared" si="2"/>
        <v>4400000</v>
      </c>
      <c r="F16" s="532">
        <f t="shared" si="2"/>
        <v>3785000</v>
      </c>
      <c r="G16" s="613">
        <f t="shared" si="0"/>
        <v>18808000</v>
      </c>
      <c r="H16" s="608" t="str">
        <f t="shared" si="1"/>
        <v>○</v>
      </c>
    </row>
    <row r="17" spans="1:6" ht="24.95" customHeight="1">
      <c r="A17" s="607" t="s">
        <v>146</v>
      </c>
      <c r="B17" s="532">
        <v>35697000</v>
      </c>
      <c r="C17" s="532"/>
      <c r="D17" s="532"/>
      <c r="E17" s="531"/>
      <c r="F17" s="531"/>
    </row>
    <row r="18" spans="1:6" ht="24.95" customHeight="1">
      <c r="B18" s="296">
        <f>SUM(B16:B17)</f>
        <v>54505000</v>
      </c>
      <c r="C18" s="296"/>
      <c r="D18" s="296"/>
    </row>
    <row r="19" spans="1:6" ht="24.95" customHeight="1">
      <c r="B19" s="296"/>
      <c r="C19" s="296"/>
      <c r="D19" s="296"/>
    </row>
    <row r="20" spans="1:6" ht="24.95" customHeight="1">
      <c r="B20" s="296"/>
      <c r="C20" s="296"/>
      <c r="D20" s="296"/>
    </row>
    <row r="21" spans="1:6" ht="24.95" customHeight="1">
      <c r="B21" s="296"/>
      <c r="C21" s="296"/>
      <c r="D21" s="296"/>
    </row>
    <row r="22" spans="1:6" ht="20.25" customHeight="1">
      <c r="B22" s="296"/>
      <c r="C22" s="296"/>
      <c r="D22" s="296"/>
    </row>
    <row r="23" spans="1:6" ht="20.25" customHeight="1">
      <c r="B23" s="296"/>
      <c r="C23" s="296"/>
      <c r="D23" s="296"/>
    </row>
    <row r="24" spans="1:6" ht="20.25" customHeight="1">
      <c r="B24" s="296"/>
      <c r="C24" s="296"/>
      <c r="D24" s="296"/>
    </row>
    <row r="25" spans="1:6" ht="20.25" customHeight="1">
      <c r="B25" s="296"/>
      <c r="C25" s="296"/>
      <c r="D25" s="296"/>
    </row>
    <row r="26" spans="1:6" ht="20.25" customHeight="1">
      <c r="B26" s="296"/>
      <c r="C26" s="296"/>
      <c r="D26" s="296"/>
    </row>
    <row r="27" spans="1:6" ht="20.25" customHeight="1"/>
    <row r="28" spans="1:6" ht="20.25" customHeight="1"/>
    <row r="31" spans="1:6" ht="15.75" customHeight="1"/>
    <row r="32" spans="1:6" ht="15.75" customHeight="1"/>
  </sheetData>
  <mergeCells count="1">
    <mergeCell ref="A1:H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세입세출총괄표</vt:lpstr>
      <vt:lpstr>세입</vt:lpstr>
      <vt:lpstr>세출</vt:lpstr>
      <vt:lpstr>추경세입명세서</vt:lpstr>
      <vt:lpstr>추경세출명세서</vt:lpstr>
      <vt:lpstr>보조금배정표1</vt:lpstr>
      <vt:lpstr>보조금배정표2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2017-03-17T00:42:39Z</cp:lastPrinted>
  <dcterms:created xsi:type="dcterms:W3CDTF">2003-12-18T04:11:57Z</dcterms:created>
  <dcterms:modified xsi:type="dcterms:W3CDTF">2017-11-22T05:22:13Z</dcterms:modified>
</cp:coreProperties>
</file>