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7\"/>
    </mc:Choice>
  </mc:AlternateContent>
  <bookViews>
    <workbookView xWindow="-15" yWindow="-15" windowWidth="9615" windowHeight="11745" activeTab="2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배정표1" sheetId="32" r:id="rId6"/>
    <sheet name="보조금배정표2" sheetId="33" r:id="rId7"/>
  </sheets>
  <externalReferences>
    <externalReference r:id="rId8"/>
    <externalReference r:id="rId9"/>
    <externalReference r:id="rId10"/>
  </externalReferences>
  <definedNames>
    <definedName name="_xlnm.Print_Area" localSheetId="1">세입!$A$1:$X$92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[1]세입!#REF!</definedName>
    <definedName name="가계보조수당" localSheetId="6">[1]세입!#REF!</definedName>
    <definedName name="가계보조수당" localSheetId="1">세입!#REF!</definedName>
    <definedName name="가계보조수당" localSheetId="0">[2]세입!#REF!</definedName>
    <definedName name="가계보조수당" localSheetId="3">[3]세입!#REF!</definedName>
    <definedName name="가계보조수당" localSheetId="4">[3]세입!#REF!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5">[1]세입!#REF!</definedName>
    <definedName name="급식비1" localSheetId="6">[1]세입!#REF!</definedName>
    <definedName name="급식비1" localSheetId="0">[2]세입!#REF!</definedName>
    <definedName name="급식비1" localSheetId="3">[3]세입!#REF!</definedName>
    <definedName name="급식비1" localSheetId="4">[3]세입!#REF!</definedName>
    <definedName name="급식비1">세입!#REF!</definedName>
    <definedName name="급여총액" localSheetId="5">[1]세입!#REF!</definedName>
    <definedName name="급여총액" localSheetId="6">[1]세입!#REF!</definedName>
    <definedName name="급여총액" localSheetId="1">세입!#REF!</definedName>
    <definedName name="급여총액" localSheetId="0">[2]세입!#REF!</definedName>
    <definedName name="급여총액" localSheetId="3">[3]세입!#REF!</definedName>
    <definedName name="급여총액" localSheetId="4">[3]세입!#REF!</definedName>
    <definedName name="급여총액">세입!#REF!</definedName>
    <definedName name="기말수당" localSheetId="1">세입!#REF!</definedName>
    <definedName name="기본급" localSheetId="5">[1]세입!#REF!</definedName>
    <definedName name="기본급" localSheetId="6">[1]세입!#REF!</definedName>
    <definedName name="기본급" localSheetId="1">세입!#REF!</definedName>
    <definedName name="기본급" localSheetId="0">[2]세입!#REF!</definedName>
    <definedName name="기본급" localSheetId="2">세출!$AD$9</definedName>
    <definedName name="기본급" localSheetId="3">[3]세입!#REF!</definedName>
    <definedName name="기본급" localSheetId="4">[3]세입!#REF!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5">[1]세입!#REF!</definedName>
    <definedName name="사회보험" localSheetId="6">[1]세입!#REF!</definedName>
    <definedName name="사회보험" localSheetId="0">[2]세입!#REF!</definedName>
    <definedName name="사회보험" localSheetId="3">[3]세입!#REF!</definedName>
    <definedName name="사회보험" localSheetId="4">[3]세입!#REF!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[1]세입!#REF!</definedName>
    <definedName name="상여금" localSheetId="6">[1]세입!#REF!</definedName>
    <definedName name="상여금" localSheetId="1">세입!#REF!</definedName>
    <definedName name="상여금" localSheetId="0">[2]세입!#REF!</definedName>
    <definedName name="상여금" localSheetId="3">[3]세입!#REF!</definedName>
    <definedName name="상여금" localSheetId="4">[3]세입!#REF!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[1]세입!#REF!</definedName>
    <definedName name="수정제수당총액" localSheetId="6">[1]세입!#REF!</definedName>
    <definedName name="수정제수당총액" localSheetId="0">[2]세입!#REF!</definedName>
    <definedName name="수정제수당총액" localSheetId="3">[3]세입!#REF!</definedName>
    <definedName name="수정제수당총액" localSheetId="4">[3]세입!#REF!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[1]세입!#REF!</definedName>
    <definedName name="제수당" localSheetId="6">[1]세입!#REF!</definedName>
    <definedName name="제수당" localSheetId="1">세입!#REF!</definedName>
    <definedName name="제수당" localSheetId="0">[2]세입!#REF!</definedName>
    <definedName name="제수당" localSheetId="3">[3]세입!#REF!</definedName>
    <definedName name="제수당" localSheetId="4">[3]세입!#REF!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[2]세입!#REF!</definedName>
    <definedName name="증감사유1" localSheetId="4">[2]세입!#REF!</definedName>
    <definedName name="증감사유1">[2]세입!#REF!</definedName>
    <definedName name="직원급식비" localSheetId="5">[1]세입!#REF!</definedName>
    <definedName name="직원급식비" localSheetId="6">[1]세입!#REF!</definedName>
    <definedName name="직원급식비" localSheetId="0">[2]세입!#REF!</definedName>
    <definedName name="직원급식비" localSheetId="3">[3]세입!#REF!</definedName>
    <definedName name="직원급식비" localSheetId="4">[3]세입!#REF!</definedName>
    <definedName name="직원급식비">세입!#REF!</definedName>
    <definedName name="직책보조비" localSheetId="1">세입!#REF!</definedName>
    <definedName name="퇴직금" localSheetId="5">[1]세입!#REF!</definedName>
    <definedName name="퇴직금" localSheetId="6">[1]세입!#REF!</definedName>
    <definedName name="퇴직금" localSheetId="0">[2]세입!#REF!</definedName>
    <definedName name="퇴직금" localSheetId="3">[3]세입!#REF!</definedName>
    <definedName name="퇴직금" localSheetId="4">[3]세입!#REF!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[1]세입!#REF!</definedName>
    <definedName name="특수근무수당" localSheetId="6">[1]세입!#REF!</definedName>
    <definedName name="특수근무수당" localSheetId="1">세입!#REF!</definedName>
    <definedName name="특수근무수당" localSheetId="0">[2]세입!#REF!</definedName>
    <definedName name="특수근무수당" localSheetId="3">[3]세입!#REF!</definedName>
    <definedName name="특수근무수당" localSheetId="4">[3]세입!#REF!</definedName>
    <definedName name="특수근무수당">세입!#REF!</definedName>
    <definedName name="특수근무수당1" localSheetId="5">[1]세입!#REF!</definedName>
    <definedName name="특수근무수당1" localSheetId="6">[1]세입!#REF!</definedName>
    <definedName name="특수근무수당1" localSheetId="1">세입!#REF!</definedName>
    <definedName name="특수근무수당1" localSheetId="0">[2]세입!#REF!</definedName>
    <definedName name="특수근무수당1" localSheetId="3">[3]세입!#REF!</definedName>
    <definedName name="특수근무수당1" localSheetId="4">[3]세입!#REF!</definedName>
    <definedName name="특수근무수당1">세입!#REF!</definedName>
    <definedName name="특수근무수당2" localSheetId="5">[1]세입!#REF!</definedName>
    <definedName name="특수근무수당2" localSheetId="6">[1]세입!#REF!</definedName>
    <definedName name="특수근무수당2" localSheetId="1">세입!#REF!</definedName>
    <definedName name="특수근무수당2" localSheetId="0">[2]세입!#REF!</definedName>
    <definedName name="특수근무수당2" localSheetId="3">[3]세입!#REF!</definedName>
    <definedName name="특수근무수당2" localSheetId="4">[3]세입!#REF!</definedName>
    <definedName name="특수근무수당2">세입!#REF!</definedName>
    <definedName name="특수근무수당3" localSheetId="5">[1]세입!#REF!</definedName>
    <definedName name="특수근무수당3" localSheetId="6">[1]세입!#REF!</definedName>
    <definedName name="특수근무수당3" localSheetId="1">세입!#REF!</definedName>
    <definedName name="특수근무수당3" localSheetId="0">[2]세입!#REF!</definedName>
    <definedName name="특수근무수당3" localSheetId="3">[3]세입!#REF!</definedName>
    <definedName name="특수근무수당3" localSheetId="4">[3]세입!#REF!</definedName>
    <definedName name="특수근무수당3">세입!#REF!</definedName>
    <definedName name="특수근무수당6">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G4" i="33" l="1"/>
  <c r="H4" i="33" s="1"/>
  <c r="F11" i="30"/>
  <c r="J116" i="5"/>
  <c r="G116" i="5"/>
  <c r="AD116" i="5"/>
  <c r="F74" i="5"/>
  <c r="AD76" i="5"/>
  <c r="AD75" i="5"/>
  <c r="F16" i="33"/>
  <c r="E16" i="33"/>
  <c r="D16" i="33"/>
  <c r="C16" i="33"/>
  <c r="B16" i="33"/>
  <c r="G15" i="33"/>
  <c r="H15" i="33" s="1"/>
  <c r="G14" i="33"/>
  <c r="H14" i="33" s="1"/>
  <c r="G13" i="33"/>
  <c r="H13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5" i="33"/>
  <c r="H5" i="33" s="1"/>
  <c r="G3" i="33"/>
  <c r="H3" i="33" s="1"/>
  <c r="G10" i="32"/>
  <c r="H10" i="32"/>
  <c r="I10" i="32"/>
  <c r="B16" i="32"/>
  <c r="B18" i="32" s="1"/>
  <c r="B20" i="32" s="1"/>
  <c r="C16" i="32"/>
  <c r="D16" i="32"/>
  <c r="D18" i="32" s="1"/>
  <c r="D20" i="32" s="1"/>
  <c r="C18" i="32"/>
  <c r="C20" i="32" s="1"/>
  <c r="G16" i="33" l="1"/>
  <c r="H16" i="33" s="1"/>
  <c r="B18" i="33"/>
  <c r="J120" i="5" l="1"/>
  <c r="AD128" i="5"/>
  <c r="AD100" i="5"/>
  <c r="F135" i="5"/>
  <c r="J83" i="5"/>
  <c r="AD86" i="5"/>
  <c r="AD24" i="5"/>
  <c r="AD32" i="5"/>
  <c r="AD31" i="5" s="1"/>
  <c r="AD26" i="5" l="1"/>
  <c r="AD25" i="5"/>
  <c r="AD17" i="5"/>
  <c r="AD16" i="5"/>
  <c r="W58" i="4"/>
  <c r="W20" i="4"/>
  <c r="W19" i="4"/>
  <c r="D18" i="18"/>
  <c r="G120" i="5"/>
  <c r="F9" i="31"/>
  <c r="S36" i="5" l="1"/>
  <c r="I14" i="5"/>
  <c r="AD181" i="5"/>
  <c r="AD178" i="5"/>
  <c r="J135" i="5"/>
  <c r="AD127" i="5"/>
  <c r="J95" i="5"/>
  <c r="J90" i="5"/>
  <c r="AD84" i="5"/>
  <c r="AD77" i="5"/>
  <c r="AD74" i="5" l="1"/>
  <c r="I74" i="5"/>
  <c r="S42" i="5"/>
  <c r="AD36" i="5"/>
  <c r="I34" i="5" s="1"/>
  <c r="AD92" i="5"/>
  <c r="W61" i="4"/>
  <c r="W55" i="4"/>
  <c r="L207" i="5"/>
  <c r="K207" i="5"/>
  <c r="J207" i="5"/>
  <c r="I207" i="5"/>
  <c r="AD207" i="5"/>
  <c r="S46" i="5" l="1"/>
  <c r="AD42" i="5"/>
  <c r="AD65" i="5"/>
  <c r="W70" i="4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8" i="31"/>
  <c r="F7" i="31"/>
  <c r="F6" i="31"/>
  <c r="F5" i="31"/>
  <c r="E4" i="31"/>
  <c r="D4" i="31"/>
  <c r="J24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0" i="30"/>
  <c r="F9" i="30"/>
  <c r="F8" i="30"/>
  <c r="F7" i="30"/>
  <c r="F6" i="30"/>
  <c r="J5" i="30"/>
  <c r="F5" i="30"/>
  <c r="E4" i="30"/>
  <c r="D4" i="30"/>
  <c r="W26" i="4"/>
  <c r="F13" i="18"/>
  <c r="F153" i="5"/>
  <c r="G153" i="5"/>
  <c r="H153" i="5"/>
  <c r="K153" i="5"/>
  <c r="L153" i="5"/>
  <c r="D153" i="5"/>
  <c r="AD191" i="5"/>
  <c r="AD190" i="5" s="1"/>
  <c r="AD135" i="5"/>
  <c r="AD174" i="5"/>
  <c r="AD173" i="5"/>
  <c r="AD172" i="5"/>
  <c r="K126" i="5"/>
  <c r="J69" i="5"/>
  <c r="AD46" i="5" l="1"/>
  <c r="S50" i="5" s="1"/>
  <c r="AD50" i="5" s="1"/>
  <c r="S54" i="5"/>
  <c r="I190" i="5"/>
  <c r="I153" i="5" s="1"/>
  <c r="F4" i="31"/>
  <c r="F4" i="30"/>
  <c r="AD85" i="5"/>
  <c r="F83" i="5" s="1"/>
  <c r="F126" i="5"/>
  <c r="W65" i="4"/>
  <c r="AD54" i="5" l="1"/>
  <c r="S58" i="5"/>
  <c r="AD58" i="5" s="1"/>
  <c r="E190" i="5"/>
  <c r="M190" i="5" s="1"/>
  <c r="N190" i="5" s="1"/>
  <c r="AD187" i="5"/>
  <c r="AD184" i="5"/>
  <c r="AD182" i="5"/>
  <c r="AD177" i="5"/>
  <c r="AD171" i="5"/>
  <c r="AD168" i="5"/>
  <c r="AD165" i="5"/>
  <c r="AD164" i="5"/>
  <c r="AD163" i="5"/>
  <c r="AD161" i="5"/>
  <c r="AD158" i="5"/>
  <c r="AD157" i="5"/>
  <c r="AD156" i="5"/>
  <c r="AD155" i="5"/>
  <c r="AD150" i="5"/>
  <c r="AD141" i="5"/>
  <c r="J139" i="5" s="1"/>
  <c r="AD126" i="5"/>
  <c r="L126" i="5"/>
  <c r="I126" i="5"/>
  <c r="AD108" i="5"/>
  <c r="AD109" i="5"/>
  <c r="J107" i="5" s="1"/>
  <c r="AD99" i="5"/>
  <c r="AD98" i="5"/>
  <c r="AD97" i="5"/>
  <c r="AD96" i="5"/>
  <c r="E204" i="5"/>
  <c r="E116" i="5"/>
  <c r="E113" i="5"/>
  <c r="E72" i="5"/>
  <c r="E74" i="5"/>
  <c r="AD146" i="5"/>
  <c r="J143" i="5" s="1"/>
  <c r="AD140" i="5"/>
  <c r="F139" i="5" s="1"/>
  <c r="AD66" i="5"/>
  <c r="J63" i="5" s="1"/>
  <c r="AD64" i="5"/>
  <c r="H63" i="5" s="1"/>
  <c r="AD29" i="5"/>
  <c r="AD21" i="5"/>
  <c r="AD20" i="5"/>
  <c r="AD9" i="5"/>
  <c r="AD8" i="5"/>
  <c r="W90" i="4"/>
  <c r="W82" i="4"/>
  <c r="I38" i="5" l="1"/>
  <c r="F95" i="5"/>
  <c r="AD15" i="5"/>
  <c r="AD154" i="5"/>
  <c r="J154" i="5"/>
  <c r="F149" i="5"/>
  <c r="AD95" i="5"/>
  <c r="E63" i="5"/>
  <c r="AD63" i="5"/>
  <c r="AD28" i="5"/>
  <c r="G14" i="5" s="1"/>
  <c r="AD23" i="5"/>
  <c r="AD7" i="5"/>
  <c r="I27" i="18"/>
  <c r="I25" i="18"/>
  <c r="I23" i="18"/>
  <c r="I16" i="18"/>
  <c r="I12" i="18"/>
  <c r="I8" i="18"/>
  <c r="D22" i="18"/>
  <c r="D20" i="18"/>
  <c r="D15" i="18"/>
  <c r="D10" i="18"/>
  <c r="D8" i="18"/>
  <c r="J126" i="5"/>
  <c r="AD162" i="5"/>
  <c r="J160" i="5" s="1"/>
  <c r="AD188" i="5"/>
  <c r="AD186" i="5" s="1"/>
  <c r="J180" i="5"/>
  <c r="E180" i="5" s="1"/>
  <c r="AD180" i="5"/>
  <c r="J176" i="5"/>
  <c r="AD176" i="5"/>
  <c r="J170" i="5"/>
  <c r="AD170" i="5"/>
  <c r="J167" i="5"/>
  <c r="E167" i="5" s="1"/>
  <c r="F7" i="5" l="1"/>
  <c r="E7" i="5" s="1"/>
  <c r="I7" i="18"/>
  <c r="AD160" i="5"/>
  <c r="M180" i="5"/>
  <c r="N180" i="5" s="1"/>
  <c r="E176" i="5"/>
  <c r="E154" i="5"/>
  <c r="E170" i="5"/>
  <c r="M170" i="5" s="1"/>
  <c r="N170" i="5" s="1"/>
  <c r="J186" i="5"/>
  <c r="E186" i="5" s="1"/>
  <c r="M186" i="5" s="1"/>
  <c r="N186" i="5" s="1"/>
  <c r="J153" i="5" l="1"/>
  <c r="M154" i="5"/>
  <c r="N154" i="5" s="1"/>
  <c r="E160" i="5"/>
  <c r="E153" i="5" s="1"/>
  <c r="AD83" i="5" l="1"/>
  <c r="J149" i="5" l="1"/>
  <c r="E149" i="5" s="1"/>
  <c r="AD149" i="5"/>
  <c r="E83" i="5"/>
  <c r="W35" i="4" l="1"/>
  <c r="W34" i="4" s="1"/>
  <c r="D7" i="18"/>
  <c r="E139" i="5"/>
  <c r="H194" i="5"/>
  <c r="F194" i="5"/>
  <c r="AD194" i="5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AD105" i="5"/>
  <c r="J103" i="5" s="1"/>
  <c r="E135" i="5"/>
  <c r="M160" i="5" l="1"/>
  <c r="N160" i="5" s="1"/>
  <c r="AD104" i="5" l="1"/>
  <c r="F103" i="5" s="1"/>
  <c r="E194" i="5" l="1"/>
  <c r="M176" i="5"/>
  <c r="N176" i="5" s="1"/>
  <c r="AD167" i="5"/>
  <c r="AD153" i="5" s="1"/>
  <c r="M167" i="5" l="1"/>
  <c r="N167" i="5" s="1"/>
  <c r="AD81" i="5" l="1"/>
  <c r="J80" i="5" s="1"/>
  <c r="E80" i="5" l="1"/>
  <c r="E207" i="5"/>
  <c r="D206" i="5"/>
  <c r="D203" i="5"/>
  <c r="D193" i="5"/>
  <c r="D112" i="5"/>
  <c r="D111" i="5" s="1"/>
  <c r="D54" i="4"/>
  <c r="D89" i="4"/>
  <c r="D81" i="4"/>
  <c r="D78" i="4"/>
  <c r="G75" i="4"/>
  <c r="D74" i="4"/>
  <c r="G74" i="4" s="1"/>
  <c r="D69" i="4"/>
  <c r="D46" i="4"/>
  <c r="D49" i="4"/>
  <c r="D29" i="4"/>
  <c r="D34" i="4"/>
  <c r="D25" i="4"/>
  <c r="D22" i="4"/>
  <c r="D53" i="4" l="1"/>
  <c r="D45" i="4"/>
  <c r="D28" i="4"/>
  <c r="D77" i="4"/>
  <c r="D15" i="4"/>
  <c r="G79" i="4"/>
  <c r="G78" i="4"/>
  <c r="G47" i="4"/>
  <c r="G46" i="4"/>
  <c r="G43" i="4"/>
  <c r="G40" i="4"/>
  <c r="W33" i="4"/>
  <c r="W32" i="4" s="1"/>
  <c r="E32" i="4" s="1"/>
  <c r="F32" i="4" s="1"/>
  <c r="G32" i="4" s="1"/>
  <c r="D11" i="4" l="1"/>
  <c r="E90" i="4"/>
  <c r="E89" i="4" s="1"/>
  <c r="F89" i="4" s="1"/>
  <c r="G89" i="4" s="1"/>
  <c r="F90" i="4" l="1"/>
  <c r="G90" i="4" s="1"/>
  <c r="E82" i="4" l="1"/>
  <c r="W69" i="4"/>
  <c r="E65" i="4"/>
  <c r="F65" i="4" s="1"/>
  <c r="G65" i="4" s="1"/>
  <c r="E61" i="4"/>
  <c r="F61" i="4" s="1"/>
  <c r="G61" i="4" s="1"/>
  <c r="E58" i="4"/>
  <c r="F58" i="4" s="1"/>
  <c r="G58" i="4" s="1"/>
  <c r="E55" i="4"/>
  <c r="F55" i="4" s="1"/>
  <c r="G55" i="4" s="1"/>
  <c r="D42" i="4"/>
  <c r="G42" i="4" s="1"/>
  <c r="D39" i="4"/>
  <c r="G39" i="4" s="1"/>
  <c r="W42" i="4"/>
  <c r="W40" i="4"/>
  <c r="W39" i="4" s="1"/>
  <c r="E43" i="4"/>
  <c r="W23" i="4"/>
  <c r="W22" i="4" l="1"/>
  <c r="E22" i="4" s="1"/>
  <c r="E23" i="4"/>
  <c r="F23" i="4" s="1"/>
  <c r="G23" i="4" s="1"/>
  <c r="E40" i="4"/>
  <c r="E39" i="4" s="1"/>
  <c r="F39" i="4" s="1"/>
  <c r="E50" i="4"/>
  <c r="W16" i="4"/>
  <c r="E42" i="4"/>
  <c r="F42" i="4" s="1"/>
  <c r="F43" i="4"/>
  <c r="E81" i="4"/>
  <c r="F81" i="4" s="1"/>
  <c r="G81" i="4" s="1"/>
  <c r="F82" i="4"/>
  <c r="G82" i="4" s="1"/>
  <c r="W38" i="4"/>
  <c r="W54" i="4"/>
  <c r="E70" i="4"/>
  <c r="E54" i="4"/>
  <c r="F54" i="4" s="1"/>
  <c r="G54" i="4" s="1"/>
  <c r="D38" i="4"/>
  <c r="F40" i="4" l="1"/>
  <c r="E16" i="4"/>
  <c r="F16" i="4" s="1"/>
  <c r="G16" i="4" s="1"/>
  <c r="W15" i="4"/>
  <c r="E49" i="4"/>
  <c r="F49" i="4" s="1"/>
  <c r="G49" i="4" s="1"/>
  <c r="F50" i="4"/>
  <c r="G50" i="4" s="1"/>
  <c r="E38" i="4"/>
  <c r="F38" i="4" s="1"/>
  <c r="D4" i="4"/>
  <c r="G38" i="4"/>
  <c r="E69" i="4"/>
  <c r="F69" i="4" s="1"/>
  <c r="G69" i="4" s="1"/>
  <c r="F70" i="4"/>
  <c r="G70" i="4" s="1"/>
  <c r="W9" i="4" l="1"/>
  <c r="E26" i="4"/>
  <c r="W89" i="4"/>
  <c r="W81" i="4"/>
  <c r="W80" i="4"/>
  <c r="W79" i="4" s="1"/>
  <c r="E79" i="4" s="1"/>
  <c r="W75" i="4"/>
  <c r="W49" i="4"/>
  <c r="W25" i="4"/>
  <c r="E78" i="4" l="1"/>
  <c r="F79" i="4"/>
  <c r="E25" i="4"/>
  <c r="F25" i="4" s="1"/>
  <c r="G25" i="4" s="1"/>
  <c r="F26" i="4"/>
  <c r="G26" i="4" s="1"/>
  <c r="W46" i="4"/>
  <c r="E47" i="4"/>
  <c r="W74" i="4"/>
  <c r="W53" i="4" s="1"/>
  <c r="E75" i="4"/>
  <c r="W78" i="4"/>
  <c r="W77" i="4" s="1"/>
  <c r="W45" i="4"/>
  <c r="E77" i="4" l="1"/>
  <c r="F77" i="4" s="1"/>
  <c r="G77" i="4" s="1"/>
  <c r="F78" i="4"/>
  <c r="E74" i="4"/>
  <c r="F75" i="4"/>
  <c r="E46" i="4"/>
  <c r="F47" i="4"/>
  <c r="E9" i="4"/>
  <c r="F9" i="4" s="1"/>
  <c r="G9" i="4"/>
  <c r="W7" i="4"/>
  <c r="W11" i="4" l="1"/>
  <c r="E45" i="4"/>
  <c r="F45" i="4" s="1"/>
  <c r="G45" i="4" s="1"/>
  <c r="F46" i="4"/>
  <c r="E53" i="4"/>
  <c r="F53" i="4" s="1"/>
  <c r="G53" i="4" s="1"/>
  <c r="F74" i="4"/>
  <c r="F22" i="4"/>
  <c r="G22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s="1"/>
  <c r="G11" i="4" s="1"/>
  <c r="F7" i="18" l="1"/>
  <c r="AD103" i="5"/>
  <c r="E103" i="5"/>
  <c r="W30" i="4"/>
  <c r="D125" i="5"/>
  <c r="D124" i="5" s="1"/>
  <c r="D79" i="5"/>
  <c r="D68" i="5"/>
  <c r="W29" i="4" l="1"/>
  <c r="E35" i="4"/>
  <c r="F206" i="5"/>
  <c r="G206" i="5"/>
  <c r="H206" i="5"/>
  <c r="I206" i="5"/>
  <c r="J206" i="5"/>
  <c r="K206" i="5"/>
  <c r="L206" i="5"/>
  <c r="AD206" i="5"/>
  <c r="F203" i="5"/>
  <c r="G203" i="5"/>
  <c r="H203" i="5"/>
  <c r="I203" i="5"/>
  <c r="J203" i="5"/>
  <c r="K203" i="5"/>
  <c r="L203" i="5"/>
  <c r="I193" i="5"/>
  <c r="J193" i="5"/>
  <c r="K193" i="5"/>
  <c r="L193" i="5"/>
  <c r="H193" i="5"/>
  <c r="G193" i="5"/>
  <c r="F193" i="5"/>
  <c r="G79" i="5"/>
  <c r="H79" i="5"/>
  <c r="G125" i="5"/>
  <c r="K125" i="5"/>
  <c r="G112" i="5"/>
  <c r="G111" i="5" s="1"/>
  <c r="H112" i="5"/>
  <c r="H111" i="5" s="1"/>
  <c r="I112" i="5"/>
  <c r="I111" i="5" s="1"/>
  <c r="J112" i="5"/>
  <c r="J111" i="5" s="1"/>
  <c r="K112" i="5"/>
  <c r="K111" i="5" s="1"/>
  <c r="L112" i="5"/>
  <c r="L111" i="5" s="1"/>
  <c r="AD113" i="5"/>
  <c r="M113" i="5" s="1"/>
  <c r="N113" i="5" s="1"/>
  <c r="AD91" i="5"/>
  <c r="F90" i="5" s="1"/>
  <c r="AD80" i="5"/>
  <c r="G68" i="5"/>
  <c r="H68" i="5"/>
  <c r="I68" i="5"/>
  <c r="J68" i="5"/>
  <c r="L68" i="5"/>
  <c r="AD69" i="5"/>
  <c r="E90" i="5" l="1"/>
  <c r="E69" i="5"/>
  <c r="AD120" i="5"/>
  <c r="AD112" i="5" s="1"/>
  <c r="AD90" i="5"/>
  <c r="E34" i="4"/>
  <c r="F34" i="4" s="1"/>
  <c r="G34" i="4" s="1"/>
  <c r="F35" i="4"/>
  <c r="G35" i="4" s="1"/>
  <c r="W28" i="4"/>
  <c r="E30" i="4"/>
  <c r="K124" i="5"/>
  <c r="G124" i="5"/>
  <c r="J79" i="5" l="1"/>
  <c r="F112" i="5"/>
  <c r="F111" i="5" s="1"/>
  <c r="E120" i="5"/>
  <c r="E29" i="4"/>
  <c r="F30" i="4"/>
  <c r="J125" i="5"/>
  <c r="J124" i="5" l="1"/>
  <c r="I125" i="5"/>
  <c r="E28" i="4"/>
  <c r="F28" i="4" s="1"/>
  <c r="G28" i="4" s="1"/>
  <c r="F29" i="4"/>
  <c r="AD139" i="5"/>
  <c r="I124" i="5" l="1"/>
  <c r="W6" i="4" l="1"/>
  <c r="W5" i="4" s="1"/>
  <c r="E5" i="4" l="1"/>
  <c r="E4" i="4" s="1"/>
  <c r="W4" i="4"/>
  <c r="M7" i="5"/>
  <c r="F5" i="4" l="1"/>
  <c r="F4" i="4" s="1"/>
  <c r="G4" i="4" s="1"/>
  <c r="AD193" i="5" l="1"/>
  <c r="F68" i="5"/>
  <c r="AD19" i="5"/>
  <c r="AD14" i="5" s="1"/>
  <c r="S35" i="5" s="1"/>
  <c r="AD35" i="5" s="1"/>
  <c r="AD12" i="5"/>
  <c r="E95" i="5"/>
  <c r="AD144" i="5"/>
  <c r="F14" i="5" l="1"/>
  <c r="E14" i="5" s="1"/>
  <c r="M14" i="5" s="1"/>
  <c r="AD11" i="5"/>
  <c r="H11" i="5"/>
  <c r="H6" i="5" s="1"/>
  <c r="H5" i="5" s="1"/>
  <c r="F143" i="5"/>
  <c r="E143" i="5" s="1"/>
  <c r="J6" i="5"/>
  <c r="J5" i="5" s="1"/>
  <c r="J4" i="5" s="1"/>
  <c r="K68" i="5"/>
  <c r="L125" i="5"/>
  <c r="L124" i="5" s="1"/>
  <c r="M95" i="5"/>
  <c r="N95" i="5" s="1"/>
  <c r="F79" i="5"/>
  <c r="AD143" i="5"/>
  <c r="I6" i="5"/>
  <c r="L79" i="5"/>
  <c r="L6" i="5"/>
  <c r="E126" i="5"/>
  <c r="M116" i="5"/>
  <c r="N116" i="5" s="1"/>
  <c r="AD107" i="5"/>
  <c r="N7" i="5"/>
  <c r="M135" i="5"/>
  <c r="N135" i="5" s="1"/>
  <c r="E11" i="5" l="1"/>
  <c r="M143" i="5"/>
  <c r="N143" i="5" s="1"/>
  <c r="K79" i="5"/>
  <c r="E107" i="5"/>
  <c r="M107" i="5" s="1"/>
  <c r="N107" i="5" s="1"/>
  <c r="AD68" i="5"/>
  <c r="M74" i="5"/>
  <c r="N74" i="5" s="1"/>
  <c r="M63" i="5"/>
  <c r="N63" i="5" s="1"/>
  <c r="I79" i="5"/>
  <c r="I5" i="5" s="1"/>
  <c r="I4" i="5" s="1"/>
  <c r="H125" i="5"/>
  <c r="H124" i="5" s="1"/>
  <c r="H4" i="5" s="1"/>
  <c r="L5" i="5"/>
  <c r="L4" i="5" s="1"/>
  <c r="G6" i="5"/>
  <c r="G5" i="5" s="1"/>
  <c r="G4" i="5" s="1"/>
  <c r="M126" i="5"/>
  <c r="N126" i="5" s="1"/>
  <c r="AD125" i="5"/>
  <c r="AD124" i="5" s="1"/>
  <c r="M80" i="5"/>
  <c r="N80" i="5" s="1"/>
  <c r="F125" i="5"/>
  <c r="F124" i="5" s="1"/>
  <c r="M120" i="5"/>
  <c r="N120" i="5" s="1"/>
  <c r="E112" i="5"/>
  <c r="E111" i="5" s="1"/>
  <c r="AD111" i="5"/>
  <c r="M103" i="5"/>
  <c r="N103" i="5" s="1"/>
  <c r="K6" i="5"/>
  <c r="M69" i="5"/>
  <c r="N69" i="5" s="1"/>
  <c r="M90" i="5"/>
  <c r="N90" i="5" s="1"/>
  <c r="M139" i="5"/>
  <c r="N139" i="5" s="1"/>
  <c r="M149" i="5"/>
  <c r="N149" i="5" s="1"/>
  <c r="M194" i="5"/>
  <c r="N194" i="5" s="1"/>
  <c r="E193" i="5"/>
  <c r="D6" i="5"/>
  <c r="M153" i="5"/>
  <c r="N153" i="5" s="1"/>
  <c r="M72" i="5"/>
  <c r="N72" i="5" s="1"/>
  <c r="G5" i="4"/>
  <c r="D5" i="5" l="1"/>
  <c r="D4" i="5" s="1"/>
  <c r="K5" i="5"/>
  <c r="K4" i="5" s="1"/>
  <c r="AD79" i="5"/>
  <c r="M11" i="5"/>
  <c r="N11" i="5" s="1"/>
  <c r="M193" i="5"/>
  <c r="N193" i="5" s="1"/>
  <c r="AD203" i="5"/>
  <c r="E125" i="5"/>
  <c r="E124" i="5" s="1"/>
  <c r="M111" i="5"/>
  <c r="N111" i="5" s="1"/>
  <c r="M112" i="5"/>
  <c r="N112" i="5" s="1"/>
  <c r="E68" i="5"/>
  <c r="M68" i="5" s="1"/>
  <c r="N68" i="5" s="1"/>
  <c r="N14" i="5"/>
  <c r="M207" i="5"/>
  <c r="N207" i="5" s="1"/>
  <c r="E206" i="5"/>
  <c r="M206" i="5" s="1"/>
  <c r="N206" i="5" s="1"/>
  <c r="M125" i="5" l="1"/>
  <c r="N125" i="5" s="1"/>
  <c r="M204" i="5"/>
  <c r="N204" i="5" s="1"/>
  <c r="E203" i="5"/>
  <c r="M203" i="5" s="1"/>
  <c r="N203" i="5" s="1"/>
  <c r="M83" i="5"/>
  <c r="N83" i="5" s="1"/>
  <c r="E79" i="5"/>
  <c r="M79" i="5" s="1"/>
  <c r="N79" i="5" s="1"/>
  <c r="M124" i="5" l="1"/>
  <c r="N124" i="5" s="1"/>
  <c r="S41" i="5" l="1"/>
  <c r="AD34" i="5"/>
  <c r="S45" i="5" l="1"/>
  <c r="AD41" i="5"/>
  <c r="F34" i="5"/>
  <c r="S53" i="5" l="1"/>
  <c r="AD53" i="5" s="1"/>
  <c r="AD52" i="5" s="1"/>
  <c r="AD45" i="5"/>
  <c r="E34" i="5"/>
  <c r="AD40" i="5"/>
  <c r="S57" i="5" l="1"/>
  <c r="AD57" i="5" s="1"/>
  <c r="AD56" i="5" s="1"/>
  <c r="AD44" i="5"/>
  <c r="S49" i="5"/>
  <c r="AD49" i="5" s="1"/>
  <c r="AD48" i="5" s="1"/>
  <c r="M34" i="5"/>
  <c r="N34" i="5" s="1"/>
  <c r="AD38" i="5" l="1"/>
  <c r="AD6" i="5" s="1"/>
  <c r="AD5" i="5" s="1"/>
  <c r="AD4" i="5" s="1"/>
  <c r="F38" i="5"/>
  <c r="E38" i="5" l="1"/>
  <c r="F6" i="5"/>
  <c r="F5" i="5" s="1"/>
  <c r="F4" i="5" s="1"/>
  <c r="M38" i="5" l="1"/>
  <c r="N38" i="5" s="1"/>
  <c r="E6" i="5"/>
  <c r="E5" i="5" l="1"/>
  <c r="M6" i="5"/>
  <c r="N6" i="5" s="1"/>
  <c r="E4" i="5" l="1"/>
  <c r="M4" i="5" s="1"/>
  <c r="N4" i="5" s="1"/>
  <c r="M5" i="5"/>
  <c r="N5" i="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경장연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대체인력지원금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<sst xmlns="http://schemas.openxmlformats.org/spreadsheetml/2006/main" count="1442" uniqueCount="651">
  <si>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</si>
  <si>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</si>
  <si>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</si>
  <si>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</si>
  <si>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</si>
  <si>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</si>
  <si>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</si>
  <si>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</si>
  <si>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</si>
  <si>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</si>
  <si>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</si>
  <si>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</si>
  <si>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</si>
  <si>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</si>
  <si>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</si>
  <si>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</si>
  <si>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</si>
  <si>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</si>
  <si>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</si>
  <si>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</si>
  <si>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</si>
  <si>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</si>
  <si>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</si>
  <si>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</si>
  <si>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</si>
  <si>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</si>
  <si>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</si>
  <si>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</si>
  <si>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</si>
  <si>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</si>
  <si>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</si>
  <si>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</si>
  <si>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</si>
  <si>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</si>
  <si>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</si>
  <si>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</si>
  <si>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</si>
  <si>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</si>
  <si>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</si>
  <si>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</si>
  <si>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</si>
  <si>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</si>
  <si>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</si>
  <si>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</si>
  <si>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</si>
  <si>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</si>
  <si>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</si>
  <si>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</si>
  <si>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</si>
  <si>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</si>
  <si>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</si>
  <si>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</si>
  <si>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</si>
  <si>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</si>
  <si>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</si>
  <si>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</si>
  <si>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</si>
  <si>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</si>
  <si>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</si>
  <si>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</si>
  <si>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</si>
  <si>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</si>
  <si>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</si>
  <si>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</si>
  <si>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</si>
  <si>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</si>
  <si>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</si>
  <si>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</si>
  <si>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</si>
  <si>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</si>
  <si>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</si>
  <si>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</si>
  <si>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</si>
  <si>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</si>
  <si>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</si>
  <si>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</si>
  <si>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</si>
  <si>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</si>
  <si>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</si>
  <si>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</si>
  <si>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</si>
  <si>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</si>
  <si>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</si>
  <si>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</si>
  <si>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</si>
  <si>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</si>
  <si>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</si>
  <si>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</si>
  <si>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</si>
  <si>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</si>
  <si>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</si>
  <si>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</si>
  <si>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</si>
  <si>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</si>
  <si>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</si>
  <si>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</si>
  <si>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</si>
  <si>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</si>
  <si>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</si>
  <si>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</si>
  <si>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</si>
  <si>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</si>
  <si>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</si>
  <si>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</si>
  <si>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</si>
  <si>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</si>
  <si>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</si>
  <si>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</si>
  <si>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</si>
  <si>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</si>
  <si>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</si>
  <si>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</si>
  <si>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</si>
  <si>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</si>
  <si>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</si>
  <si>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</si>
  <si>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</si>
  <si>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</si>
  <si>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</si>
  <si>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</si>
  <si>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</si>
  <si>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</si>
  <si>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</si>
  <si>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</si>
  <si>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</si>
  <si>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</si>
  <si>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비  용</t>
  </si>
  <si>
    <t>입   소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</si>
  <si>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</si>
  <si>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</si>
  <si>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</si>
  <si>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</si>
  <si>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</si>
  <si>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</si>
  <si>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</si>
  <si>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</si>
  <si>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</si>
  <si>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</si>
  <si>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</si>
  <si>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</si>
  <si>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</si>
  <si>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</si>
  <si>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</si>
  <si>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</si>
  <si>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</si>
  <si>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</si>
  <si>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</si>
  <si>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</si>
  <si>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</si>
  <si>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</si>
  <si>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</si>
  <si>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</si>
  <si>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</si>
  <si>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</si>
  <si>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</si>
  <si>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</si>
  <si>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</si>
  <si>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</si>
  <si>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</si>
  <si>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</si>
  <si>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</si>
  <si>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</si>
  <si>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</si>
  <si>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</si>
  <si>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</si>
  <si>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</si>
  <si>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</si>
  <si>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</si>
  <si>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</si>
  <si>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</si>
  <si>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</si>
  <si>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</si>
  <si>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</si>
  <si>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</si>
  <si>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</si>
  <si>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</si>
  <si>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</si>
  <si>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</si>
  <si>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</si>
  <si>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</si>
  <si>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</si>
  <si>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</si>
  <si>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</si>
  <si>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</si>
  <si>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</si>
  <si>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</si>
  <si>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</si>
  <si>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</si>
  <si>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</si>
  <si>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</si>
  <si>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</si>
  <si>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</si>
  <si>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</si>
  <si>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</si>
  <si>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</si>
  <si>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</si>
  <si>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</si>
  <si>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</si>
  <si>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</si>
  <si>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</si>
  <si>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</si>
  <si>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</si>
  <si>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</si>
  <si>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</si>
  <si>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</si>
  <si>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</si>
  <si>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</si>
  <si>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</si>
  <si>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</si>
  <si>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</si>
  <si>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</si>
  <si>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</si>
  <si>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</si>
  <si>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</si>
  <si>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</si>
  <si>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</si>
  <si>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</si>
  <si>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</si>
  <si>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</si>
  <si>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</si>
  <si>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</si>
  <si>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</si>
  <si>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</si>
  <si>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</si>
  <si>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</si>
  <si>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</si>
  <si>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</si>
  <si>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</si>
  <si>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</si>
  <si>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</si>
  <si>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</si>
  <si>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</si>
  <si>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</si>
  <si>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</si>
  <si>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</si>
  <si>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</si>
  <si>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</si>
  <si>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</si>
  <si>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</si>
  <si>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</si>
  <si>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</si>
  <si>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</si>
  <si>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</si>
  <si>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</si>
  <si>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</si>
  <si>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</si>
  <si>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</si>
  <si>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</si>
  <si>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</si>
  <si>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</si>
  <si>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</si>
  <si>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</si>
  <si>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</si>
  <si>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</si>
  <si>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</si>
  <si>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</si>
  <si>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</si>
  <si>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</si>
  <si>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</si>
  <si>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</si>
  <si>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</si>
  <si>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</si>
  <si>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</si>
  <si>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</si>
  <si>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</si>
  <si>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</si>
  <si>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</si>
  <si>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</si>
  <si>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</si>
  <si>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</si>
  <si>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</si>
  <si>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</si>
  <si>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</si>
  <si>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</si>
  <si>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</si>
  <si>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</si>
  <si>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</si>
  <si>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명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</si>
  <si>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</si>
  <si>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</si>
  <si>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</si>
  <si>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</si>
  <si>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</si>
  <si>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</si>
  <si>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</si>
  <si>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공공요금</t>
    <phoneticPr fontId="8" type="noConversion"/>
  </si>
  <si>
    <t>차량비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</si>
  <si>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</si>
  <si>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</si>
  <si>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</si>
  <si>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</si>
  <si>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</si>
  <si>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</si>
  <si>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</si>
  <si>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</si>
  <si>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</si>
  <si>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</si>
  <si>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</si>
  <si>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</si>
  <si>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</si>
  <si>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</si>
  <si>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</si>
  <si>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</si>
  <si>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</si>
  <si>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</si>
  <si>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</si>
  <si>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</si>
  <si>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</si>
  <si>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</si>
  <si>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</si>
  <si>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</si>
  <si>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</si>
  <si>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</si>
  <si>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</si>
  <si>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</si>
  <si>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</si>
  <si>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</si>
  <si>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</si>
  <si>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입소</t>
    <phoneticPr fontId="8" type="noConversion"/>
  </si>
  <si>
    <t>월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</si>
  <si>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</si>
  <si>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</si>
  <si>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</si>
  <si>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보조</t>
    <phoneticPr fontId="8" type="noConversion"/>
  </si>
  <si>
    <t>보조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</si>
  <si>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</si>
  <si>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</si>
  <si>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</si>
  <si>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</si>
  <si>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회</t>
    <phoneticPr fontId="8" type="noConversion"/>
  </si>
  <si>
    <t>보조금</t>
    <phoneticPr fontId="8" type="noConversion"/>
  </si>
  <si>
    <t>* 환경개선사업비(7종)</t>
    <phoneticPr fontId="8" type="noConversion"/>
  </si>
  <si>
    <t>* 종사자근무수당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</si>
  <si>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</si>
  <si>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</si>
  <si>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</si>
  <si>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</si>
  <si>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</si>
  <si>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</si>
  <si>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</si>
  <si>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</si>
  <si>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</si>
  <si>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</si>
  <si>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</si>
  <si>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</si>
  <si>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</si>
  <si>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</si>
  <si>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</si>
  <si>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</si>
  <si>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</si>
  <si>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4.종사자수당(7종)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</si>
  <si>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</si>
  <si>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</si>
  <si>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</si>
  <si>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</si>
  <si>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</si>
  <si>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보조</t>
    <phoneticPr fontId="8" type="noConversion"/>
  </si>
  <si>
    <t>* 직원 축일 및 생일 축하 문화상품권</t>
    <phoneticPr fontId="8" type="noConversion"/>
  </si>
  <si>
    <t>* 대체인건비 인건비(직원 연차, 교육 등)</t>
    <phoneticPr fontId="8" type="noConversion"/>
  </si>
  <si>
    <t>* 피복비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</si>
  <si>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</si>
  <si>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</si>
  <si>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</si>
  <si>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</si>
  <si>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</si>
  <si>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</si>
  <si>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* 이용인 직장 방문 경비(음료 등)</t>
    <phoneticPr fontId="8" type="noConversion"/>
  </si>
  <si>
    <t>입소</t>
    <phoneticPr fontId="8" type="noConversion"/>
  </si>
  <si>
    <t>* 회의 다과비</t>
    <phoneticPr fontId="8" type="noConversion"/>
  </si>
  <si>
    <t>회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</si>
  <si>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</si>
  <si>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</si>
  <si>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</si>
  <si>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</si>
  <si>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</si>
  <si>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</si>
  <si>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</si>
  <si>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</si>
  <si>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</si>
  <si>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</si>
  <si>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</si>
  <si>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</si>
  <si>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</si>
  <si>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점검 및 정비비 등</t>
    <phoneticPr fontId="8" type="noConversion"/>
  </si>
  <si>
    <t>*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</si>
  <si>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</si>
  <si>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</si>
  <si>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</si>
  <si>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</si>
  <si>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후원</t>
    <phoneticPr fontId="8" type="noConversion"/>
  </si>
  <si>
    <t>후원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</si>
  <si>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</si>
  <si>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</si>
  <si>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</si>
  <si>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</si>
  <si>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정수기 임대료 및 수질검사 등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</si>
  <si>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</si>
  <si>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</si>
  <si>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</si>
  <si>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</si>
  <si>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</si>
  <si>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</si>
  <si>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</si>
  <si>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</si>
  <si>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회</t>
    <phoneticPr fontId="8" type="noConversion"/>
  </si>
  <si>
    <t>* 요리활동 및 외식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</si>
  <si>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</si>
  <si>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</si>
  <si>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</si>
  <si>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</si>
  <si>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</si>
  <si>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</si>
  <si>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</si>
  <si>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</si>
  <si>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</si>
  <si>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</si>
  <si>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</si>
  <si>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</si>
  <si>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</si>
  <si>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</si>
  <si>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</si>
  <si>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</si>
  <si>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* 영화 및 뮤지컬 관람</t>
    <phoneticPr fontId="8" type="noConversion"/>
  </si>
  <si>
    <t>* 문화생활비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</si>
  <si>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</si>
  <si>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</si>
  <si>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</si>
  <si>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</si>
  <si>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</si>
  <si>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월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</si>
  <si>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</si>
  <si>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</si>
  <si>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</si>
  <si>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</si>
  <si>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</si>
  <si>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</si>
  <si>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</si>
  <si>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</si>
  <si>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</si>
  <si>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</si>
  <si>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간식비(우유대금)</t>
    <phoneticPr fontId="8" type="noConversion"/>
  </si>
  <si>
    <t>* 주민세 등 기타 공과금</t>
    <phoneticPr fontId="8" type="noConversion"/>
  </si>
  <si>
    <t>* 사회재활교사(박정오)</t>
    <phoneticPr fontId="8" type="noConversion"/>
  </si>
  <si>
    <t>5호봉</t>
  </si>
  <si>
    <t>* 사회재활교사</t>
    <phoneticPr fontId="8" type="noConversion"/>
  </si>
  <si>
    <t>=</t>
    <phoneticPr fontId="8" type="noConversion"/>
  </si>
  <si>
    <t>후원/자원</t>
    <phoneticPr fontId="8" type="noConversion"/>
  </si>
  <si>
    <t>* 결연후원금 지급</t>
    <phoneticPr fontId="8" type="noConversion"/>
  </si>
  <si>
    <t>월</t>
    <phoneticPr fontId="8" type="noConversion"/>
  </si>
  <si>
    <t>지후</t>
    <phoneticPr fontId="8" type="noConversion"/>
  </si>
  <si>
    <t>기타 보조금</t>
    <phoneticPr fontId="28" type="noConversion"/>
  </si>
  <si>
    <t xml:space="preserve"> &lt;기타 보조금 합계&gt;</t>
    <phoneticPr fontId="8" type="noConversion"/>
  </si>
  <si>
    <t>일</t>
    <phoneticPr fontId="8" type="noConversion"/>
  </si>
  <si>
    <t xml:space="preserve"> * 경장연 대체인력 지원금</t>
    <phoneticPr fontId="8" type="noConversion"/>
  </si>
  <si>
    <t>보조</t>
    <phoneticPr fontId="8" type="noConversion"/>
  </si>
  <si>
    <t>과  목</t>
    <phoneticPr fontId="8" type="noConversion"/>
  </si>
  <si>
    <t>예 산 액
(단위:천원)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</si>
  <si>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</si>
  <si>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</si>
  <si>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</si>
  <si>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</si>
  <si>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</si>
  <si>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</si>
  <si>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합     계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</si>
  <si>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</si>
  <si>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</si>
  <si>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</si>
  <si>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</si>
  <si>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</si>
  <si>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</si>
  <si>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</si>
  <si>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환경개선
사업비</t>
    <phoneticPr fontId="8" type="noConversion"/>
  </si>
  <si>
    <t>종사자
근무수당
(7종)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</si>
  <si>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</si>
  <si>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</si>
  <si>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</si>
  <si>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</si>
  <si>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</si>
  <si>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후원금</t>
    <phoneticPr fontId="8" type="noConversion"/>
  </si>
  <si>
    <t>지정
후원금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</si>
  <si>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</si>
  <si>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</si>
  <si>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</si>
  <si>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</si>
  <si>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</si>
  <si>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</si>
  <si>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</si>
  <si>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</si>
  <si>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</si>
  <si>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</si>
  <si>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</si>
  <si>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</si>
  <si>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</si>
  <si>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예 산 액
(단위:원)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</si>
  <si>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</si>
  <si>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</si>
  <si>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</si>
  <si>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</si>
  <si>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</si>
  <si>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</si>
  <si>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</si>
  <si>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</si>
  <si>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</si>
  <si>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</si>
  <si>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</si>
  <si>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</si>
  <si>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여비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</si>
  <si>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</si>
  <si>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</si>
  <si>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</si>
  <si>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</si>
  <si>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</si>
  <si>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</si>
  <si>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</si>
  <si>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</si>
  <si>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</si>
  <si>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</si>
  <si>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</si>
  <si>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</si>
  <si>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</si>
  <si>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</si>
  <si>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</si>
  <si>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</si>
  <si>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</si>
  <si>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 xml:space="preserve">* </t>
    <phoneticPr fontId="8" type="noConversion"/>
  </si>
  <si>
    <t xml:space="preserve"> * 예금이자(후원금)</t>
    <phoneticPr fontId="8" type="noConversion"/>
  </si>
  <si>
    <t>* 특수건강검진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</si>
  <si>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</si>
  <si>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</si>
  <si>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</si>
  <si>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입소</t>
    <phoneticPr fontId="8" type="noConversion"/>
  </si>
  <si>
    <t>1. 보조금 이자수입</t>
    <phoneticPr fontId="8" type="noConversion"/>
  </si>
  <si>
    <t>2. 법인전입금 이자수입</t>
    <phoneticPr fontId="8" type="noConversion"/>
  </si>
  <si>
    <t>원</t>
    <phoneticPr fontId="8" type="noConversion"/>
  </si>
  <si>
    <t>3. 입소비용 이자수입</t>
    <phoneticPr fontId="8" type="noConversion"/>
  </si>
  <si>
    <t>4. 잡수입 이자수입</t>
    <phoneticPr fontId="8" type="noConversion"/>
  </si>
  <si>
    <t>5. 후원금 이자수입</t>
    <phoneticPr fontId="8" type="noConversion"/>
  </si>
  <si>
    <t>* 법인전입금 예금이자</t>
    <phoneticPr fontId="8" type="noConversion"/>
  </si>
  <si>
    <t>* 법인전입금 체크카드환급액</t>
    <phoneticPr fontId="8" type="noConversion"/>
  </si>
  <si>
    <t>* 입소비용 예금이자</t>
    <phoneticPr fontId="8" type="noConversion"/>
  </si>
  <si>
    <t>* 입소비용 체크카드환급액</t>
    <phoneticPr fontId="8" type="noConversion"/>
  </si>
  <si>
    <t>* 잡수입 예금이자</t>
    <phoneticPr fontId="8" type="noConversion"/>
  </si>
  <si>
    <t>* 잡수입 체크카드환급액</t>
    <phoneticPr fontId="8" type="noConversion"/>
  </si>
  <si>
    <t>* 후원금 예금이자</t>
    <phoneticPr fontId="8" type="noConversion"/>
  </si>
  <si>
    <t>* 후원금 체크카드환급액</t>
    <phoneticPr fontId="8" type="noConversion"/>
  </si>
  <si>
    <t>입소</t>
    <phoneticPr fontId="8" type="noConversion"/>
  </si>
  <si>
    <t>6호봉</t>
    <phoneticPr fontId="8" type="noConversion"/>
  </si>
  <si>
    <t>입소</t>
    <phoneticPr fontId="8" type="noConversion"/>
  </si>
  <si>
    <t xml:space="preserve">* 소규모수선비/집기구입 등 </t>
    <phoneticPr fontId="8" type="noConversion"/>
  </si>
  <si>
    <t>* 생활용품구입비(치약,치솔,화장지 등)</t>
    <phoneticPr fontId="8" type="noConversion"/>
  </si>
  <si>
    <t>보조</t>
    <phoneticPr fontId="8" type="noConversion"/>
  </si>
  <si>
    <t>* 환경개선사업(7종)</t>
    <phoneticPr fontId="8" type="noConversion"/>
  </si>
  <si>
    <t>=</t>
    <phoneticPr fontId="8" type="noConversion"/>
  </si>
  <si>
    <t>* 2017년 시설당 기본지원</t>
    <phoneticPr fontId="8" type="noConversion"/>
  </si>
  <si>
    <t xml:space="preserve">* </t>
    <phoneticPr fontId="8" type="noConversion"/>
  </si>
  <si>
    <t>&lt;바르나바의 집 2017년도 1차추경예산 세입내역&gt;</t>
    <phoneticPr fontId="8" type="noConversion"/>
  </si>
  <si>
    <t>2017년
본예산
(B)
(단위:천원)</t>
    <phoneticPr fontId="8" type="noConversion"/>
  </si>
  <si>
    <t>2017년
1차추경예산
(B)
(단위:천원)</t>
    <phoneticPr fontId="8" type="noConversion"/>
  </si>
  <si>
    <t>&lt;바르나바의 집 2017년도 1차추경예산 세출내역&gt;</t>
    <phoneticPr fontId="8" type="noConversion"/>
  </si>
  <si>
    <t>2017년
본예산액(A)
(단위:천원)</t>
    <phoneticPr fontId="8" type="noConversion"/>
  </si>
  <si>
    <t>2017년 1차추경 예산액(B)(단위:천원)</t>
    <phoneticPr fontId="8" type="noConversion"/>
  </si>
  <si>
    <t>계
(B)</t>
    <phoneticPr fontId="8" type="noConversion"/>
  </si>
  <si>
    <t>보조금
(도비)</t>
    <phoneticPr fontId="8" type="noConversion"/>
  </si>
  <si>
    <t>보조금(7종)</t>
    <phoneticPr fontId="8" type="noConversion"/>
  </si>
  <si>
    <t>보조금
(시비)</t>
    <phoneticPr fontId="8" type="noConversion"/>
  </si>
  <si>
    <t>후원금</t>
    <phoneticPr fontId="8" type="noConversion"/>
  </si>
  <si>
    <t>입소자
부담금</t>
    <phoneticPr fontId="8" type="noConversion"/>
  </si>
  <si>
    <t>법인
전입금</t>
    <phoneticPr fontId="8" type="noConversion"/>
  </si>
  <si>
    <t>잡수입</t>
    <phoneticPr fontId="8" type="noConversion"/>
  </si>
  <si>
    <t>□ 2017년도 1차추경예산 세 입 · 세 출 총  괄  표</t>
    <phoneticPr fontId="28" type="noConversion"/>
  </si>
  <si>
    <t>2017년
본예산</t>
    <phoneticPr fontId="28" type="noConversion"/>
  </si>
  <si>
    <t>2017년
1추경 예산</t>
    <phoneticPr fontId="28" type="noConversion"/>
  </si>
  <si>
    <t>* 종사자처우개선비(경기도)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</si>
  <si>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</si>
  <si>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</si>
  <si>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</si>
  <si>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</si>
  <si>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후원</t>
    <phoneticPr fontId="8" type="noConversion"/>
  </si>
  <si>
    <t>5.종사자처우개선비(경기도)</t>
    <phoneticPr fontId="8" type="noConversion"/>
  </si>
  <si>
    <t>합    계 :</t>
    <phoneticPr fontId="8" type="noConversion"/>
  </si>
  <si>
    <t xml:space="preserve"> </t>
    <phoneticPr fontId="8" type="noConversion"/>
  </si>
  <si>
    <t>=</t>
    <phoneticPr fontId="8" type="noConversion"/>
  </si>
  <si>
    <t>보조</t>
    <phoneticPr fontId="8" type="noConversion"/>
  </si>
  <si>
    <t>* 사회재활교사(박정오)</t>
    <phoneticPr fontId="8" type="noConversion"/>
  </si>
  <si>
    <t>6. 사회보험부담금(정산보험)</t>
    <phoneticPr fontId="8" type="noConversion"/>
  </si>
  <si>
    <t>후원</t>
    <phoneticPr fontId="8" type="noConversion"/>
  </si>
  <si>
    <t>입소</t>
    <phoneticPr fontId="8" type="noConversion"/>
  </si>
  <si>
    <t>인건비</t>
    <phoneticPr fontId="8" type="noConversion"/>
  </si>
  <si>
    <t>운영비</t>
    <phoneticPr fontId="8" type="noConversion"/>
  </si>
  <si>
    <t>반환금</t>
    <phoneticPr fontId="8" type="noConversion"/>
  </si>
  <si>
    <t>프로그램비</t>
    <phoneticPr fontId="8" type="noConversion"/>
  </si>
  <si>
    <t>연료비</t>
    <phoneticPr fontId="8" type="noConversion"/>
  </si>
  <si>
    <t>의료비</t>
    <phoneticPr fontId="8" type="noConversion"/>
  </si>
  <si>
    <t>피복비</t>
    <phoneticPr fontId="8" type="noConversion"/>
  </si>
  <si>
    <t>수용기관경비</t>
    <phoneticPr fontId="8" type="noConversion"/>
  </si>
  <si>
    <t>생계비</t>
    <phoneticPr fontId="8" type="noConversion"/>
  </si>
  <si>
    <t>경장연 대체인력</t>
    <phoneticPr fontId="8" type="noConversion"/>
  </si>
  <si>
    <t>기타운영비</t>
    <phoneticPr fontId="8" type="noConversion"/>
  </si>
  <si>
    <t>종사자처우개선비</t>
    <phoneticPr fontId="8" type="noConversion"/>
  </si>
  <si>
    <t>차량비</t>
    <phoneticPr fontId="8" type="noConversion"/>
  </si>
  <si>
    <t>직원건강진단비</t>
    <phoneticPr fontId="8" type="noConversion"/>
  </si>
  <si>
    <t>제세공과금</t>
    <phoneticPr fontId="8" type="noConversion"/>
  </si>
  <si>
    <t>종사자근무수당</t>
    <phoneticPr fontId="8" type="noConversion"/>
  </si>
  <si>
    <t>공공요금</t>
    <phoneticPr fontId="8" type="noConversion"/>
  </si>
  <si>
    <t>환경개선사업비</t>
    <phoneticPr fontId="8" type="noConversion"/>
  </si>
  <si>
    <t>수용비및수수료</t>
    <phoneticPr fontId="8" type="noConversion"/>
  </si>
  <si>
    <t>시설당 지원금</t>
    <phoneticPr fontId="8" type="noConversion"/>
  </si>
  <si>
    <t>기타후생경비</t>
    <phoneticPr fontId="8" type="noConversion"/>
  </si>
  <si>
    <t>바르나바</t>
    <phoneticPr fontId="8" type="noConversion"/>
  </si>
  <si>
    <t>마르따</t>
    <phoneticPr fontId="8" type="noConversion"/>
  </si>
  <si>
    <t>몬띠</t>
    <phoneticPr fontId="8" type="noConversion"/>
  </si>
  <si>
    <t>합계</t>
    <phoneticPr fontId="8" type="noConversion"/>
  </si>
  <si>
    <t>1/4분기
신청액</t>
    <phoneticPr fontId="8" type="noConversion"/>
  </si>
  <si>
    <t>2/4분기
신청액</t>
    <phoneticPr fontId="8" type="noConversion"/>
  </si>
  <si>
    <t>3/4분기
신청액</t>
    <phoneticPr fontId="8" type="noConversion"/>
  </si>
  <si>
    <t>4/4분기
신청액</t>
    <phoneticPr fontId="8" type="noConversion"/>
  </si>
  <si>
    <t>검증</t>
    <phoneticPr fontId="8" type="noConversion"/>
  </si>
  <si>
    <t>기타후생경비</t>
    <phoneticPr fontId="8" type="noConversion"/>
  </si>
  <si>
    <t>수용비및수수료</t>
    <phoneticPr fontId="8" type="noConversion"/>
  </si>
  <si>
    <t>제세공과금</t>
    <phoneticPr fontId="8" type="noConversion"/>
  </si>
  <si>
    <t>기타운영비</t>
    <phoneticPr fontId="8" type="noConversion"/>
  </si>
  <si>
    <t>수용기관경비</t>
    <phoneticPr fontId="8" type="noConversion"/>
  </si>
  <si>
    <t>프로그램비</t>
    <phoneticPr fontId="8" type="noConversion"/>
  </si>
  <si>
    <t>2017년 바르나바의 집 분기별 운영비(보조금) 신청액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</si>
  <si>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</si>
  <si>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</si>
  <si>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</si>
  <si>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</si>
  <si>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보조</t>
    <phoneticPr fontId="8" type="noConversion"/>
  </si>
  <si>
    <t>후원</t>
    <phoneticPr fontId="8" type="noConversion"/>
  </si>
  <si>
    <t>2017년
본예산</t>
    <phoneticPr fontId="8" type="noConversion"/>
  </si>
  <si>
    <t>2017년
1차추경 예산</t>
    <phoneticPr fontId="8" type="noConversion"/>
  </si>
  <si>
    <t>2017년 1차추경 예산 세출증감내역</t>
    <phoneticPr fontId="8" type="noConversion"/>
  </si>
  <si>
    <t>2017년 1차추경 예산 세입증감내역</t>
    <phoneticPr fontId="8" type="noConversion"/>
  </si>
  <si>
    <t xml:space="preserve">* </t>
    <phoneticPr fontId="8" type="noConversion"/>
  </si>
  <si>
    <t>* 종사자처우개선비(경기도) 신설반영</t>
    <phoneticPr fontId="8" type="noConversion"/>
  </si>
  <si>
    <t xml:space="preserve">* </t>
    <phoneticPr fontId="8" type="noConversion"/>
  </si>
  <si>
    <t>* 본예산 이월금 추정치 -&gt; 1차추경 실제 이월금 반영</t>
    <phoneticPr fontId="8" type="noConversion"/>
  </si>
  <si>
    <t>* 본예산 이월금 추정치 -&gt; 1차추경 실제 이월금 반영</t>
    <phoneticPr fontId="8" type="noConversion"/>
  </si>
  <si>
    <t>* 2017년 급여 인상분 반영</t>
    <phoneticPr fontId="8" type="noConversion"/>
  </si>
  <si>
    <t>* 기본급 인상에 따른 명절휴가비, 연장근로수당 증액
* 종사자처우개선비(경기도) 신설분 60만원 증가</t>
    <phoneticPr fontId="8" type="noConversion"/>
  </si>
  <si>
    <t>* 인건비 상승으로 퇴직적립금 증가</t>
    <phoneticPr fontId="8" type="noConversion"/>
  </si>
  <si>
    <t>* 인건비 상승으로 사회보험부담금 증가</t>
    <phoneticPr fontId="8" type="noConversion"/>
  </si>
  <si>
    <t>* 운영위원회 참석수당 반영</t>
    <phoneticPr fontId="8" type="noConversion"/>
  </si>
  <si>
    <t>* 정수기 임대료, 주방식기류 등 계정변경으로 증액
    (수용기관경비 -&gt;수용비및수수료)</t>
    <phoneticPr fontId="8" type="noConversion"/>
  </si>
  <si>
    <t>* 예산조정으로 인한 증액</t>
    <phoneticPr fontId="8" type="noConversion"/>
  </si>
  <si>
    <t>* 차량유류대 감액</t>
    <phoneticPr fontId="8" type="noConversion"/>
  </si>
  <si>
    <t>* 직원 교육훈련비 감액</t>
    <phoneticPr fontId="8" type="noConversion"/>
  </si>
  <si>
    <t>* 환경개선사업비(7종) 등 계정변경
   (시설장비유지비 -&gt; 자산취득비)</t>
    <phoneticPr fontId="8" type="noConversion"/>
  </si>
  <si>
    <t>* 환경개선사업비(7종) 계정변경
  (시설장비유지비 -&gt; 자산취득비)</t>
    <phoneticPr fontId="8" type="noConversion"/>
  </si>
  <si>
    <t>* 우편물발송료 등 기타 공공요금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</si>
</sst>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indexed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95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5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2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7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6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50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4" fontId="24" fillId="0" borderId="0" xfId="3" applyNumberFormat="1" applyFont="1" applyFill="1" applyBorder="1" applyAlignment="1">
      <alignment horizontal="left" vertical="center"/>
    </xf>
    <xf numFmtId="193" fontId="24" fillId="0" borderId="0" xfId="3" applyNumberFormat="1" applyFont="1" applyFill="1" applyBorder="1" applyAlignment="1">
      <alignment vertical="center"/>
    </xf>
    <xf numFmtId="195" fontId="24" fillId="0" borderId="0" xfId="3" applyNumberFormat="1" applyFont="1" applyFill="1" applyBorder="1" applyAlignment="1">
      <alignment vertical="center"/>
    </xf>
    <xf numFmtId="196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0" fontId="33" fillId="0" borderId="33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41" fontId="0" fillId="5" borderId="20" xfId="2" applyFont="1" applyFill="1" applyBorder="1" applyAlignment="1">
      <alignment vertical="center"/>
    </xf>
    <xf numFmtId="41" fontId="0" fillId="2" borderId="20" xfId="0" applyNumberFormat="1" applyFill="1" applyBorder="1" applyAlignment="1">
      <alignment vertical="center"/>
    </xf>
    <xf numFmtId="41" fontId="0" fillId="6" borderId="20" xfId="2" applyFont="1" applyFill="1" applyBorder="1" applyAlignment="1">
      <alignment vertical="center"/>
    </xf>
    <xf numFmtId="41" fontId="0" fillId="5" borderId="0" xfId="2" applyFont="1" applyFill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176" fontId="15" fillId="0" borderId="0" xfId="3" applyNumberFormat="1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pf/2017&#45380;&#46020;%201&#52264;&#52628;&#44221;&#50696;&#49328;&#50504;(&#47788;&#4694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pf/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J22" sqref="J22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569</v>
      </c>
      <c r="K2" s="203" t="s">
        <v>321</v>
      </c>
    </row>
    <row r="3" spans="2:11" ht="9.9499999999999993" customHeight="1" thickBot="1"/>
    <row r="4" spans="2:11" ht="30" customHeight="1">
      <c r="B4" s="626" t="s">
        <v>162</v>
      </c>
      <c r="C4" s="627"/>
      <c r="D4" s="627"/>
      <c r="E4" s="627"/>
      <c r="F4" s="628"/>
      <c r="G4" s="626" t="s">
        <v>163</v>
      </c>
      <c r="H4" s="627"/>
      <c r="I4" s="627"/>
      <c r="J4" s="627"/>
      <c r="K4" s="629"/>
    </row>
    <row r="5" spans="2:11" ht="16.5" customHeight="1">
      <c r="B5" s="630" t="s">
        <v>164</v>
      </c>
      <c r="C5" s="631"/>
      <c r="D5" s="634" t="s">
        <v>570</v>
      </c>
      <c r="E5" s="634" t="s">
        <v>571</v>
      </c>
      <c r="F5" s="636" t="s">
        <v>165</v>
      </c>
      <c r="G5" s="630" t="s">
        <v>164</v>
      </c>
      <c r="H5" s="631"/>
      <c r="I5" s="634" t="s">
        <v>570</v>
      </c>
      <c r="J5" s="634" t="s">
        <v>571</v>
      </c>
      <c r="K5" s="638" t="s">
        <v>165</v>
      </c>
    </row>
    <row r="6" spans="2:11" ht="22.5" customHeight="1" thickBot="1">
      <c r="B6" s="632"/>
      <c r="C6" s="633"/>
      <c r="D6" s="635"/>
      <c r="E6" s="635"/>
      <c r="F6" s="637"/>
      <c r="G6" s="632"/>
      <c r="H6" s="633"/>
      <c r="I6" s="635"/>
      <c r="J6" s="635"/>
      <c r="K6" s="639"/>
    </row>
    <row r="7" spans="2:11" ht="24.95" customHeight="1" thickTop="1">
      <c r="B7" s="624" t="s">
        <v>166</v>
      </c>
      <c r="C7" s="625"/>
      <c r="D7" s="508">
        <f>SUM(D8:D23)/2</f>
        <v>71518000</v>
      </c>
      <c r="E7" s="508">
        <f>SUM(E8:E23)/2</f>
        <v>73585000</v>
      </c>
      <c r="F7" s="509">
        <f>SUM(F8:F23)/2</f>
        <v>2067000</v>
      </c>
      <c r="G7" s="624" t="s">
        <v>166</v>
      </c>
      <c r="H7" s="625"/>
      <c r="I7" s="508">
        <f>SUM(I8:I28)/2</f>
        <v>71518000</v>
      </c>
      <c r="J7" s="508">
        <f>SUM(J8:J28)/2</f>
        <v>73585000</v>
      </c>
      <c r="K7" s="510">
        <f>SUM(K8:K28)/2</f>
        <v>2067000</v>
      </c>
    </row>
    <row r="8" spans="2:11" ht="24.95" customHeight="1">
      <c r="B8" s="618" t="s">
        <v>167</v>
      </c>
      <c r="C8" s="511" t="s">
        <v>320</v>
      </c>
      <c r="D8" s="512">
        <f>D9</f>
        <v>7200000</v>
      </c>
      <c r="E8" s="512">
        <f>E9</f>
        <v>7200000</v>
      </c>
      <c r="F8" s="513">
        <f>F9</f>
        <v>0</v>
      </c>
      <c r="G8" s="618" t="s">
        <v>169</v>
      </c>
      <c r="H8" s="511" t="s">
        <v>320</v>
      </c>
      <c r="I8" s="512">
        <f>SUM(I9:I11)</f>
        <v>49499000</v>
      </c>
      <c r="J8" s="512">
        <f>SUM(J9:J11)</f>
        <v>52437000</v>
      </c>
      <c r="K8" s="517">
        <f>SUM(K9:K11)</f>
        <v>2938000</v>
      </c>
    </row>
    <row r="9" spans="2:11" ht="24.95" customHeight="1">
      <c r="B9" s="619"/>
      <c r="C9" s="204" t="s">
        <v>168</v>
      </c>
      <c r="D9" s="205">
        <v>7200000</v>
      </c>
      <c r="E9" s="205">
        <v>7200000</v>
      </c>
      <c r="F9" s="206">
        <f>E9-D9</f>
        <v>0</v>
      </c>
      <c r="G9" s="620"/>
      <c r="H9" s="204" t="s">
        <v>170</v>
      </c>
      <c r="I9" s="205">
        <v>42009000</v>
      </c>
      <c r="J9" s="205">
        <v>44215000</v>
      </c>
      <c r="K9" s="207">
        <f>J9-I9</f>
        <v>2206000</v>
      </c>
    </row>
    <row r="10" spans="2:11" ht="24.95" customHeight="1">
      <c r="B10" s="582" t="s">
        <v>171</v>
      </c>
      <c r="C10" s="514" t="s">
        <v>320</v>
      </c>
      <c r="D10" s="515">
        <f>SUM(D11:D14)</f>
        <v>58605000</v>
      </c>
      <c r="E10" s="515">
        <f>SUM(E11:E14)</f>
        <v>59205000</v>
      </c>
      <c r="F10" s="516">
        <f>SUM(F11:F14)</f>
        <v>600000</v>
      </c>
      <c r="G10" s="620"/>
      <c r="H10" s="204" t="s">
        <v>172</v>
      </c>
      <c r="I10" s="205">
        <v>150000</v>
      </c>
      <c r="J10" s="205">
        <v>350000</v>
      </c>
      <c r="K10" s="207">
        <f t="shared" ref="K10:K11" si="0">J10-I10</f>
        <v>200000</v>
      </c>
    </row>
    <row r="11" spans="2:11" ht="24.95" customHeight="1">
      <c r="B11" s="583"/>
      <c r="C11" s="287" t="s">
        <v>257</v>
      </c>
      <c r="D11" s="205">
        <v>0</v>
      </c>
      <c r="E11" s="205">
        <v>0</v>
      </c>
      <c r="F11" s="206">
        <f t="shared" ref="F11:F23" si="1">E11-D11</f>
        <v>0</v>
      </c>
      <c r="G11" s="619"/>
      <c r="H11" s="204" t="s">
        <v>99</v>
      </c>
      <c r="I11" s="205">
        <v>7340000</v>
      </c>
      <c r="J11" s="205">
        <v>7872000</v>
      </c>
      <c r="K11" s="207">
        <f t="shared" si="0"/>
        <v>532000</v>
      </c>
    </row>
    <row r="12" spans="2:11" ht="24.95" customHeight="1">
      <c r="B12" s="583"/>
      <c r="C12" s="287" t="s">
        <v>258</v>
      </c>
      <c r="D12" s="205">
        <v>56705000</v>
      </c>
      <c r="E12" s="205">
        <v>57305000</v>
      </c>
      <c r="F12" s="206">
        <f t="shared" si="1"/>
        <v>600000</v>
      </c>
      <c r="G12" s="618" t="s">
        <v>100</v>
      </c>
      <c r="H12" s="514" t="s">
        <v>320</v>
      </c>
      <c r="I12" s="515">
        <f>SUM(I13:I15)</f>
        <v>1500000</v>
      </c>
      <c r="J12" s="515">
        <f>SUM(J13:J15)</f>
        <v>1500000</v>
      </c>
      <c r="K12" s="518">
        <f>SUM(K13:K15)</f>
        <v>0</v>
      </c>
    </row>
    <row r="13" spans="2:11" ht="24.95" customHeight="1">
      <c r="B13" s="583"/>
      <c r="C13" s="287" t="s">
        <v>259</v>
      </c>
      <c r="D13" s="205">
        <v>300000</v>
      </c>
      <c r="E13" s="205">
        <v>300000</v>
      </c>
      <c r="F13" s="206">
        <f t="shared" ref="F13" si="2">E13-D13</f>
        <v>0</v>
      </c>
      <c r="G13" s="620"/>
      <c r="H13" s="204" t="s">
        <v>101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584"/>
      <c r="C14" s="585" t="s">
        <v>450</v>
      </c>
      <c r="D14" s="205">
        <v>1600000</v>
      </c>
      <c r="E14" s="205">
        <v>1600000</v>
      </c>
      <c r="F14" s="206">
        <f t="shared" si="1"/>
        <v>0</v>
      </c>
      <c r="G14" s="620"/>
      <c r="H14" s="204" t="s">
        <v>104</v>
      </c>
      <c r="I14" s="205">
        <v>0</v>
      </c>
      <c r="J14" s="205">
        <v>1100000</v>
      </c>
      <c r="K14" s="207">
        <f t="shared" ref="K14:K15" si="4">J14-I14</f>
        <v>1100000</v>
      </c>
    </row>
    <row r="15" spans="2:11" ht="24.95" customHeight="1">
      <c r="B15" s="618" t="s">
        <v>102</v>
      </c>
      <c r="C15" s="514" t="s">
        <v>320</v>
      </c>
      <c r="D15" s="515">
        <f>SUM(D16:D17)</f>
        <v>900000</v>
      </c>
      <c r="E15" s="515">
        <f>SUM(E16:E17)</f>
        <v>900000</v>
      </c>
      <c r="F15" s="516">
        <f>SUM(F16:F17)</f>
        <v>0</v>
      </c>
      <c r="G15" s="619"/>
      <c r="H15" s="204" t="s">
        <v>106</v>
      </c>
      <c r="I15" s="205">
        <v>1500000</v>
      </c>
      <c r="J15" s="205">
        <v>400000</v>
      </c>
      <c r="K15" s="207">
        <f t="shared" si="4"/>
        <v>-1100000</v>
      </c>
    </row>
    <row r="16" spans="2:11" ht="24.95" customHeight="1">
      <c r="B16" s="620"/>
      <c r="C16" s="204" t="s">
        <v>103</v>
      </c>
      <c r="D16" s="205">
        <v>600000</v>
      </c>
      <c r="E16" s="205">
        <v>600000</v>
      </c>
      <c r="F16" s="206">
        <f t="shared" si="1"/>
        <v>0</v>
      </c>
      <c r="G16" s="618" t="s">
        <v>109</v>
      </c>
      <c r="H16" s="514" t="s">
        <v>320</v>
      </c>
      <c r="I16" s="515">
        <f>SUM(I17:I22)</f>
        <v>20506000</v>
      </c>
      <c r="J16" s="515">
        <f>SUM(J17:J22)</f>
        <v>19635000</v>
      </c>
      <c r="K16" s="518">
        <f>SUM(K17:K22)</f>
        <v>-871000</v>
      </c>
    </row>
    <row r="17" spans="2:11" ht="24.95" customHeight="1">
      <c r="B17" s="619"/>
      <c r="C17" s="204" t="s">
        <v>105</v>
      </c>
      <c r="D17" s="205">
        <v>300000</v>
      </c>
      <c r="E17" s="205">
        <v>300000</v>
      </c>
      <c r="F17" s="206">
        <f t="shared" si="1"/>
        <v>0</v>
      </c>
      <c r="G17" s="620"/>
      <c r="H17" s="204" t="s">
        <v>110</v>
      </c>
      <c r="I17" s="205">
        <v>10487000</v>
      </c>
      <c r="J17" s="205">
        <v>10763000</v>
      </c>
      <c r="K17" s="207">
        <f t="shared" ref="K17:K22" si="5">J17-I17</f>
        <v>276000</v>
      </c>
    </row>
    <row r="18" spans="2:11" ht="24.95" customHeight="1">
      <c r="B18" s="618" t="s">
        <v>107</v>
      </c>
      <c r="C18" s="514" t="s">
        <v>320</v>
      </c>
      <c r="D18" s="515">
        <f>D19</f>
        <v>0</v>
      </c>
      <c r="E18" s="515">
        <f>E19</f>
        <v>0</v>
      </c>
      <c r="F18" s="516">
        <f>F19</f>
        <v>0</v>
      </c>
      <c r="G18" s="620"/>
      <c r="H18" s="204" t="s">
        <v>113</v>
      </c>
      <c r="I18" s="205">
        <v>2409000</v>
      </c>
      <c r="J18" s="205">
        <v>1252000</v>
      </c>
      <c r="K18" s="207">
        <f t="shared" si="5"/>
        <v>-1157000</v>
      </c>
    </row>
    <row r="19" spans="2:11" ht="24.95" customHeight="1">
      <c r="B19" s="619"/>
      <c r="C19" s="204" t="s">
        <v>108</v>
      </c>
      <c r="D19" s="205">
        <v>0</v>
      </c>
      <c r="E19" s="205">
        <v>0</v>
      </c>
      <c r="F19" s="206">
        <f t="shared" si="1"/>
        <v>0</v>
      </c>
      <c r="G19" s="620"/>
      <c r="H19" s="204" t="s">
        <v>116</v>
      </c>
      <c r="I19" s="205">
        <v>1200000</v>
      </c>
      <c r="J19" s="205">
        <v>1200000</v>
      </c>
      <c r="K19" s="207">
        <f t="shared" si="5"/>
        <v>0</v>
      </c>
    </row>
    <row r="20" spans="2:11" ht="24.95" customHeight="1">
      <c r="B20" s="618" t="s">
        <v>111</v>
      </c>
      <c r="C20" s="514" t="s">
        <v>320</v>
      </c>
      <c r="D20" s="515">
        <f>D21</f>
        <v>4800000</v>
      </c>
      <c r="E20" s="515">
        <f>E21</f>
        <v>6267000</v>
      </c>
      <c r="F20" s="516">
        <f>F21</f>
        <v>1467000</v>
      </c>
      <c r="G20" s="620"/>
      <c r="H20" s="204" t="s">
        <v>117</v>
      </c>
      <c r="I20" s="205">
        <v>460000</v>
      </c>
      <c r="J20" s="205">
        <v>460000</v>
      </c>
      <c r="K20" s="207">
        <f t="shared" si="5"/>
        <v>0</v>
      </c>
    </row>
    <row r="21" spans="2:11" ht="24.95" customHeight="1">
      <c r="B21" s="619"/>
      <c r="C21" s="204" t="s">
        <v>112</v>
      </c>
      <c r="D21" s="205">
        <v>4800000</v>
      </c>
      <c r="E21" s="205">
        <v>6267000</v>
      </c>
      <c r="F21" s="206">
        <f t="shared" si="1"/>
        <v>1467000</v>
      </c>
      <c r="G21" s="620"/>
      <c r="H21" s="204" t="s">
        <v>118</v>
      </c>
      <c r="I21" s="205">
        <v>200000</v>
      </c>
      <c r="J21" s="205">
        <v>210000</v>
      </c>
      <c r="K21" s="207">
        <f t="shared" si="5"/>
        <v>10000</v>
      </c>
    </row>
    <row r="22" spans="2:11" ht="24.95" customHeight="1">
      <c r="B22" s="618" t="s">
        <v>114</v>
      </c>
      <c r="C22" s="514" t="s">
        <v>320</v>
      </c>
      <c r="D22" s="515">
        <f>D23</f>
        <v>13000</v>
      </c>
      <c r="E22" s="515">
        <f>E23</f>
        <v>13000</v>
      </c>
      <c r="F22" s="516">
        <f>F23</f>
        <v>0</v>
      </c>
      <c r="G22" s="619"/>
      <c r="H22" s="204" t="s">
        <v>119</v>
      </c>
      <c r="I22" s="205">
        <v>5750000</v>
      </c>
      <c r="J22" s="205">
        <v>5750000</v>
      </c>
      <c r="K22" s="207">
        <f t="shared" si="5"/>
        <v>0</v>
      </c>
    </row>
    <row r="23" spans="2:11" ht="24.95" customHeight="1">
      <c r="B23" s="619"/>
      <c r="C23" s="204" t="s">
        <v>115</v>
      </c>
      <c r="D23" s="205">
        <v>13000</v>
      </c>
      <c r="E23" s="205">
        <v>13000</v>
      </c>
      <c r="F23" s="206">
        <f t="shared" si="1"/>
        <v>0</v>
      </c>
      <c r="G23" s="622" t="s">
        <v>158</v>
      </c>
      <c r="H23" s="514" t="s">
        <v>320</v>
      </c>
      <c r="I23" s="515">
        <f>I24</f>
        <v>5000</v>
      </c>
      <c r="J23" s="515">
        <f>J24</f>
        <v>5000</v>
      </c>
      <c r="K23" s="518">
        <f>K24</f>
        <v>0</v>
      </c>
    </row>
    <row r="24" spans="2:11" ht="24.95" customHeight="1">
      <c r="B24" s="586"/>
      <c r="C24" s="587"/>
      <c r="D24" s="587"/>
      <c r="E24" s="587"/>
      <c r="F24" s="587"/>
      <c r="G24" s="623"/>
      <c r="H24" s="204" t="s">
        <v>120</v>
      </c>
      <c r="I24" s="205">
        <v>5000</v>
      </c>
      <c r="J24" s="205">
        <v>5000</v>
      </c>
      <c r="K24" s="207">
        <f t="shared" ref="K24" si="6">J24-I24</f>
        <v>0</v>
      </c>
    </row>
    <row r="25" spans="2:11" ht="24.95" customHeight="1">
      <c r="B25" s="588"/>
      <c r="C25" s="589"/>
      <c r="D25" s="589"/>
      <c r="E25" s="589"/>
      <c r="F25" s="589"/>
      <c r="G25" s="618" t="s">
        <v>121</v>
      </c>
      <c r="H25" s="514" t="s">
        <v>320</v>
      </c>
      <c r="I25" s="515">
        <f>I26</f>
        <v>0</v>
      </c>
      <c r="J25" s="515">
        <f>J26</f>
        <v>0</v>
      </c>
      <c r="K25" s="518">
        <f>K26</f>
        <v>0</v>
      </c>
    </row>
    <row r="26" spans="2:11" ht="24.95" customHeight="1">
      <c r="B26" s="588"/>
      <c r="C26" s="589"/>
      <c r="D26" s="589"/>
      <c r="E26" s="589"/>
      <c r="F26" s="589"/>
      <c r="G26" s="619"/>
      <c r="H26" s="204" t="s">
        <v>122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588"/>
      <c r="C27" s="589"/>
      <c r="D27" s="589"/>
      <c r="E27" s="589"/>
      <c r="F27" s="589"/>
      <c r="G27" s="618" t="s">
        <v>123</v>
      </c>
      <c r="H27" s="514" t="s">
        <v>320</v>
      </c>
      <c r="I27" s="515">
        <f>I28</f>
        <v>8000</v>
      </c>
      <c r="J27" s="515">
        <f>J28</f>
        <v>8000</v>
      </c>
      <c r="K27" s="518">
        <f>K28</f>
        <v>0</v>
      </c>
    </row>
    <row r="28" spans="2:11" ht="24.95" customHeight="1" thickBot="1">
      <c r="B28" s="590"/>
      <c r="C28" s="591"/>
      <c r="D28" s="591"/>
      <c r="E28" s="591"/>
      <c r="F28" s="591"/>
      <c r="G28" s="621"/>
      <c r="H28" s="208" t="s">
        <v>124</v>
      </c>
      <c r="I28" s="209">
        <v>8000</v>
      </c>
      <c r="J28" s="209">
        <v>8000</v>
      </c>
      <c r="K28" s="210">
        <f>J28-I28</f>
        <v>0</v>
      </c>
    </row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"/>
  <sheetViews>
    <sheetView zoomScale="85" zoomScaleNormal="85" workbookViewId="0">
      <pane xSplit="3" ySplit="4" topLeftCell="D11" activePane="bottomRight" state="frozen"/>
      <selection pane="topRight" activeCell="E1" sqref="E1"/>
      <selection pane="bottomLeft" activeCell="A5" sqref="A5"/>
      <selection pane="bottomRight" activeCell="W23" sqref="W23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41" t="s">
        <v>555</v>
      </c>
      <c r="B1" s="641"/>
      <c r="C1" s="641"/>
      <c r="D1" s="641"/>
      <c r="E1" s="641"/>
      <c r="F1" s="641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3" t="s">
        <v>64</v>
      </c>
      <c r="B2" s="644"/>
      <c r="C2" s="644"/>
      <c r="D2" s="645" t="s">
        <v>556</v>
      </c>
      <c r="E2" s="645" t="s">
        <v>557</v>
      </c>
      <c r="F2" s="649" t="s">
        <v>23</v>
      </c>
      <c r="G2" s="649"/>
      <c r="H2" s="649" t="s">
        <v>55</v>
      </c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50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173</v>
      </c>
      <c r="D3" s="646"/>
      <c r="E3" s="646"/>
      <c r="F3" s="152" t="s">
        <v>128</v>
      </c>
      <c r="G3" s="27" t="s">
        <v>4</v>
      </c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2"/>
      <c r="Y3" s="8"/>
    </row>
    <row r="4" spans="1:25" s="3" customFormat="1" ht="19.5" customHeight="1">
      <c r="A4" s="647" t="s">
        <v>24</v>
      </c>
      <c r="B4" s="648"/>
      <c r="C4" s="648"/>
      <c r="D4" s="229">
        <f>SUM(D5,D7,D9,D11,D28,D38,D45,D53,D77)</f>
        <v>71518</v>
      </c>
      <c r="E4" s="229">
        <f>SUM(E5,E7,E9,E11,E28,E38,E45,E53,E77)</f>
        <v>73585</v>
      </c>
      <c r="F4" s="377">
        <f>SUM(F5,F7,F9,F11,F28,F38,F45,F53,F77)</f>
        <v>2067</v>
      </c>
      <c r="G4" s="230">
        <f t="shared" ref="G4" si="0">IF(D4=0,0,F4/D4)</f>
        <v>2.8901814927710507E-2</v>
      </c>
      <c r="H4" s="28" t="s">
        <v>160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6">
        <f>SUM(W5,W7,W9,W11,W28,W38,W45,W53,W77)</f>
        <v>73585000</v>
      </c>
      <c r="X4" s="30" t="s">
        <v>161</v>
      </c>
      <c r="Y4" s="8"/>
    </row>
    <row r="5" spans="1:25" ht="21" customHeight="1" thickBot="1">
      <c r="A5" s="35" t="s">
        <v>60</v>
      </c>
      <c r="B5" s="36" t="s">
        <v>60</v>
      </c>
      <c r="C5" s="212" t="s">
        <v>127</v>
      </c>
      <c r="D5" s="223">
        <v>7200</v>
      </c>
      <c r="E5" s="223">
        <f>ROUND(W5/1000,0)</f>
        <v>7200</v>
      </c>
      <c r="F5" s="224">
        <f>E5-D5</f>
        <v>0</v>
      </c>
      <c r="G5" s="225">
        <f>IF(D5=0,0,F5/D5)</f>
        <v>0</v>
      </c>
      <c r="H5" s="40" t="s">
        <v>159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126</v>
      </c>
      <c r="C6" s="47" t="s">
        <v>126</v>
      </c>
      <c r="D6" s="48"/>
      <c r="E6" s="48"/>
      <c r="F6" s="49"/>
      <c r="G6" s="31"/>
      <c r="H6" s="371" t="s">
        <v>261</v>
      </c>
      <c r="I6" s="54"/>
      <c r="J6" s="55"/>
      <c r="K6" s="55"/>
      <c r="L6" s="231">
        <v>150000</v>
      </c>
      <c r="M6" s="231" t="s">
        <v>57</v>
      </c>
      <c r="N6" s="232" t="s">
        <v>58</v>
      </c>
      <c r="O6" s="135">
        <v>4</v>
      </c>
      <c r="P6" s="231" t="s">
        <v>56</v>
      </c>
      <c r="Q6" s="232" t="s">
        <v>58</v>
      </c>
      <c r="R6" s="56">
        <v>12</v>
      </c>
      <c r="S6" s="257" t="s">
        <v>0</v>
      </c>
      <c r="T6" s="257" t="s">
        <v>53</v>
      </c>
      <c r="U6" s="257"/>
      <c r="V6" s="231"/>
      <c r="W6" s="231">
        <f>L6*O6*R6</f>
        <v>7200000</v>
      </c>
      <c r="X6" s="57" t="s">
        <v>57</v>
      </c>
    </row>
    <row r="7" spans="1:25" s="11" customFormat="1" ht="19.5" customHeight="1" thickBot="1">
      <c r="A7" s="35" t="s">
        <v>174</v>
      </c>
      <c r="B7" s="36" t="s">
        <v>176</v>
      </c>
      <c r="C7" s="36" t="s">
        <v>174</v>
      </c>
      <c r="D7" s="223">
        <v>0</v>
      </c>
      <c r="E7" s="223">
        <f>ROUND(W7/1000,0)</f>
        <v>0</v>
      </c>
      <c r="F7" s="224">
        <f>E7-D7</f>
        <v>0</v>
      </c>
      <c r="G7" s="225">
        <f>IF(D7=0,0,F7/D7)</f>
        <v>0</v>
      </c>
      <c r="H7" s="40" t="s">
        <v>178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175</v>
      </c>
      <c r="B8" s="59" t="s">
        <v>177</v>
      </c>
      <c r="C8" s="59" t="s">
        <v>175</v>
      </c>
      <c r="D8" s="48"/>
      <c r="E8" s="48"/>
      <c r="F8" s="49"/>
      <c r="G8" s="31"/>
      <c r="H8" s="53" t="s">
        <v>260</v>
      </c>
      <c r="I8" s="54"/>
      <c r="J8" s="55"/>
      <c r="K8" s="55"/>
      <c r="L8" s="231"/>
      <c r="M8" s="231"/>
      <c r="N8" s="232"/>
      <c r="O8" s="231"/>
      <c r="P8" s="231"/>
      <c r="Q8" s="232"/>
      <c r="R8" s="56"/>
      <c r="S8" s="257"/>
      <c r="T8" s="257"/>
      <c r="U8" s="257"/>
      <c r="V8" s="231"/>
      <c r="W8" s="231">
        <v>0</v>
      </c>
      <c r="X8" s="57" t="s">
        <v>57</v>
      </c>
    </row>
    <row r="9" spans="1:25" ht="21" customHeight="1" thickBot="1">
      <c r="A9" s="35" t="s">
        <v>180</v>
      </c>
      <c r="B9" s="36" t="s">
        <v>182</v>
      </c>
      <c r="C9" s="36" t="s">
        <v>180</v>
      </c>
      <c r="D9" s="223">
        <v>0</v>
      </c>
      <c r="E9" s="223">
        <f>ROUND(W9/1000,0)</f>
        <v>0</v>
      </c>
      <c r="F9" s="224">
        <f>E9-D9</f>
        <v>0</v>
      </c>
      <c r="G9" s="225">
        <f>IF(D9=0,0,F9/D9)</f>
        <v>0</v>
      </c>
      <c r="H9" s="40" t="s">
        <v>225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222</v>
      </c>
      <c r="B10" s="59" t="s">
        <v>223</v>
      </c>
      <c r="C10" s="59" t="s">
        <v>223</v>
      </c>
      <c r="D10" s="235"/>
      <c r="E10" s="236">
        <v>0</v>
      </c>
      <c r="F10" s="237"/>
      <c r="G10" s="238"/>
      <c r="H10" s="239"/>
      <c r="I10" s="240"/>
      <c r="J10" s="241"/>
      <c r="K10" s="241"/>
      <c r="L10" s="241"/>
      <c r="M10" s="241"/>
      <c r="N10" s="241"/>
      <c r="O10" s="242"/>
      <c r="P10" s="242"/>
      <c r="Q10" s="242"/>
      <c r="R10" s="242"/>
      <c r="S10" s="242"/>
      <c r="T10" s="242"/>
      <c r="U10" s="242"/>
      <c r="V10" s="243"/>
      <c r="W10" s="243">
        <v>0</v>
      </c>
      <c r="X10" s="276" t="s">
        <v>224</v>
      </c>
    </row>
    <row r="11" spans="1:25" s="11" customFormat="1" ht="19.5" customHeight="1">
      <c r="A11" s="35" t="s">
        <v>179</v>
      </c>
      <c r="B11" s="36" t="s">
        <v>179</v>
      </c>
      <c r="C11" s="550" t="s">
        <v>242</v>
      </c>
      <c r="D11" s="259">
        <f>SUM(D12,D15,D22,D25)</f>
        <v>58605</v>
      </c>
      <c r="E11" s="259">
        <f>SUM(E12,E15,E22,E25)</f>
        <v>59205</v>
      </c>
      <c r="F11" s="260">
        <f t="shared" ref="F11:F12" si="1">E11-D11</f>
        <v>600</v>
      </c>
      <c r="G11" s="261">
        <f t="shared" ref="G11:G12" si="2">IF(D11=0,0,F11/D11)</f>
        <v>1.0238034297414897E-2</v>
      </c>
      <c r="H11" s="262" t="s">
        <v>243</v>
      </c>
      <c r="I11" s="263"/>
      <c r="J11" s="264"/>
      <c r="K11" s="264"/>
      <c r="L11" s="263"/>
      <c r="M11" s="263"/>
      <c r="N11" s="263"/>
      <c r="O11" s="263"/>
      <c r="P11" s="263"/>
      <c r="Q11" s="265"/>
      <c r="R11" s="265"/>
      <c r="S11" s="265"/>
      <c r="T11" s="265"/>
      <c r="U11" s="265"/>
      <c r="V11" s="265"/>
      <c r="W11" s="266">
        <f>SUM(W12,W15,W22,W25)</f>
        <v>59205000</v>
      </c>
      <c r="X11" s="277" t="s">
        <v>25</v>
      </c>
      <c r="Y11" s="6"/>
    </row>
    <row r="12" spans="1:25" s="11" customFormat="1" ht="19.5" customHeight="1">
      <c r="A12" s="45" t="s">
        <v>181</v>
      </c>
      <c r="B12" s="46" t="s">
        <v>177</v>
      </c>
      <c r="C12" s="36" t="s">
        <v>183</v>
      </c>
      <c r="D12" s="226">
        <v>0</v>
      </c>
      <c r="E12" s="226">
        <v>0</v>
      </c>
      <c r="F12" s="227">
        <f t="shared" si="1"/>
        <v>0</v>
      </c>
      <c r="G12" s="228">
        <f t="shared" si="2"/>
        <v>0</v>
      </c>
      <c r="H12" s="214" t="s">
        <v>184</v>
      </c>
      <c r="I12" s="215"/>
      <c r="J12" s="216"/>
      <c r="K12" s="216"/>
      <c r="L12" s="216"/>
      <c r="M12" s="216"/>
      <c r="N12" s="216"/>
      <c r="O12" s="217"/>
      <c r="P12" s="217"/>
      <c r="Q12" s="217"/>
      <c r="R12" s="217"/>
      <c r="S12" s="217"/>
      <c r="T12" s="217"/>
      <c r="U12" s="244" t="s">
        <v>226</v>
      </c>
      <c r="V12" s="245"/>
      <c r="W12" s="246">
        <v>0</v>
      </c>
      <c r="X12" s="278" t="s">
        <v>227</v>
      </c>
      <c r="Y12" s="6"/>
    </row>
    <row r="13" spans="1:25" s="11" customFormat="1" ht="19.5" customHeight="1">
      <c r="A13" s="45"/>
      <c r="B13" s="46"/>
      <c r="C13" s="46" t="s">
        <v>330</v>
      </c>
      <c r="D13" s="553"/>
      <c r="E13" s="553"/>
      <c r="F13" s="554"/>
      <c r="G13" s="555"/>
      <c r="H13" s="556"/>
      <c r="I13" s="557"/>
      <c r="J13" s="558"/>
      <c r="K13" s="558"/>
      <c r="L13" s="558"/>
      <c r="M13" s="558"/>
      <c r="N13" s="558"/>
      <c r="O13" s="559"/>
      <c r="P13" s="559"/>
      <c r="Q13" s="559"/>
      <c r="R13" s="559"/>
      <c r="S13" s="559"/>
      <c r="T13" s="559"/>
      <c r="U13" s="560"/>
      <c r="V13" s="561"/>
      <c r="W13" s="561"/>
      <c r="X13" s="562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0"/>
      <c r="I14" s="442"/>
      <c r="J14" s="462"/>
      <c r="K14" s="462"/>
      <c r="L14" s="441"/>
      <c r="M14" s="441"/>
      <c r="N14" s="463"/>
      <c r="O14" s="441"/>
      <c r="P14" s="464"/>
      <c r="Q14" s="465"/>
      <c r="R14" s="466"/>
      <c r="S14" s="467"/>
      <c r="T14" s="467"/>
      <c r="U14" s="468"/>
      <c r="V14" s="469"/>
      <c r="W14" s="442"/>
      <c r="X14" s="443"/>
      <c r="Y14" s="6"/>
    </row>
    <row r="15" spans="1:25" s="11" customFormat="1" ht="19.5" customHeight="1">
      <c r="A15" s="60"/>
      <c r="B15" s="46"/>
      <c r="C15" s="36" t="s">
        <v>185</v>
      </c>
      <c r="D15" s="226">
        <f>SUM(D16:D21)</f>
        <v>56705</v>
      </c>
      <c r="E15" s="226">
        <f>SUM(E16:E21)</f>
        <v>57305</v>
      </c>
      <c r="F15" s="227">
        <f t="shared" ref="F15" si="3">E15-D15</f>
        <v>600</v>
      </c>
      <c r="G15" s="228">
        <f t="shared" ref="G15" si="4">IF(D15=0,0,F15/D15)</f>
        <v>1.0581077506392735E-2</v>
      </c>
      <c r="H15" s="214" t="s">
        <v>228</v>
      </c>
      <c r="I15" s="215"/>
      <c r="J15" s="216"/>
      <c r="K15" s="216"/>
      <c r="L15" s="216"/>
      <c r="M15" s="216"/>
      <c r="N15" s="216"/>
      <c r="O15" s="217"/>
      <c r="P15" s="217"/>
      <c r="Q15" s="217"/>
      <c r="R15" s="217"/>
      <c r="S15" s="217"/>
      <c r="T15" s="217"/>
      <c r="U15" s="244" t="s">
        <v>68</v>
      </c>
      <c r="V15" s="245"/>
      <c r="W15" s="245">
        <f>W16</f>
        <v>57305000</v>
      </c>
      <c r="X15" s="278" t="s">
        <v>57</v>
      </c>
      <c r="Y15" s="6"/>
    </row>
    <row r="16" spans="1:25" s="11" customFormat="1" ht="19.5" customHeight="1" thickBot="1">
      <c r="A16" s="60"/>
      <c r="B16" s="46"/>
      <c r="C16" s="46" t="s">
        <v>330</v>
      </c>
      <c r="D16" s="37">
        <v>56705</v>
      </c>
      <c r="E16" s="247">
        <f>ROUND(W16/1000,0)</f>
        <v>57305</v>
      </c>
      <c r="F16" s="38">
        <f t="shared" ref="F16" si="5">E16-D16</f>
        <v>600</v>
      </c>
      <c r="G16" s="121">
        <f t="shared" ref="G16" si="6">IF(D16=0,0,F16/D16)</f>
        <v>1.0581077506392735E-2</v>
      </c>
      <c r="H16" s="253" t="s">
        <v>231</v>
      </c>
      <c r="I16" s="252"/>
      <c r="J16" s="258"/>
      <c r="K16" s="258"/>
      <c r="L16" s="88"/>
      <c r="M16" s="88"/>
      <c r="N16" s="248"/>
      <c r="O16" s="88"/>
      <c r="P16" s="249"/>
      <c r="Q16" s="250"/>
      <c r="R16" s="251"/>
      <c r="S16" s="256"/>
      <c r="T16" s="256"/>
      <c r="U16" s="254" t="s">
        <v>221</v>
      </c>
      <c r="V16" s="255"/>
      <c r="W16" s="255">
        <f>SUM(W17:W20)</f>
        <v>57305000</v>
      </c>
      <c r="X16" s="27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3" t="s">
        <v>338</v>
      </c>
      <c r="I17" s="68"/>
      <c r="J17" s="218"/>
      <c r="K17" s="218"/>
      <c r="L17" s="288"/>
      <c r="M17" s="288"/>
      <c r="N17" s="458"/>
      <c r="O17" s="459"/>
      <c r="P17" s="460"/>
      <c r="Q17" s="420"/>
      <c r="R17" s="461"/>
      <c r="S17" s="423"/>
      <c r="T17" s="421"/>
      <c r="U17" s="642"/>
      <c r="V17" s="642"/>
      <c r="W17" s="68">
        <v>54505000</v>
      </c>
      <c r="X17" s="57" t="s">
        <v>229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3" t="s">
        <v>331</v>
      </c>
      <c r="I18" s="68"/>
      <c r="J18" s="218"/>
      <c r="K18" s="218"/>
      <c r="L18" s="288"/>
      <c r="M18" s="288"/>
      <c r="N18" s="458"/>
      <c r="O18" s="459"/>
      <c r="P18" s="460"/>
      <c r="Q18" s="420"/>
      <c r="R18" s="461"/>
      <c r="S18" s="423"/>
      <c r="T18" s="421"/>
      <c r="U18" s="642"/>
      <c r="V18" s="642"/>
      <c r="W18" s="68">
        <v>1000000</v>
      </c>
      <c r="X18" s="57" t="s">
        <v>229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3" t="s">
        <v>332</v>
      </c>
      <c r="I19" s="68"/>
      <c r="J19" s="218"/>
      <c r="K19" s="218"/>
      <c r="L19" s="382">
        <v>100000</v>
      </c>
      <c r="M19" s="382" t="s">
        <v>65</v>
      </c>
      <c r="N19" s="383" t="s">
        <v>58</v>
      </c>
      <c r="O19" s="382">
        <v>1</v>
      </c>
      <c r="P19" s="382" t="s">
        <v>335</v>
      </c>
      <c r="Q19" s="383" t="s">
        <v>58</v>
      </c>
      <c r="R19" s="382">
        <v>12</v>
      </c>
      <c r="S19" s="382" t="s">
        <v>336</v>
      </c>
      <c r="T19" s="382" t="s">
        <v>230</v>
      </c>
      <c r="U19" s="382"/>
      <c r="V19" s="68"/>
      <c r="W19" s="68">
        <f>SUM(L19*O19*R19)</f>
        <v>1200000</v>
      </c>
      <c r="X19" s="57" t="s">
        <v>65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600" t="s">
        <v>572</v>
      </c>
      <c r="I20" s="601"/>
      <c r="J20" s="269"/>
      <c r="K20" s="269"/>
      <c r="L20" s="602">
        <v>50000</v>
      </c>
      <c r="M20" s="602" t="s">
        <v>573</v>
      </c>
      <c r="N20" s="603" t="s">
        <v>574</v>
      </c>
      <c r="O20" s="602">
        <v>1</v>
      </c>
      <c r="P20" s="602" t="s">
        <v>575</v>
      </c>
      <c r="Q20" s="603" t="s">
        <v>574</v>
      </c>
      <c r="R20" s="602">
        <v>12</v>
      </c>
      <c r="S20" s="602" t="s">
        <v>576</v>
      </c>
      <c r="T20" s="602" t="s">
        <v>230</v>
      </c>
      <c r="U20" s="602"/>
      <c r="V20" s="601"/>
      <c r="W20" s="601">
        <f>SUM(L20*O20*R20)</f>
        <v>600000</v>
      </c>
      <c r="X20" s="604" t="s">
        <v>573</v>
      </c>
      <c r="Y20" s="6"/>
    </row>
    <row r="21" spans="1:25" s="11" customFormat="1" ht="19.5" customHeight="1">
      <c r="A21" s="60"/>
      <c r="B21" s="82"/>
      <c r="C21" s="83"/>
      <c r="D21" s="61"/>
      <c r="E21" s="61"/>
      <c r="F21" s="62"/>
      <c r="G21" s="84"/>
      <c r="H21" s="234"/>
      <c r="I21" s="233"/>
      <c r="J21" s="85"/>
      <c r="K21" s="85"/>
      <c r="L21" s="233"/>
      <c r="M21" s="233"/>
      <c r="N21" s="234"/>
      <c r="O21" s="233"/>
      <c r="P21" s="233"/>
      <c r="Q21" s="234"/>
      <c r="R21" s="234"/>
      <c r="S21" s="234"/>
      <c r="T21" s="234"/>
      <c r="U21" s="234"/>
      <c r="V21" s="234"/>
      <c r="W21" s="233"/>
      <c r="X21" s="73"/>
      <c r="Y21" s="6"/>
    </row>
    <row r="22" spans="1:25" s="11" customFormat="1" ht="19.5" customHeight="1">
      <c r="A22" s="45"/>
      <c r="B22" s="46"/>
      <c r="C22" s="46" t="s">
        <v>187</v>
      </c>
      <c r="D22" s="226">
        <f>SUM(D23:D24)</f>
        <v>300</v>
      </c>
      <c r="E22" s="226">
        <f>W22/1000</f>
        <v>300</v>
      </c>
      <c r="F22" s="227">
        <f t="shared" ref="F22:F23" si="7">E22-D22</f>
        <v>0</v>
      </c>
      <c r="G22" s="228">
        <f t="shared" ref="G22:G23" si="8">IF(D22=0,0,F22/D22)</f>
        <v>0</v>
      </c>
      <c r="H22" s="214" t="s">
        <v>188</v>
      </c>
      <c r="I22" s="215"/>
      <c r="J22" s="216"/>
      <c r="K22" s="216"/>
      <c r="L22" s="216"/>
      <c r="M22" s="216"/>
      <c r="N22" s="216"/>
      <c r="O22" s="217"/>
      <c r="P22" s="217"/>
      <c r="Q22" s="217"/>
      <c r="R22" s="217"/>
      <c r="S22" s="217"/>
      <c r="T22" s="217"/>
      <c r="U22" s="244" t="s">
        <v>68</v>
      </c>
      <c r="V22" s="245"/>
      <c r="W22" s="246">
        <f>W23</f>
        <v>300000</v>
      </c>
      <c r="X22" s="278" t="s">
        <v>57</v>
      </c>
      <c r="Y22" s="6"/>
    </row>
    <row r="23" spans="1:25" ht="21" customHeight="1">
      <c r="A23" s="45"/>
      <c r="B23" s="46"/>
      <c r="C23" s="46"/>
      <c r="D23" s="48">
        <v>300</v>
      </c>
      <c r="E23" s="48">
        <f>W23/1000</f>
        <v>300</v>
      </c>
      <c r="F23" s="38">
        <f t="shared" si="7"/>
        <v>0</v>
      </c>
      <c r="G23" s="121">
        <f t="shared" si="8"/>
        <v>0</v>
      </c>
      <c r="H23" s="293" t="s">
        <v>339</v>
      </c>
      <c r="I23" s="290"/>
      <c r="J23" s="288"/>
      <c r="K23" s="288"/>
      <c r="L23" s="563">
        <v>300000</v>
      </c>
      <c r="M23" s="564" t="s">
        <v>333</v>
      </c>
      <c r="N23" s="564" t="s">
        <v>334</v>
      </c>
      <c r="O23" s="565">
        <v>1</v>
      </c>
      <c r="P23" s="566"/>
      <c r="Q23" s="564"/>
      <c r="R23" s="567"/>
      <c r="S23" s="564"/>
      <c r="T23" s="564" t="s">
        <v>337</v>
      </c>
      <c r="U23" s="288"/>
      <c r="V23" s="291"/>
      <c r="W23" s="288">
        <f>ROUND(L23*O23,-3)</f>
        <v>300000</v>
      </c>
      <c r="X23" s="390" t="s">
        <v>333</v>
      </c>
      <c r="Y23" s="568"/>
    </row>
    <row r="24" spans="1:25" ht="21" customHeight="1">
      <c r="A24" s="45"/>
      <c r="B24" s="46"/>
      <c r="C24" s="46"/>
      <c r="D24" s="48"/>
      <c r="E24" s="48"/>
      <c r="F24" s="49"/>
      <c r="G24" s="70"/>
      <c r="H24" s="67"/>
      <c r="I24" s="232"/>
      <c r="J24" s="231"/>
      <c r="K24" s="231"/>
      <c r="L24" s="231"/>
      <c r="M24" s="54"/>
      <c r="N24" s="74"/>
      <c r="O24" s="78"/>
      <c r="P24" s="74"/>
      <c r="Q24" s="74"/>
      <c r="R24" s="77"/>
      <c r="S24" s="76"/>
      <c r="T24" s="257"/>
      <c r="U24" s="231"/>
      <c r="V24" s="68"/>
      <c r="W24" s="68"/>
      <c r="X24" s="57"/>
    </row>
    <row r="25" spans="1:25" ht="21" customHeight="1">
      <c r="A25" s="45"/>
      <c r="B25" s="46"/>
      <c r="C25" s="36" t="s">
        <v>189</v>
      </c>
      <c r="D25" s="226">
        <f>D26</f>
        <v>1600</v>
      </c>
      <c r="E25" s="226">
        <f>E26</f>
        <v>1600</v>
      </c>
      <c r="F25" s="227">
        <f t="shared" ref="F25:F26" si="9">E25-D25</f>
        <v>0</v>
      </c>
      <c r="G25" s="228">
        <f t="shared" ref="G25:G26" si="10">IF(D25=0,0,F25/D25)</f>
        <v>0</v>
      </c>
      <c r="H25" s="214" t="s">
        <v>451</v>
      </c>
      <c r="I25" s="215"/>
      <c r="J25" s="216"/>
      <c r="K25" s="216"/>
      <c r="L25" s="216"/>
      <c r="M25" s="216"/>
      <c r="N25" s="216"/>
      <c r="O25" s="217"/>
      <c r="P25" s="217"/>
      <c r="Q25" s="217"/>
      <c r="R25" s="217"/>
      <c r="S25" s="217"/>
      <c r="T25" s="217"/>
      <c r="U25" s="244" t="s">
        <v>68</v>
      </c>
      <c r="V25" s="245"/>
      <c r="W25" s="245">
        <f>SUM(W26:W26)</f>
        <v>1600000</v>
      </c>
      <c r="X25" s="278" t="s">
        <v>57</v>
      </c>
    </row>
    <row r="26" spans="1:25" ht="21" customHeight="1">
      <c r="A26" s="45"/>
      <c r="B26" s="46"/>
      <c r="C26" s="46" t="s">
        <v>186</v>
      </c>
      <c r="D26" s="48">
        <v>1600</v>
      </c>
      <c r="E26" s="48">
        <f>ROUND(W26/1000,0)</f>
        <v>1600</v>
      </c>
      <c r="F26" s="284">
        <f t="shared" si="9"/>
        <v>0</v>
      </c>
      <c r="G26" s="193">
        <f t="shared" si="10"/>
        <v>0</v>
      </c>
      <c r="H26" s="293" t="s">
        <v>453</v>
      </c>
      <c r="I26" s="232"/>
      <c r="J26" s="231"/>
      <c r="K26" s="231"/>
      <c r="L26" s="382">
        <v>80000</v>
      </c>
      <c r="M26" s="382" t="s">
        <v>57</v>
      </c>
      <c r="N26" s="383" t="s">
        <v>58</v>
      </c>
      <c r="O26" s="382">
        <v>1</v>
      </c>
      <c r="P26" s="382" t="s">
        <v>56</v>
      </c>
      <c r="Q26" s="383" t="s">
        <v>58</v>
      </c>
      <c r="R26" s="382">
        <v>20</v>
      </c>
      <c r="S26" s="382" t="s">
        <v>452</v>
      </c>
      <c r="T26" s="382" t="s">
        <v>53</v>
      </c>
      <c r="U26" s="382"/>
      <c r="V26" s="68"/>
      <c r="W26" s="68">
        <f>SUM(L26*O26*R26)</f>
        <v>1600000</v>
      </c>
      <c r="X26" s="57" t="s">
        <v>57</v>
      </c>
    </row>
    <row r="27" spans="1:25" ht="21" customHeight="1">
      <c r="A27" s="280"/>
      <c r="B27" s="83"/>
      <c r="C27" s="83"/>
      <c r="D27" s="61"/>
      <c r="E27" s="61"/>
      <c r="F27" s="62"/>
      <c r="G27" s="84"/>
      <c r="H27" s="71"/>
      <c r="I27" s="233"/>
      <c r="J27" s="85"/>
      <c r="K27" s="85"/>
      <c r="L27" s="86"/>
      <c r="M27" s="233"/>
      <c r="N27" s="85"/>
      <c r="O27" s="233"/>
      <c r="P27" s="233"/>
      <c r="Q27" s="233"/>
      <c r="R27" s="233"/>
      <c r="S27" s="233"/>
      <c r="T27" s="233"/>
      <c r="U27" s="233"/>
      <c r="V27" s="233"/>
      <c r="W27" s="233"/>
      <c r="X27" s="73"/>
    </row>
    <row r="28" spans="1:25" s="11" customFormat="1" ht="19.5" customHeight="1">
      <c r="A28" s="35" t="s">
        <v>71</v>
      </c>
      <c r="B28" s="36" t="s">
        <v>30</v>
      </c>
      <c r="C28" s="550" t="s">
        <v>244</v>
      </c>
      <c r="D28" s="259">
        <f>SUM(D29,D34)</f>
        <v>900</v>
      </c>
      <c r="E28" s="259">
        <f>SUM(E29,E34)</f>
        <v>900</v>
      </c>
      <c r="F28" s="260">
        <f t="shared" ref="F28" si="11">E28-D28</f>
        <v>0</v>
      </c>
      <c r="G28" s="261">
        <f t="shared" ref="G28" si="12">IF(D28=0,0,F28/D28)</f>
        <v>0</v>
      </c>
      <c r="H28" s="262" t="s">
        <v>245</v>
      </c>
      <c r="I28" s="263"/>
      <c r="J28" s="264"/>
      <c r="K28" s="264"/>
      <c r="L28" s="263"/>
      <c r="M28" s="263"/>
      <c r="N28" s="263"/>
      <c r="O28" s="263"/>
      <c r="P28" s="263" t="s">
        <v>67</v>
      </c>
      <c r="Q28" s="265"/>
      <c r="R28" s="265"/>
      <c r="S28" s="265"/>
      <c r="T28" s="265"/>
      <c r="U28" s="265"/>
      <c r="V28" s="265"/>
      <c r="W28" s="266">
        <f>W29+W34</f>
        <v>900000</v>
      </c>
      <c r="X28" s="277" t="s">
        <v>25</v>
      </c>
      <c r="Y28" s="6"/>
    </row>
    <row r="29" spans="1:25" ht="21" customHeight="1">
      <c r="A29" s="45" t="s">
        <v>177</v>
      </c>
      <c r="B29" s="46" t="s">
        <v>177</v>
      </c>
      <c r="C29" s="36" t="s">
        <v>190</v>
      </c>
      <c r="D29" s="226">
        <f>D30+D32</f>
        <v>600</v>
      </c>
      <c r="E29" s="226">
        <f>E30+E32</f>
        <v>600</v>
      </c>
      <c r="F29" s="227">
        <f t="shared" ref="F29:F30" si="13">E29-D29</f>
        <v>0</v>
      </c>
      <c r="G29" s="228">
        <v>1</v>
      </c>
      <c r="H29" s="214" t="s">
        <v>250</v>
      </c>
      <c r="I29" s="215"/>
      <c r="J29" s="216"/>
      <c r="K29" s="216"/>
      <c r="L29" s="216"/>
      <c r="M29" s="216"/>
      <c r="N29" s="216"/>
      <c r="O29" s="217"/>
      <c r="P29" s="217"/>
      <c r="Q29" s="217"/>
      <c r="R29" s="217"/>
      <c r="S29" s="217"/>
      <c r="T29" s="217"/>
      <c r="U29" s="244" t="s">
        <v>240</v>
      </c>
      <c r="V29" s="245"/>
      <c r="W29" s="246">
        <f>SUM(W30,W32)</f>
        <v>600000</v>
      </c>
      <c r="X29" s="278" t="s">
        <v>239</v>
      </c>
    </row>
    <row r="30" spans="1:25" ht="21" customHeight="1">
      <c r="A30" s="45"/>
      <c r="B30" s="46"/>
      <c r="C30" s="46" t="s">
        <v>191</v>
      </c>
      <c r="D30" s="37">
        <v>0</v>
      </c>
      <c r="E30" s="48">
        <f>ROUND(W30/1000,0)</f>
        <v>0</v>
      </c>
      <c r="F30" s="284">
        <f t="shared" si="13"/>
        <v>0</v>
      </c>
      <c r="G30" s="193">
        <v>1</v>
      </c>
      <c r="H30" s="147" t="s">
        <v>192</v>
      </c>
      <c r="I30" s="165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640" t="s">
        <v>68</v>
      </c>
      <c r="V30" s="640"/>
      <c r="W30" s="149">
        <f>SUM(W31:W31)</f>
        <v>0</v>
      </c>
      <c r="X30" s="150" t="s">
        <v>65</v>
      </c>
    </row>
    <row r="31" spans="1:25" ht="21.75" customHeight="1">
      <c r="A31" s="45"/>
      <c r="B31" s="46"/>
      <c r="C31" s="46"/>
      <c r="D31" s="48"/>
      <c r="E31" s="61"/>
      <c r="F31" s="49"/>
      <c r="G31" s="31"/>
      <c r="H31" s="67" t="s">
        <v>340</v>
      </c>
      <c r="I31" s="232"/>
      <c r="J31" s="231"/>
      <c r="K31" s="231"/>
      <c r="L31" s="231"/>
      <c r="M31" s="257"/>
      <c r="N31" s="74"/>
      <c r="O31" s="69"/>
      <c r="P31" s="74"/>
      <c r="Q31" s="79"/>
      <c r="R31" s="76"/>
      <c r="S31" s="76"/>
      <c r="T31" s="257"/>
      <c r="U31" s="231"/>
      <c r="V31" s="68"/>
      <c r="W31" s="136">
        <v>0</v>
      </c>
      <c r="X31" s="57" t="s">
        <v>65</v>
      </c>
    </row>
    <row r="32" spans="1:25" ht="18" customHeight="1">
      <c r="A32" s="45"/>
      <c r="B32" s="46"/>
      <c r="C32" s="46"/>
      <c r="D32" s="37">
        <v>600</v>
      </c>
      <c r="E32" s="48">
        <f>ROUND(W32/1000,0)</f>
        <v>600</v>
      </c>
      <c r="F32" s="38">
        <f t="shared" ref="F32" si="14">E32-D32</f>
        <v>0</v>
      </c>
      <c r="G32" s="39">
        <f t="shared" ref="G32" si="15">IF(D32=0,0,F32/D32)</f>
        <v>0</v>
      </c>
      <c r="H32" s="147" t="s">
        <v>192</v>
      </c>
      <c r="I32" s="165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640" t="s">
        <v>68</v>
      </c>
      <c r="V32" s="640"/>
      <c r="W32" s="149">
        <f>W33</f>
        <v>600000</v>
      </c>
      <c r="X32" s="150" t="s">
        <v>57</v>
      </c>
    </row>
    <row r="33" spans="1:26" ht="18" customHeight="1">
      <c r="A33" s="45"/>
      <c r="B33" s="46"/>
      <c r="C33" s="59"/>
      <c r="D33" s="61"/>
      <c r="E33" s="61"/>
      <c r="F33" s="62"/>
      <c r="G33" s="213"/>
      <c r="H33" s="67" t="s">
        <v>241</v>
      </c>
      <c r="I33" s="232"/>
      <c r="J33" s="231"/>
      <c r="K33" s="231"/>
      <c r="L33" s="231">
        <v>50000</v>
      </c>
      <c r="M33" s="257" t="s">
        <v>57</v>
      </c>
      <c r="N33" s="74" t="s">
        <v>58</v>
      </c>
      <c r="O33" s="69">
        <v>12</v>
      </c>
      <c r="P33" s="74" t="s">
        <v>0</v>
      </c>
      <c r="Q33" s="79"/>
      <c r="R33" s="76"/>
      <c r="S33" s="76"/>
      <c r="T33" s="257" t="s">
        <v>53</v>
      </c>
      <c r="U33" s="231"/>
      <c r="V33" s="68"/>
      <c r="W33" s="68">
        <f>L33*O33</f>
        <v>600000</v>
      </c>
      <c r="X33" s="57" t="s">
        <v>57</v>
      </c>
    </row>
    <row r="34" spans="1:26" ht="18" customHeight="1">
      <c r="A34" s="45"/>
      <c r="B34" s="46"/>
      <c r="C34" s="46" t="s">
        <v>193</v>
      </c>
      <c r="D34" s="226">
        <f>D35</f>
        <v>300</v>
      </c>
      <c r="E34" s="226">
        <f>E35</f>
        <v>300</v>
      </c>
      <c r="F34" s="227">
        <f t="shared" ref="F34:F35" si="16">E34-D34</f>
        <v>0</v>
      </c>
      <c r="G34" s="228">
        <f t="shared" ref="G34:G35" si="17">IF(D34=0,0,F34/D34)</f>
        <v>0</v>
      </c>
      <c r="H34" s="214" t="s">
        <v>194</v>
      </c>
      <c r="I34" s="215"/>
      <c r="J34" s="216"/>
      <c r="K34" s="216"/>
      <c r="L34" s="216"/>
      <c r="M34" s="216"/>
      <c r="N34" s="216"/>
      <c r="O34" s="217"/>
      <c r="P34" s="217"/>
      <c r="Q34" s="217"/>
      <c r="R34" s="217"/>
      <c r="S34" s="217"/>
      <c r="T34" s="217"/>
      <c r="U34" s="244" t="s">
        <v>68</v>
      </c>
      <c r="V34" s="245"/>
      <c r="W34" s="245">
        <f>W35</f>
        <v>300000</v>
      </c>
      <c r="X34" s="278" t="s">
        <v>57</v>
      </c>
    </row>
    <row r="35" spans="1:26" ht="25.5" customHeight="1">
      <c r="A35" s="45"/>
      <c r="B35" s="46"/>
      <c r="C35" s="46" t="s">
        <v>191</v>
      </c>
      <c r="D35" s="48">
        <v>300</v>
      </c>
      <c r="E35" s="48">
        <f>ROUND(W35/1000,0)</f>
        <v>300</v>
      </c>
      <c r="F35" s="284">
        <f t="shared" si="16"/>
        <v>0</v>
      </c>
      <c r="G35" s="193">
        <f t="shared" si="17"/>
        <v>0</v>
      </c>
      <c r="H35" s="147" t="s">
        <v>322</v>
      </c>
      <c r="I35" s="165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640" t="s">
        <v>68</v>
      </c>
      <c r="V35" s="640"/>
      <c r="W35" s="149">
        <f>SUM(W36:W36)</f>
        <v>300000</v>
      </c>
      <c r="X35" s="150" t="s">
        <v>65</v>
      </c>
    </row>
    <row r="36" spans="1:26" ht="21" customHeight="1">
      <c r="A36" s="45"/>
      <c r="B36" s="46"/>
      <c r="C36" s="46"/>
      <c r="D36" s="48"/>
      <c r="E36" s="48"/>
      <c r="F36" s="282"/>
      <c r="G36" s="283"/>
      <c r="H36" s="67" t="s">
        <v>72</v>
      </c>
      <c r="I36" s="383"/>
      <c r="J36" s="382"/>
      <c r="K36" s="382"/>
      <c r="L36" s="382"/>
      <c r="M36" s="522"/>
      <c r="N36" s="74"/>
      <c r="O36" s="69"/>
      <c r="P36" s="74"/>
      <c r="Q36" s="79"/>
      <c r="R36" s="76"/>
      <c r="S36" s="76"/>
      <c r="T36" s="522"/>
      <c r="U36" s="382"/>
      <c r="V36" s="68"/>
      <c r="W36" s="68">
        <v>300000</v>
      </c>
      <c r="X36" s="57" t="s">
        <v>65</v>
      </c>
    </row>
    <row r="37" spans="1:26" ht="21" customHeight="1">
      <c r="A37" s="58"/>
      <c r="B37" s="59"/>
      <c r="C37" s="59"/>
      <c r="D37" s="61"/>
      <c r="E37" s="61"/>
      <c r="F37" s="62"/>
      <c r="G37" s="213"/>
      <c r="H37" s="71"/>
      <c r="I37" s="234"/>
      <c r="J37" s="233"/>
      <c r="K37" s="233"/>
      <c r="L37" s="233"/>
      <c r="M37" s="211"/>
      <c r="N37" s="219"/>
      <c r="O37" s="220"/>
      <c r="P37" s="219"/>
      <c r="Q37" s="221"/>
      <c r="R37" s="222"/>
      <c r="S37" s="222"/>
      <c r="T37" s="211"/>
      <c r="U37" s="233"/>
      <c r="V37" s="72"/>
      <c r="W37" s="72"/>
      <c r="X37" s="73"/>
    </row>
    <row r="38" spans="1:26" ht="21" customHeight="1">
      <c r="A38" s="35" t="s">
        <v>195</v>
      </c>
      <c r="B38" s="36" t="s">
        <v>195</v>
      </c>
      <c r="C38" s="550" t="s">
        <v>244</v>
      </c>
      <c r="D38" s="259">
        <f>D39+D42</f>
        <v>0</v>
      </c>
      <c r="E38" s="259">
        <f>E39+E42</f>
        <v>0</v>
      </c>
      <c r="F38" s="260">
        <f t="shared" ref="F38:F40" si="18">E38-D38</f>
        <v>0</v>
      </c>
      <c r="G38" s="261">
        <f t="shared" ref="G38:G40" si="19">IF(D38=0,0,F38/D38)</f>
        <v>0</v>
      </c>
      <c r="H38" s="262" t="s">
        <v>246</v>
      </c>
      <c r="I38" s="263"/>
      <c r="J38" s="264"/>
      <c r="K38" s="264"/>
      <c r="L38" s="263"/>
      <c r="M38" s="263"/>
      <c r="N38" s="263"/>
      <c r="O38" s="263"/>
      <c r="P38" s="263" t="s">
        <v>66</v>
      </c>
      <c r="Q38" s="265"/>
      <c r="R38" s="265"/>
      <c r="S38" s="265"/>
      <c r="T38" s="265"/>
      <c r="U38" s="265"/>
      <c r="V38" s="265"/>
      <c r="W38" s="266">
        <f>W39+W42</f>
        <v>0</v>
      </c>
      <c r="X38" s="277" t="s">
        <v>25</v>
      </c>
    </row>
    <row r="39" spans="1:26" ht="21" customHeight="1">
      <c r="A39" s="45"/>
      <c r="B39" s="46"/>
      <c r="C39" s="36" t="s">
        <v>196</v>
      </c>
      <c r="D39" s="226">
        <f>D40</f>
        <v>0</v>
      </c>
      <c r="E39" s="226">
        <f>E40</f>
        <v>0</v>
      </c>
      <c r="F39" s="227">
        <f t="shared" si="18"/>
        <v>0</v>
      </c>
      <c r="G39" s="228">
        <f t="shared" si="19"/>
        <v>0</v>
      </c>
      <c r="H39" s="214" t="s">
        <v>198</v>
      </c>
      <c r="I39" s="215"/>
      <c r="J39" s="216"/>
      <c r="K39" s="216"/>
      <c r="L39" s="216"/>
      <c r="M39" s="216"/>
      <c r="N39" s="216"/>
      <c r="O39" s="217"/>
      <c r="P39" s="217"/>
      <c r="Q39" s="217"/>
      <c r="R39" s="217"/>
      <c r="S39" s="217"/>
      <c r="T39" s="217"/>
      <c r="U39" s="244" t="s">
        <v>68</v>
      </c>
      <c r="V39" s="245"/>
      <c r="W39" s="246">
        <f>W40</f>
        <v>0</v>
      </c>
      <c r="X39" s="278" t="s">
        <v>57</v>
      </c>
    </row>
    <row r="40" spans="1:26" ht="21" customHeight="1">
      <c r="A40" s="45"/>
      <c r="B40" s="46"/>
      <c r="C40" s="46" t="s">
        <v>197</v>
      </c>
      <c r="D40" s="37">
        <v>0</v>
      </c>
      <c r="E40" s="48">
        <f>ROUND(W40/1000,0)</f>
        <v>0</v>
      </c>
      <c r="F40" s="38">
        <f t="shared" si="18"/>
        <v>0</v>
      </c>
      <c r="G40" s="39">
        <f t="shared" si="19"/>
        <v>0</v>
      </c>
      <c r="H40" s="147" t="s">
        <v>198</v>
      </c>
      <c r="I40" s="165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640" t="s">
        <v>68</v>
      </c>
      <c r="V40" s="640"/>
      <c r="W40" s="149">
        <f>W41</f>
        <v>0</v>
      </c>
      <c r="X40" s="150" t="s">
        <v>57</v>
      </c>
    </row>
    <row r="41" spans="1:26" ht="21" customHeight="1">
      <c r="A41" s="45"/>
      <c r="B41" s="46"/>
      <c r="C41" s="46" t="s">
        <v>195</v>
      </c>
      <c r="D41" s="48"/>
      <c r="E41" s="48"/>
      <c r="F41" s="49"/>
      <c r="G41" s="31"/>
      <c r="H41" s="67" t="s">
        <v>199</v>
      </c>
      <c r="I41" s="232"/>
      <c r="J41" s="231"/>
      <c r="K41" s="231"/>
      <c r="L41" s="231"/>
      <c r="M41" s="257"/>
      <c r="N41" s="74"/>
      <c r="O41" s="69"/>
      <c r="P41" s="74"/>
      <c r="Q41" s="79"/>
      <c r="R41" s="76"/>
      <c r="S41" s="76"/>
      <c r="T41" s="257"/>
      <c r="U41" s="231"/>
      <c r="V41" s="68"/>
      <c r="W41" s="68">
        <v>0</v>
      </c>
      <c r="X41" s="57" t="s">
        <v>57</v>
      </c>
    </row>
    <row r="42" spans="1:26" ht="21" customHeight="1">
      <c r="A42" s="45"/>
      <c r="B42" s="46"/>
      <c r="C42" s="36" t="s">
        <v>189</v>
      </c>
      <c r="D42" s="226">
        <f>D43</f>
        <v>0</v>
      </c>
      <c r="E42" s="226">
        <f>E43</f>
        <v>0</v>
      </c>
      <c r="F42" s="227">
        <f t="shared" ref="F42:F43" si="20">E42-D42</f>
        <v>0</v>
      </c>
      <c r="G42" s="228">
        <f t="shared" ref="G42:G43" si="21">IF(D42=0,0,F42/D42)</f>
        <v>0</v>
      </c>
      <c r="H42" s="214" t="s">
        <v>200</v>
      </c>
      <c r="I42" s="215"/>
      <c r="J42" s="216"/>
      <c r="K42" s="216"/>
      <c r="L42" s="216"/>
      <c r="M42" s="216"/>
      <c r="N42" s="216"/>
      <c r="O42" s="217"/>
      <c r="P42" s="217"/>
      <c r="Q42" s="217"/>
      <c r="R42" s="217"/>
      <c r="S42" s="217"/>
      <c r="T42" s="217"/>
      <c r="U42" s="244" t="s">
        <v>68</v>
      </c>
      <c r="V42" s="245"/>
      <c r="W42" s="245">
        <f>W43</f>
        <v>0</v>
      </c>
      <c r="X42" s="278" t="s">
        <v>57</v>
      </c>
    </row>
    <row r="43" spans="1:26" ht="21" customHeight="1">
      <c r="A43" s="45"/>
      <c r="B43" s="46"/>
      <c r="C43" s="46" t="s">
        <v>195</v>
      </c>
      <c r="D43" s="48">
        <v>0</v>
      </c>
      <c r="E43" s="48">
        <f>ROUND(W43/1000,0)</f>
        <v>0</v>
      </c>
      <c r="F43" s="38">
        <f t="shared" si="20"/>
        <v>0</v>
      </c>
      <c r="G43" s="39">
        <f t="shared" si="21"/>
        <v>0</v>
      </c>
      <c r="H43" s="67" t="s">
        <v>201</v>
      </c>
      <c r="I43" s="232"/>
      <c r="J43" s="231"/>
      <c r="K43" s="231"/>
      <c r="L43" s="231"/>
      <c r="M43" s="257"/>
      <c r="N43" s="74"/>
      <c r="O43" s="69"/>
      <c r="P43" s="74"/>
      <c r="Q43" s="79"/>
      <c r="R43" s="76"/>
      <c r="S43" s="76"/>
      <c r="T43" s="257"/>
      <c r="U43" s="231"/>
      <c r="V43" s="68"/>
      <c r="W43" s="68">
        <v>0</v>
      </c>
      <c r="X43" s="57" t="s">
        <v>57</v>
      </c>
    </row>
    <row r="44" spans="1:26" ht="21" customHeight="1">
      <c r="A44" s="58"/>
      <c r="B44" s="59"/>
      <c r="C44" s="59"/>
      <c r="D44" s="61"/>
      <c r="E44" s="61"/>
      <c r="F44" s="62"/>
      <c r="G44" s="213"/>
      <c r="H44" s="71"/>
      <c r="I44" s="234"/>
      <c r="J44" s="233"/>
      <c r="K44" s="233"/>
      <c r="L44" s="233"/>
      <c r="M44" s="211"/>
      <c r="N44" s="219"/>
      <c r="O44" s="220"/>
      <c r="P44" s="219"/>
      <c r="Q44" s="221"/>
      <c r="R44" s="222"/>
      <c r="S44" s="222"/>
      <c r="T44" s="211"/>
      <c r="U44" s="233"/>
      <c r="V44" s="72"/>
      <c r="W44" s="72"/>
      <c r="X44" s="73"/>
    </row>
    <row r="45" spans="1:26" ht="21" customHeight="1">
      <c r="A45" s="35" t="s">
        <v>73</v>
      </c>
      <c r="B45" s="36" t="s">
        <v>13</v>
      </c>
      <c r="C45" s="550" t="s">
        <v>244</v>
      </c>
      <c r="D45" s="259">
        <f>SUM(D46,D49)</f>
        <v>0</v>
      </c>
      <c r="E45" s="259">
        <f>SUM(E46,E49)</f>
        <v>0</v>
      </c>
      <c r="F45" s="260">
        <f t="shared" ref="F45:F47" si="22">E45-D45</f>
        <v>0</v>
      </c>
      <c r="G45" s="261">
        <f t="shared" ref="G45:G47" si="23">IF(D45=0,0,F45/D45)</f>
        <v>0</v>
      </c>
      <c r="H45" s="262" t="s">
        <v>247</v>
      </c>
      <c r="I45" s="263"/>
      <c r="J45" s="264"/>
      <c r="K45" s="264"/>
      <c r="L45" s="263"/>
      <c r="M45" s="263"/>
      <c r="N45" s="263"/>
      <c r="O45" s="263"/>
      <c r="P45" s="263" t="s">
        <v>66</v>
      </c>
      <c r="Q45" s="265"/>
      <c r="R45" s="265"/>
      <c r="S45" s="265"/>
      <c r="T45" s="265"/>
      <c r="U45" s="265"/>
      <c r="V45" s="265"/>
      <c r="W45" s="266">
        <f>W47+W49</f>
        <v>0</v>
      </c>
      <c r="X45" s="277" t="s">
        <v>25</v>
      </c>
    </row>
    <row r="46" spans="1:26" ht="21" customHeight="1">
      <c r="A46" s="45"/>
      <c r="B46" s="46"/>
      <c r="C46" s="36" t="s">
        <v>202</v>
      </c>
      <c r="D46" s="226">
        <f>D47</f>
        <v>0</v>
      </c>
      <c r="E46" s="226">
        <f>E47</f>
        <v>0</v>
      </c>
      <c r="F46" s="227">
        <f t="shared" si="22"/>
        <v>0</v>
      </c>
      <c r="G46" s="228">
        <f t="shared" si="23"/>
        <v>0</v>
      </c>
      <c r="H46" s="214" t="s">
        <v>251</v>
      </c>
      <c r="I46" s="215"/>
      <c r="J46" s="216"/>
      <c r="K46" s="216"/>
      <c r="L46" s="216"/>
      <c r="M46" s="216"/>
      <c r="N46" s="216"/>
      <c r="O46" s="217"/>
      <c r="P46" s="217"/>
      <c r="Q46" s="217"/>
      <c r="R46" s="217"/>
      <c r="S46" s="217"/>
      <c r="T46" s="217"/>
      <c r="U46" s="244" t="s">
        <v>240</v>
      </c>
      <c r="V46" s="245"/>
      <c r="W46" s="246">
        <f>SUM(W47:W47)</f>
        <v>0</v>
      </c>
      <c r="X46" s="278" t="s">
        <v>239</v>
      </c>
      <c r="Y46" s="23"/>
      <c r="Z46" s="24"/>
    </row>
    <row r="47" spans="1:26" ht="21" customHeight="1">
      <c r="A47" s="45"/>
      <c r="B47" s="46"/>
      <c r="C47" s="46" t="s">
        <v>203</v>
      </c>
      <c r="D47" s="37">
        <v>0</v>
      </c>
      <c r="E47" s="48">
        <f>ROUND(W47/1000,0)</f>
        <v>0</v>
      </c>
      <c r="F47" s="38">
        <f t="shared" si="22"/>
        <v>0</v>
      </c>
      <c r="G47" s="39">
        <f t="shared" si="23"/>
        <v>0</v>
      </c>
      <c r="H47" s="147" t="s">
        <v>206</v>
      </c>
      <c r="I47" s="165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640" t="s">
        <v>68</v>
      </c>
      <c r="V47" s="640"/>
      <c r="W47" s="149">
        <v>0</v>
      </c>
      <c r="X47" s="150" t="s">
        <v>57</v>
      </c>
      <c r="Y47" s="23"/>
      <c r="Z47" s="24"/>
    </row>
    <row r="48" spans="1:26" ht="21" customHeight="1">
      <c r="A48" s="45"/>
      <c r="B48" s="46"/>
      <c r="C48" s="46"/>
      <c r="D48" s="48"/>
      <c r="E48" s="48"/>
      <c r="F48" s="49"/>
      <c r="G48" s="31"/>
      <c r="H48" s="67" t="s">
        <v>232</v>
      </c>
      <c r="I48" s="232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57"/>
      <c r="V48" s="257"/>
      <c r="W48" s="68"/>
      <c r="X48" s="57" t="s">
        <v>233</v>
      </c>
      <c r="Y48" s="23"/>
      <c r="Z48" s="24"/>
    </row>
    <row r="49" spans="1:26" ht="21" customHeight="1">
      <c r="A49" s="45"/>
      <c r="B49" s="46"/>
      <c r="C49" s="36" t="s">
        <v>204</v>
      </c>
      <c r="D49" s="226">
        <f>D50</f>
        <v>0</v>
      </c>
      <c r="E49" s="226">
        <f>E50</f>
        <v>0</v>
      </c>
      <c r="F49" s="227">
        <f t="shared" ref="F49:F50" si="24">E49-D49</f>
        <v>0</v>
      </c>
      <c r="G49" s="228">
        <f t="shared" ref="G49:G50" si="25">IF(D49=0,0,F49/D49)</f>
        <v>0</v>
      </c>
      <c r="H49" s="214" t="s">
        <v>252</v>
      </c>
      <c r="I49" s="215"/>
      <c r="J49" s="216"/>
      <c r="K49" s="216"/>
      <c r="L49" s="216"/>
      <c r="M49" s="216"/>
      <c r="N49" s="216"/>
      <c r="O49" s="217"/>
      <c r="P49" s="217"/>
      <c r="Q49" s="217"/>
      <c r="R49" s="217"/>
      <c r="S49" s="217"/>
      <c r="T49" s="217"/>
      <c r="U49" s="244" t="s">
        <v>240</v>
      </c>
      <c r="V49" s="245"/>
      <c r="W49" s="245">
        <f>SUM(W50:W50)</f>
        <v>0</v>
      </c>
      <c r="X49" s="278" t="s">
        <v>239</v>
      </c>
      <c r="Y49" s="23"/>
      <c r="Z49" s="24"/>
    </row>
    <row r="50" spans="1:26" ht="21" customHeight="1">
      <c r="A50" s="45"/>
      <c r="B50" s="46"/>
      <c r="C50" s="46" t="s">
        <v>203</v>
      </c>
      <c r="D50" s="48">
        <v>0</v>
      </c>
      <c r="E50" s="48">
        <f>ROUND(W50/1000,0)</f>
        <v>0</v>
      </c>
      <c r="F50" s="38">
        <f t="shared" si="24"/>
        <v>0</v>
      </c>
      <c r="G50" s="39">
        <f t="shared" si="25"/>
        <v>0</v>
      </c>
      <c r="H50" s="147" t="s">
        <v>207</v>
      </c>
      <c r="I50" s="151"/>
      <c r="J50" s="231"/>
      <c r="K50" s="231"/>
      <c r="L50" s="231"/>
      <c r="M50" s="257"/>
      <c r="N50" s="74"/>
      <c r="O50" s="69"/>
      <c r="P50" s="74"/>
      <c r="Q50" s="79"/>
      <c r="R50" s="76"/>
      <c r="S50" s="76"/>
      <c r="T50" s="257"/>
      <c r="U50" s="640" t="s">
        <v>68</v>
      </c>
      <c r="V50" s="640"/>
      <c r="W50" s="149">
        <v>0</v>
      </c>
      <c r="X50" s="150" t="s">
        <v>57</v>
      </c>
      <c r="Y50" s="23"/>
      <c r="Z50" s="24"/>
    </row>
    <row r="51" spans="1:26" ht="21" customHeight="1">
      <c r="A51" s="45"/>
      <c r="B51" s="46"/>
      <c r="C51" s="46" t="s">
        <v>341</v>
      </c>
      <c r="D51" s="48"/>
      <c r="E51" s="48"/>
      <c r="F51" s="49"/>
      <c r="G51" s="31"/>
      <c r="H51" s="71"/>
      <c r="I51" s="456"/>
      <c r="J51" s="382"/>
      <c r="K51" s="382"/>
      <c r="L51" s="382"/>
      <c r="M51" s="549"/>
      <c r="N51" s="74"/>
      <c r="O51" s="69"/>
      <c r="P51" s="74"/>
      <c r="Q51" s="79"/>
      <c r="R51" s="76"/>
      <c r="S51" s="76"/>
      <c r="T51" s="549"/>
      <c r="U51" s="211"/>
      <c r="V51" s="211"/>
      <c r="W51" s="72"/>
      <c r="X51" s="73"/>
      <c r="Y51" s="23"/>
      <c r="Z51" s="24"/>
    </row>
    <row r="52" spans="1:26" ht="21" customHeight="1">
      <c r="A52" s="58"/>
      <c r="B52" s="59"/>
      <c r="C52" s="59"/>
      <c r="D52" s="61"/>
      <c r="E52" s="61"/>
      <c r="F52" s="62"/>
      <c r="G52" s="213"/>
      <c r="H52" s="71"/>
      <c r="I52" s="234"/>
      <c r="J52" s="233"/>
      <c r="K52" s="233"/>
      <c r="L52" s="233"/>
      <c r="M52" s="211"/>
      <c r="N52" s="219"/>
      <c r="O52" s="220"/>
      <c r="P52" s="219"/>
      <c r="Q52" s="221"/>
      <c r="R52" s="222"/>
      <c r="S52" s="222"/>
      <c r="T52" s="211"/>
      <c r="U52" s="233"/>
      <c r="V52" s="72"/>
      <c r="W52" s="72"/>
      <c r="X52" s="73"/>
    </row>
    <row r="53" spans="1:26" ht="21" customHeight="1">
      <c r="A53" s="35" t="s">
        <v>14</v>
      </c>
      <c r="B53" s="36" t="s">
        <v>14</v>
      </c>
      <c r="C53" s="550" t="s">
        <v>244</v>
      </c>
      <c r="D53" s="259">
        <f>SUM(D54,D69,D74)</f>
        <v>4800</v>
      </c>
      <c r="E53" s="259">
        <f>SUM(E54,E69,E74)</f>
        <v>6267</v>
      </c>
      <c r="F53" s="260">
        <f t="shared" ref="F53:F55" si="26">E53-D53</f>
        <v>1467</v>
      </c>
      <c r="G53" s="261">
        <f t="shared" ref="G53:G55" si="27">IF(D53=0,0,F53/D53)</f>
        <v>0.30562499999999998</v>
      </c>
      <c r="H53" s="262" t="s">
        <v>248</v>
      </c>
      <c r="I53" s="263"/>
      <c r="J53" s="264"/>
      <c r="K53" s="264"/>
      <c r="L53" s="263"/>
      <c r="M53" s="263"/>
      <c r="N53" s="263"/>
      <c r="O53" s="263"/>
      <c r="P53" s="263" t="s">
        <v>66</v>
      </c>
      <c r="Q53" s="265"/>
      <c r="R53" s="265"/>
      <c r="S53" s="265"/>
      <c r="T53" s="265"/>
      <c r="U53" s="265"/>
      <c r="V53" s="265"/>
      <c r="W53" s="266">
        <f>SUM(W54,W69,W74)</f>
        <v>6267000</v>
      </c>
      <c r="X53" s="277" t="s">
        <v>25</v>
      </c>
    </row>
    <row r="54" spans="1:26" ht="21" customHeight="1">
      <c r="A54" s="45"/>
      <c r="B54" s="46"/>
      <c r="C54" s="36" t="s">
        <v>208</v>
      </c>
      <c r="D54" s="226">
        <f>SUM(D55,D58,D61,D65)</f>
        <v>3900</v>
      </c>
      <c r="E54" s="226">
        <f>SUM(E55,E58,E61,E65)</f>
        <v>5213</v>
      </c>
      <c r="F54" s="227">
        <f t="shared" si="26"/>
        <v>1313</v>
      </c>
      <c r="G54" s="228">
        <f t="shared" si="27"/>
        <v>0.33666666666666667</v>
      </c>
      <c r="H54" s="214" t="s">
        <v>253</v>
      </c>
      <c r="I54" s="215"/>
      <c r="J54" s="216"/>
      <c r="K54" s="216"/>
      <c r="L54" s="216"/>
      <c r="M54" s="216"/>
      <c r="N54" s="216"/>
      <c r="O54" s="217"/>
      <c r="P54" s="217"/>
      <c r="Q54" s="217"/>
      <c r="R54" s="217"/>
      <c r="S54" s="217"/>
      <c r="T54" s="217"/>
      <c r="U54" s="244" t="s">
        <v>240</v>
      </c>
      <c r="V54" s="245"/>
      <c r="W54" s="246">
        <f>SUM(W55,W58,W61,W65)</f>
        <v>5213000</v>
      </c>
      <c r="X54" s="278" t="s">
        <v>239</v>
      </c>
    </row>
    <row r="55" spans="1:26" ht="21" customHeight="1">
      <c r="A55" s="45"/>
      <c r="B55" s="46"/>
      <c r="C55" s="46" t="s">
        <v>209</v>
      </c>
      <c r="D55" s="37">
        <v>3500</v>
      </c>
      <c r="E55" s="48">
        <f>ROUND(W55/1000,0)</f>
        <v>4728</v>
      </c>
      <c r="F55" s="38">
        <f t="shared" si="26"/>
        <v>1228</v>
      </c>
      <c r="G55" s="39">
        <f t="shared" si="27"/>
        <v>0.35085714285714287</v>
      </c>
      <c r="H55" s="147" t="s">
        <v>234</v>
      </c>
      <c r="I55" s="165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640" t="s">
        <v>68</v>
      </c>
      <c r="V55" s="640"/>
      <c r="W55" s="149">
        <f>ROUNDUP(SUM(V56:W57),-3)</f>
        <v>4728000</v>
      </c>
      <c r="X55" s="150" t="s">
        <v>57</v>
      </c>
    </row>
    <row r="56" spans="1:26" ht="21" customHeight="1">
      <c r="A56" s="45"/>
      <c r="B56" s="46"/>
      <c r="C56" s="46"/>
      <c r="D56" s="48"/>
      <c r="E56" s="48"/>
      <c r="F56" s="49"/>
      <c r="G56" s="31"/>
      <c r="H56" s="372" t="s">
        <v>262</v>
      </c>
      <c r="I56" s="232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57"/>
      <c r="V56" s="257"/>
      <c r="W56" s="68">
        <v>4727540</v>
      </c>
      <c r="X56" s="57" t="s">
        <v>233</v>
      </c>
    </row>
    <row r="57" spans="1:26" ht="21" customHeight="1">
      <c r="A57" s="45"/>
      <c r="B57" s="46"/>
      <c r="C57" s="46"/>
      <c r="D57" s="61"/>
      <c r="E57" s="61"/>
      <c r="F57" s="62"/>
      <c r="G57" s="213"/>
      <c r="H57" s="373" t="s">
        <v>263</v>
      </c>
      <c r="I57" s="234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11"/>
      <c r="V57" s="211"/>
      <c r="W57" s="72">
        <v>0</v>
      </c>
      <c r="X57" s="73" t="s">
        <v>233</v>
      </c>
    </row>
    <row r="58" spans="1:26" ht="21" customHeight="1">
      <c r="A58" s="45"/>
      <c r="B58" s="46"/>
      <c r="C58" s="46"/>
      <c r="D58" s="37">
        <v>0</v>
      </c>
      <c r="E58" s="48">
        <f>ROUND(W58/1000,0)</f>
        <v>0</v>
      </c>
      <c r="F58" s="38">
        <f t="shared" ref="F58" si="28">E58-D58</f>
        <v>0</v>
      </c>
      <c r="G58" s="39">
        <f t="shared" ref="G58" si="29">IF(D58=0,0,F58/D58)</f>
        <v>0</v>
      </c>
      <c r="H58" s="147" t="s">
        <v>235</v>
      </c>
      <c r="I58" s="165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640" t="s">
        <v>68</v>
      </c>
      <c r="V58" s="640"/>
      <c r="W58" s="149">
        <f>ROUND(SUM(V59:W59),-3)</f>
        <v>0</v>
      </c>
      <c r="X58" s="150" t="s">
        <v>57</v>
      </c>
    </row>
    <row r="59" spans="1:26" ht="21" customHeight="1">
      <c r="A59" s="45"/>
      <c r="B59" s="46"/>
      <c r="C59" s="46"/>
      <c r="D59" s="48"/>
      <c r="E59" s="48"/>
      <c r="F59" s="49"/>
      <c r="G59" s="31"/>
      <c r="H59" s="372" t="s">
        <v>264</v>
      </c>
      <c r="I59" s="232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57"/>
      <c r="V59" s="257"/>
      <c r="W59" s="68">
        <v>1</v>
      </c>
      <c r="X59" s="57" t="s">
        <v>233</v>
      </c>
    </row>
    <row r="60" spans="1:26" ht="21" customHeight="1">
      <c r="A60" s="45"/>
      <c r="B60" s="46"/>
      <c r="C60" s="46"/>
      <c r="D60" s="61"/>
      <c r="E60" s="61"/>
      <c r="F60" s="62"/>
      <c r="G60" s="213"/>
      <c r="H60" s="71"/>
      <c r="I60" s="234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11"/>
      <c r="V60" s="211"/>
      <c r="W60" s="72"/>
      <c r="X60" s="73"/>
    </row>
    <row r="61" spans="1:26" ht="21" customHeight="1">
      <c r="A61" s="45"/>
      <c r="B61" s="46"/>
      <c r="C61" s="46"/>
      <c r="D61" s="37">
        <v>400</v>
      </c>
      <c r="E61" s="37">
        <f>ROUND(W61/1000,0)</f>
        <v>485</v>
      </c>
      <c r="F61" s="38">
        <f t="shared" ref="F61" si="30">E61-D61</f>
        <v>85</v>
      </c>
      <c r="G61" s="39">
        <f t="shared" ref="G61" si="31">IF(D61=0,0,F61/D61)</f>
        <v>0.21249999999999999</v>
      </c>
      <c r="H61" s="147" t="s">
        <v>236</v>
      </c>
      <c r="I61" s="165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640" t="s">
        <v>68</v>
      </c>
      <c r="V61" s="640"/>
      <c r="W61" s="149">
        <f>ROUNDUP(SUM(V62:W63),-3)</f>
        <v>485000</v>
      </c>
      <c r="X61" s="150" t="s">
        <v>57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2" t="s">
        <v>265</v>
      </c>
      <c r="I62" s="232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57"/>
      <c r="V62" s="257"/>
      <c r="W62" s="68">
        <v>484809</v>
      </c>
      <c r="X62" s="57" t="s">
        <v>233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2" t="s">
        <v>266</v>
      </c>
      <c r="I63" s="232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57"/>
      <c r="V63" s="257"/>
      <c r="W63" s="68">
        <v>0</v>
      </c>
      <c r="X63" s="57" t="s">
        <v>233</v>
      </c>
    </row>
    <row r="64" spans="1:26" ht="21" customHeight="1">
      <c r="A64" s="45"/>
      <c r="B64" s="46"/>
      <c r="C64" s="46"/>
      <c r="D64" s="61"/>
      <c r="E64" s="61"/>
      <c r="F64" s="62"/>
      <c r="G64" s="213"/>
      <c r="H64" s="71"/>
      <c r="I64" s="234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11"/>
      <c r="V64" s="211"/>
      <c r="W64" s="72"/>
      <c r="X64" s="73"/>
    </row>
    <row r="65" spans="1:46" ht="21" customHeight="1">
      <c r="A65" s="45"/>
      <c r="B65" s="46"/>
      <c r="C65" s="46"/>
      <c r="D65" s="48">
        <v>0</v>
      </c>
      <c r="E65" s="37">
        <f>ROUND(W65/1000,0)</f>
        <v>0</v>
      </c>
      <c r="F65" s="38">
        <f t="shared" ref="F65" si="32">E65-D65</f>
        <v>0</v>
      </c>
      <c r="G65" s="39">
        <f t="shared" ref="G65" si="33">IF(D65=0,0,F65/D65)</f>
        <v>0</v>
      </c>
      <c r="H65" s="147" t="s">
        <v>237</v>
      </c>
      <c r="I65" s="165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640" t="s">
        <v>68</v>
      </c>
      <c r="V65" s="640"/>
      <c r="W65" s="149">
        <f>ROUND(SUM(V66:W67),-3)</f>
        <v>0</v>
      </c>
      <c r="X65" s="150" t="s">
        <v>57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2" t="s">
        <v>267</v>
      </c>
      <c r="I66" s="232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57"/>
      <c r="V66" s="257"/>
      <c r="W66" s="68">
        <v>0</v>
      </c>
      <c r="X66" s="57" t="s">
        <v>233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2" t="s">
        <v>268</v>
      </c>
      <c r="I67" s="232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57"/>
      <c r="V67" s="257"/>
      <c r="W67" s="68">
        <v>0</v>
      </c>
      <c r="X67" s="57" t="s">
        <v>233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67"/>
      <c r="I68" s="232"/>
      <c r="J68" s="231"/>
      <c r="K68" s="231"/>
      <c r="L68" s="231"/>
      <c r="M68" s="257"/>
      <c r="N68" s="74"/>
      <c r="O68" s="69"/>
      <c r="P68" s="74"/>
      <c r="Q68" s="79"/>
      <c r="R68" s="76"/>
      <c r="S68" s="76"/>
      <c r="T68" s="257"/>
      <c r="U68" s="231"/>
      <c r="V68" s="68"/>
      <c r="W68" s="68"/>
      <c r="X68" s="57"/>
    </row>
    <row r="69" spans="1:46" ht="21" customHeight="1">
      <c r="A69" s="45"/>
      <c r="B69" s="46"/>
      <c r="C69" s="36" t="s">
        <v>208</v>
      </c>
      <c r="D69" s="226">
        <f>D70</f>
        <v>900</v>
      </c>
      <c r="E69" s="226">
        <f>E70</f>
        <v>1054</v>
      </c>
      <c r="F69" s="227">
        <f t="shared" ref="F69:F70" si="34">E69-D69</f>
        <v>154</v>
      </c>
      <c r="G69" s="228">
        <f t="shared" ref="G69:G70" si="35">IF(D69=0,0,F69/D69)</f>
        <v>0.1711111111111111</v>
      </c>
      <c r="H69" s="214" t="s">
        <v>210</v>
      </c>
      <c r="I69" s="215"/>
      <c r="J69" s="216"/>
      <c r="K69" s="216"/>
      <c r="L69" s="216"/>
      <c r="M69" s="216"/>
      <c r="N69" s="216"/>
      <c r="O69" s="217"/>
      <c r="P69" s="217"/>
      <c r="Q69" s="217"/>
      <c r="R69" s="217"/>
      <c r="S69" s="217"/>
      <c r="T69" s="217"/>
      <c r="U69" s="244" t="s">
        <v>68</v>
      </c>
      <c r="V69" s="245"/>
      <c r="W69" s="245">
        <f>W70</f>
        <v>1054000</v>
      </c>
      <c r="X69" s="278" t="s">
        <v>57</v>
      </c>
    </row>
    <row r="70" spans="1:46" ht="21" customHeight="1">
      <c r="A70" s="45"/>
      <c r="B70" s="46"/>
      <c r="C70" s="46" t="s">
        <v>209</v>
      </c>
      <c r="D70" s="48">
        <v>900</v>
      </c>
      <c r="E70" s="48">
        <f>ROUND(W70/1000,0)</f>
        <v>1054</v>
      </c>
      <c r="F70" s="38">
        <f t="shared" si="34"/>
        <v>154</v>
      </c>
      <c r="G70" s="39">
        <f t="shared" si="35"/>
        <v>0.1711111111111111</v>
      </c>
      <c r="H70" s="374" t="s">
        <v>269</v>
      </c>
      <c r="I70" s="165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640"/>
      <c r="V70" s="640"/>
      <c r="W70" s="149">
        <f>ROUNDUP(SUM(V71:W72),-3)</f>
        <v>1054000</v>
      </c>
      <c r="X70" s="150" t="s">
        <v>57</v>
      </c>
    </row>
    <row r="71" spans="1:46" ht="21" customHeight="1">
      <c r="A71" s="45"/>
      <c r="B71" s="46"/>
      <c r="C71" s="46" t="s">
        <v>205</v>
      </c>
      <c r="D71" s="48"/>
      <c r="E71" s="48"/>
      <c r="F71" s="49"/>
      <c r="G71" s="70"/>
      <c r="H71" s="372" t="s">
        <v>270</v>
      </c>
      <c r="I71" s="232"/>
      <c r="J71" s="231"/>
      <c r="K71" s="231"/>
      <c r="L71" s="231"/>
      <c r="M71" s="231"/>
      <c r="N71" s="231"/>
      <c r="O71" s="231"/>
      <c r="P71" s="54"/>
      <c r="Q71" s="54"/>
      <c r="R71" s="54"/>
      <c r="S71" s="231"/>
      <c r="T71" s="231"/>
      <c r="U71" s="231"/>
      <c r="V71" s="68"/>
      <c r="W71" s="68">
        <v>1053120</v>
      </c>
      <c r="X71" s="57" t="s">
        <v>134</v>
      </c>
    </row>
    <row r="72" spans="1:46" ht="21" customHeight="1">
      <c r="A72" s="45"/>
      <c r="B72" s="46"/>
      <c r="C72" s="46"/>
      <c r="D72" s="48"/>
      <c r="E72" s="48"/>
      <c r="F72" s="49"/>
      <c r="G72" s="70"/>
      <c r="H72" s="372" t="s">
        <v>525</v>
      </c>
      <c r="I72" s="383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592"/>
      <c r="V72" s="592"/>
      <c r="W72" s="68">
        <v>0</v>
      </c>
      <c r="X72" s="57" t="s">
        <v>57</v>
      </c>
    </row>
    <row r="73" spans="1:46" ht="21" customHeight="1">
      <c r="A73" s="45"/>
      <c r="B73" s="46"/>
      <c r="C73" s="46"/>
      <c r="D73" s="48"/>
      <c r="E73" s="48"/>
      <c r="F73" s="49"/>
      <c r="G73" s="70"/>
      <c r="H73" s="67"/>
      <c r="I73" s="232"/>
      <c r="J73" s="231"/>
      <c r="K73" s="231"/>
      <c r="L73" s="231"/>
      <c r="M73" s="231"/>
      <c r="N73" s="231"/>
      <c r="O73" s="231"/>
      <c r="P73" s="54"/>
      <c r="Q73" s="54"/>
      <c r="R73" s="54"/>
      <c r="S73" s="231"/>
      <c r="T73" s="231"/>
      <c r="U73" s="231"/>
      <c r="V73" s="68"/>
      <c r="W73" s="68"/>
      <c r="X73" s="57"/>
    </row>
    <row r="74" spans="1:46" ht="21" customHeight="1">
      <c r="A74" s="45"/>
      <c r="B74" s="46"/>
      <c r="C74" s="36" t="s">
        <v>211</v>
      </c>
      <c r="D74" s="226">
        <f>D75</f>
        <v>0</v>
      </c>
      <c r="E74" s="226">
        <f>E75</f>
        <v>0</v>
      </c>
      <c r="F74" s="227">
        <f t="shared" ref="F74:F75" si="36">E74-D74</f>
        <v>0</v>
      </c>
      <c r="G74" s="228">
        <f t="shared" ref="G74:G75" si="37">IF(D74=0,0,F74/D74)</f>
        <v>0</v>
      </c>
      <c r="H74" s="214" t="s">
        <v>213</v>
      </c>
      <c r="I74" s="215"/>
      <c r="J74" s="216"/>
      <c r="K74" s="216"/>
      <c r="L74" s="216"/>
      <c r="M74" s="216"/>
      <c r="N74" s="216"/>
      <c r="O74" s="217"/>
      <c r="P74" s="217"/>
      <c r="Q74" s="217"/>
      <c r="R74" s="217"/>
      <c r="S74" s="217"/>
      <c r="T74" s="217"/>
      <c r="U74" s="244" t="s">
        <v>68</v>
      </c>
      <c r="V74" s="245"/>
      <c r="W74" s="245">
        <f>ROUND(SUM(V75:W76),-3)</f>
        <v>0</v>
      </c>
      <c r="X74" s="278" t="s">
        <v>57</v>
      </c>
    </row>
    <row r="75" spans="1:46" ht="21" customHeight="1">
      <c r="A75" s="45"/>
      <c r="B75" s="46"/>
      <c r="C75" s="46" t="s">
        <v>212</v>
      </c>
      <c r="D75" s="48">
        <v>0</v>
      </c>
      <c r="E75" s="48">
        <f>ROUND(W75/1000,0)</f>
        <v>0</v>
      </c>
      <c r="F75" s="38">
        <f t="shared" si="36"/>
        <v>0</v>
      </c>
      <c r="G75" s="39">
        <f t="shared" si="37"/>
        <v>0</v>
      </c>
      <c r="H75" s="67"/>
      <c r="I75" s="232"/>
      <c r="J75" s="231"/>
      <c r="K75" s="231"/>
      <c r="L75" s="231"/>
      <c r="M75" s="257"/>
      <c r="N75" s="74"/>
      <c r="O75" s="69"/>
      <c r="P75" s="74"/>
      <c r="Q75" s="79"/>
      <c r="R75" s="76"/>
      <c r="S75" s="76"/>
      <c r="T75" s="257"/>
      <c r="U75" s="231"/>
      <c r="V75" s="68"/>
      <c r="W75" s="68">
        <f>L75*O75</f>
        <v>0</v>
      </c>
      <c r="X75" s="57" t="s">
        <v>57</v>
      </c>
    </row>
    <row r="76" spans="1:46" ht="21" customHeight="1">
      <c r="A76" s="58"/>
      <c r="B76" s="59"/>
      <c r="C76" s="59"/>
      <c r="D76" s="61"/>
      <c r="E76" s="61"/>
      <c r="F76" s="62"/>
      <c r="G76" s="84"/>
      <c r="H76" s="71"/>
      <c r="I76" s="234"/>
      <c r="J76" s="233"/>
      <c r="K76" s="233"/>
      <c r="L76" s="233"/>
      <c r="M76" s="233"/>
      <c r="N76" s="233"/>
      <c r="O76" s="233"/>
      <c r="P76" s="131"/>
      <c r="Q76" s="131"/>
      <c r="R76" s="131"/>
      <c r="S76" s="233"/>
      <c r="T76" s="233"/>
      <c r="U76" s="233"/>
      <c r="V76" s="72"/>
      <c r="W76" s="72">
        <v>0</v>
      </c>
      <c r="X76" s="73" t="s">
        <v>57</v>
      </c>
    </row>
    <row r="77" spans="1:46" ht="21" customHeight="1">
      <c r="A77" s="45" t="s">
        <v>74</v>
      </c>
      <c r="B77" s="87" t="s">
        <v>16</v>
      </c>
      <c r="C77" s="550" t="s">
        <v>244</v>
      </c>
      <c r="D77" s="259">
        <f>SUM(D78,D81,D89)</f>
        <v>13</v>
      </c>
      <c r="E77" s="259">
        <f>SUM(E78,E81,E89)</f>
        <v>13</v>
      </c>
      <c r="F77" s="260">
        <f t="shared" ref="F77:F79" si="38">E77-D77</f>
        <v>0</v>
      </c>
      <c r="G77" s="261">
        <f t="shared" ref="G77:G79" si="39">IF(D77=0,0,F77/D77)</f>
        <v>0</v>
      </c>
      <c r="H77" s="262" t="s">
        <v>249</v>
      </c>
      <c r="I77" s="263"/>
      <c r="J77" s="264"/>
      <c r="K77" s="264"/>
      <c r="L77" s="263"/>
      <c r="M77" s="263"/>
      <c r="N77" s="263"/>
      <c r="O77" s="263"/>
      <c r="P77" s="263" t="s">
        <v>66</v>
      </c>
      <c r="Q77" s="265"/>
      <c r="R77" s="265"/>
      <c r="S77" s="265"/>
      <c r="T77" s="265"/>
      <c r="U77" s="265"/>
      <c r="V77" s="265"/>
      <c r="W77" s="275">
        <f>SUM(W78,W81,W89)</f>
        <v>13000</v>
      </c>
      <c r="X77" s="281" t="s">
        <v>239</v>
      </c>
    </row>
    <row r="78" spans="1:46" s="4" customFormat="1" ht="21" customHeight="1">
      <c r="A78" s="45"/>
      <c r="B78" s="96"/>
      <c r="C78" s="36" t="s">
        <v>214</v>
      </c>
      <c r="D78" s="226">
        <f>D79</f>
        <v>0</v>
      </c>
      <c r="E78" s="226">
        <f>E79</f>
        <v>0</v>
      </c>
      <c r="F78" s="227">
        <f t="shared" si="38"/>
        <v>0</v>
      </c>
      <c r="G78" s="228">
        <f t="shared" si="39"/>
        <v>0</v>
      </c>
      <c r="H78" s="214" t="s">
        <v>219</v>
      </c>
      <c r="I78" s="215"/>
      <c r="J78" s="216"/>
      <c r="K78" s="216"/>
      <c r="L78" s="216"/>
      <c r="M78" s="216"/>
      <c r="N78" s="216"/>
      <c r="O78" s="217"/>
      <c r="P78" s="217"/>
      <c r="Q78" s="217"/>
      <c r="R78" s="217"/>
      <c r="S78" s="217"/>
      <c r="T78" s="217"/>
      <c r="U78" s="244" t="s">
        <v>68</v>
      </c>
      <c r="V78" s="245"/>
      <c r="W78" s="246">
        <f>SUM(W79:W79)</f>
        <v>0</v>
      </c>
      <c r="X78" s="278" t="s">
        <v>57</v>
      </c>
      <c r="Y78" s="267"/>
      <c r="Z78" s="268"/>
      <c r="AA78" s="268"/>
      <c r="AB78" s="269"/>
      <c r="AC78" s="270"/>
      <c r="AD78" s="271"/>
      <c r="AE78" s="272"/>
      <c r="AF78" s="273"/>
      <c r="AG78" s="273"/>
      <c r="AH78" s="272"/>
      <c r="AI78" s="272"/>
      <c r="AJ78" s="272"/>
      <c r="AK78" s="272"/>
      <c r="AL78" s="272"/>
      <c r="AM78" s="271"/>
      <c r="AN78" s="271"/>
      <c r="AO78" s="271"/>
      <c r="AP78" s="271"/>
      <c r="AQ78" s="271"/>
      <c r="AR78" s="271"/>
      <c r="AS78" s="274"/>
      <c r="AT78" s="272"/>
    </row>
    <row r="79" spans="1:46" ht="21" customHeight="1">
      <c r="A79" s="60"/>
      <c r="B79" s="98"/>
      <c r="C79" s="46" t="s">
        <v>215</v>
      </c>
      <c r="D79" s="37">
        <v>0</v>
      </c>
      <c r="E79" s="48">
        <f>ROUND(W79/1000,0)</f>
        <v>0</v>
      </c>
      <c r="F79" s="38">
        <f t="shared" si="38"/>
        <v>0</v>
      </c>
      <c r="G79" s="39">
        <f t="shared" si="39"/>
        <v>0</v>
      </c>
      <c r="H79" s="147" t="s">
        <v>219</v>
      </c>
      <c r="I79" s="165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640" t="s">
        <v>68</v>
      </c>
      <c r="V79" s="640"/>
      <c r="W79" s="149">
        <f>SUM(W80:W80)</f>
        <v>0</v>
      </c>
      <c r="X79" s="150" t="s">
        <v>57</v>
      </c>
    </row>
    <row r="80" spans="1:46" s="11" customFormat="1" ht="19.5" customHeight="1">
      <c r="A80" s="60"/>
      <c r="B80" s="90"/>
      <c r="C80" s="46"/>
      <c r="D80" s="48"/>
      <c r="E80" s="48"/>
      <c r="F80" s="49"/>
      <c r="G80" s="31"/>
      <c r="H80" s="67"/>
      <c r="I80" s="232"/>
      <c r="J80" s="231"/>
      <c r="K80" s="231"/>
      <c r="L80" s="231"/>
      <c r="M80" s="257"/>
      <c r="N80" s="74"/>
      <c r="O80" s="69"/>
      <c r="P80" s="74"/>
      <c r="Q80" s="79"/>
      <c r="R80" s="76"/>
      <c r="S80" s="76"/>
      <c r="T80" s="257"/>
      <c r="U80" s="231"/>
      <c r="V80" s="68"/>
      <c r="W80" s="68">
        <f>L80*O80</f>
        <v>0</v>
      </c>
      <c r="X80" s="57" t="s">
        <v>57</v>
      </c>
      <c r="Y80" s="6"/>
    </row>
    <row r="81" spans="1:25" s="11" customFormat="1" ht="19.5" customHeight="1">
      <c r="A81" s="60"/>
      <c r="B81" s="90"/>
      <c r="C81" s="36" t="s">
        <v>216</v>
      </c>
      <c r="D81" s="226">
        <f>D82</f>
        <v>13</v>
      </c>
      <c r="E81" s="226">
        <f>E82</f>
        <v>13</v>
      </c>
      <c r="F81" s="227">
        <f t="shared" ref="F81:F82" si="40">E81-D81</f>
        <v>0</v>
      </c>
      <c r="G81" s="228">
        <f t="shared" ref="G81:G82" si="41">IF(D81=0,0,F81/D81)</f>
        <v>0</v>
      </c>
      <c r="H81" s="214" t="s">
        <v>220</v>
      </c>
      <c r="I81" s="215"/>
      <c r="J81" s="216"/>
      <c r="K81" s="216"/>
      <c r="L81" s="216"/>
      <c r="M81" s="216"/>
      <c r="N81" s="216"/>
      <c r="O81" s="217"/>
      <c r="P81" s="217"/>
      <c r="Q81" s="217"/>
      <c r="R81" s="217"/>
      <c r="S81" s="217"/>
      <c r="T81" s="217"/>
      <c r="U81" s="244" t="s">
        <v>68</v>
      </c>
      <c r="V81" s="245"/>
      <c r="W81" s="245">
        <f>SUM(W82:W82)</f>
        <v>13000</v>
      </c>
      <c r="X81" s="278" t="s">
        <v>57</v>
      </c>
      <c r="Y81" s="6"/>
    </row>
    <row r="82" spans="1:25" s="11" customFormat="1" ht="19.5" customHeight="1">
      <c r="A82" s="60"/>
      <c r="B82" s="90"/>
      <c r="C82" s="46" t="s">
        <v>217</v>
      </c>
      <c r="D82" s="48">
        <v>13</v>
      </c>
      <c r="E82" s="48">
        <f>ROUND(W82/1000,0)</f>
        <v>13</v>
      </c>
      <c r="F82" s="38">
        <f t="shared" si="40"/>
        <v>0</v>
      </c>
      <c r="G82" s="39">
        <f t="shared" si="41"/>
        <v>0</v>
      </c>
      <c r="H82" s="569" t="s">
        <v>345</v>
      </c>
      <c r="I82" s="186"/>
      <c r="J82" s="185"/>
      <c r="K82" s="185"/>
      <c r="L82" s="185"/>
      <c r="M82" s="185"/>
      <c r="N82" s="185"/>
      <c r="O82" s="185"/>
      <c r="P82" s="185" t="s">
        <v>343</v>
      </c>
      <c r="Q82" s="185"/>
      <c r="R82" s="185"/>
      <c r="S82" s="185"/>
      <c r="T82" s="185"/>
      <c r="U82" s="640" t="s">
        <v>68</v>
      </c>
      <c r="V82" s="640"/>
      <c r="W82" s="149">
        <f>SUM(W83:W87)</f>
        <v>13000</v>
      </c>
      <c r="X82" s="150" t="s">
        <v>57</v>
      </c>
      <c r="Y82" s="6"/>
    </row>
    <row r="83" spans="1:25" s="11" customFormat="1" ht="19.5" customHeight="1">
      <c r="A83" s="60"/>
      <c r="B83" s="90"/>
      <c r="C83" s="46" t="s">
        <v>177</v>
      </c>
      <c r="D83" s="48"/>
      <c r="E83" s="48"/>
      <c r="F83" s="49"/>
      <c r="G83" s="70"/>
      <c r="H83" s="536" t="s">
        <v>531</v>
      </c>
      <c r="I83" s="383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  <c r="U83" s="382"/>
      <c r="V83" s="68"/>
      <c r="W83" s="68">
        <v>5000</v>
      </c>
      <c r="X83" s="57" t="s">
        <v>25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532</v>
      </c>
      <c r="I84" s="383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68"/>
      <c r="W84" s="68">
        <v>1000</v>
      </c>
      <c r="X84" s="57" t="s">
        <v>533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534</v>
      </c>
      <c r="I85" s="383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68"/>
      <c r="W85" s="68">
        <v>4000</v>
      </c>
      <c r="X85" s="57" t="s">
        <v>533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535</v>
      </c>
      <c r="I86" s="383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68"/>
      <c r="W86" s="68">
        <v>1000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 t="s">
        <v>536</v>
      </c>
      <c r="I87" s="382"/>
      <c r="J87" s="382"/>
      <c r="K87" s="382"/>
      <c r="L87" s="382"/>
      <c r="M87" s="382"/>
      <c r="N87" s="382"/>
      <c r="O87" s="382"/>
      <c r="P87" s="642"/>
      <c r="Q87" s="642"/>
      <c r="R87" s="382"/>
      <c r="S87" s="382"/>
      <c r="T87" s="382"/>
      <c r="U87" s="382"/>
      <c r="V87" s="382"/>
      <c r="W87" s="382">
        <v>2000</v>
      </c>
      <c r="X87" s="57" t="s">
        <v>25</v>
      </c>
      <c r="Y87" s="6"/>
    </row>
    <row r="88" spans="1:25" s="11" customFormat="1" ht="19.5" customHeight="1">
      <c r="A88" s="60"/>
      <c r="B88" s="90"/>
      <c r="C88" s="46"/>
      <c r="D88" s="48"/>
      <c r="E88" s="48"/>
      <c r="F88" s="49"/>
      <c r="G88" s="70"/>
      <c r="H88" s="67"/>
      <c r="I88" s="232"/>
      <c r="J88" s="231"/>
      <c r="K88" s="231"/>
      <c r="L88" s="231"/>
      <c r="M88" s="231"/>
      <c r="N88" s="231"/>
      <c r="O88" s="231"/>
      <c r="P88" s="54"/>
      <c r="Q88" s="54"/>
      <c r="R88" s="54"/>
      <c r="S88" s="231"/>
      <c r="T88" s="231"/>
      <c r="U88" s="231"/>
      <c r="V88" s="68"/>
      <c r="W88" s="68"/>
      <c r="X88" s="57"/>
      <c r="Y88" s="6"/>
    </row>
    <row r="89" spans="1:25" s="11" customFormat="1" ht="19.5" customHeight="1">
      <c r="A89" s="60"/>
      <c r="B89" s="90"/>
      <c r="C89" s="36" t="s">
        <v>189</v>
      </c>
      <c r="D89" s="226">
        <f>D90</f>
        <v>0</v>
      </c>
      <c r="E89" s="226">
        <f>E90</f>
        <v>0</v>
      </c>
      <c r="F89" s="227">
        <f t="shared" ref="F89:F90" si="42">E89-D89</f>
        <v>0</v>
      </c>
      <c r="G89" s="228">
        <f t="shared" ref="G89:G90" si="43">IF(D89=0,0,F89/D89)</f>
        <v>0</v>
      </c>
      <c r="H89" s="214" t="s">
        <v>238</v>
      </c>
      <c r="I89" s="215"/>
      <c r="J89" s="216"/>
      <c r="K89" s="216"/>
      <c r="L89" s="216"/>
      <c r="M89" s="216"/>
      <c r="N89" s="216"/>
      <c r="O89" s="217"/>
      <c r="P89" s="217"/>
      <c r="Q89" s="217"/>
      <c r="R89" s="217"/>
      <c r="S89" s="217"/>
      <c r="T89" s="217"/>
      <c r="U89" s="244" t="s">
        <v>240</v>
      </c>
      <c r="V89" s="245"/>
      <c r="W89" s="245">
        <f>SUM(W90:W90)</f>
        <v>0</v>
      </c>
      <c r="X89" s="278" t="s">
        <v>239</v>
      </c>
      <c r="Y89" s="6"/>
    </row>
    <row r="90" spans="1:25" s="11" customFormat="1" ht="19.5" customHeight="1">
      <c r="A90" s="60"/>
      <c r="B90" s="90"/>
      <c r="C90" s="46" t="s">
        <v>218</v>
      </c>
      <c r="D90" s="48">
        <v>0</v>
      </c>
      <c r="E90" s="48">
        <f>ROUND(W90/1000,0)</f>
        <v>0</v>
      </c>
      <c r="F90" s="38">
        <f t="shared" si="42"/>
        <v>0</v>
      </c>
      <c r="G90" s="39">
        <f t="shared" si="43"/>
        <v>0</v>
      </c>
      <c r="H90" s="97" t="s">
        <v>342</v>
      </c>
      <c r="I90" s="190"/>
      <c r="J90" s="189"/>
      <c r="K90" s="189"/>
      <c r="L90" s="189"/>
      <c r="M90" s="189"/>
      <c r="N90" s="189"/>
      <c r="O90" s="189"/>
      <c r="P90" s="189" t="s">
        <v>343</v>
      </c>
      <c r="Q90" s="189"/>
      <c r="R90" s="189"/>
      <c r="S90" s="189"/>
      <c r="T90" s="189"/>
      <c r="U90" s="640" t="s">
        <v>68</v>
      </c>
      <c r="V90" s="640"/>
      <c r="W90" s="149">
        <f>SUM(W91:W91)</f>
        <v>0</v>
      </c>
      <c r="X90" s="150" t="s">
        <v>57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536" t="s">
        <v>344</v>
      </c>
      <c r="I91" s="383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68"/>
      <c r="W91" s="68">
        <v>0</v>
      </c>
      <c r="X91" s="57" t="s">
        <v>25</v>
      </c>
      <c r="Y91" s="6"/>
    </row>
    <row r="92" spans="1:25" s="11" customFormat="1" ht="19.5" customHeight="1" thickBot="1">
      <c r="A92" s="100"/>
      <c r="B92" s="101"/>
      <c r="C92" s="101"/>
      <c r="D92" s="103"/>
      <c r="E92" s="103"/>
      <c r="F92" s="104"/>
      <c r="G92" s="105"/>
      <c r="H92" s="63"/>
      <c r="I92" s="65"/>
      <c r="J92" s="65"/>
      <c r="K92" s="65"/>
      <c r="L92" s="65"/>
      <c r="M92" s="65"/>
      <c r="N92" s="64"/>
      <c r="O92" s="65"/>
      <c r="P92" s="64"/>
      <c r="Q92" s="64"/>
      <c r="R92" s="65"/>
      <c r="S92" s="65"/>
      <c r="T92" s="106"/>
      <c r="U92" s="106"/>
      <c r="V92" s="64"/>
      <c r="W92" s="65"/>
      <c r="X92" s="66"/>
      <c r="Y92" s="6"/>
    </row>
    <row r="93" spans="1:25" s="11" customFormat="1" ht="19.5" customHeight="1">
      <c r="A93" s="7"/>
      <c r="B93" s="7"/>
      <c r="C93" s="7"/>
      <c r="D93" s="9"/>
      <c r="E93" s="9"/>
      <c r="F93" s="10"/>
      <c r="G93" s="1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6"/>
    </row>
    <row r="104" spans="25:25" ht="19.5" customHeight="1">
      <c r="Y104" s="6" t="s">
        <v>63</v>
      </c>
    </row>
  </sheetData>
  <mergeCells count="24">
    <mergeCell ref="A1:F1"/>
    <mergeCell ref="P87:Q87"/>
    <mergeCell ref="U90:V90"/>
    <mergeCell ref="U17:V17"/>
    <mergeCell ref="U18:V18"/>
    <mergeCell ref="A2:C2"/>
    <mergeCell ref="D2:D3"/>
    <mergeCell ref="A4:C4"/>
    <mergeCell ref="U55:V55"/>
    <mergeCell ref="U79:V79"/>
    <mergeCell ref="E2:E3"/>
    <mergeCell ref="U40:V40"/>
    <mergeCell ref="F2:G2"/>
    <mergeCell ref="H2:X3"/>
    <mergeCell ref="U30:V30"/>
    <mergeCell ref="U47:V47"/>
    <mergeCell ref="U82:V82"/>
    <mergeCell ref="U35:V35"/>
    <mergeCell ref="U32:V32"/>
    <mergeCell ref="U50:V50"/>
    <mergeCell ref="U58:V58"/>
    <mergeCell ref="U70:V70"/>
    <mergeCell ref="U61:V61"/>
    <mergeCell ref="U65:V65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23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4.55468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41" t="s">
        <v>558</v>
      </c>
      <c r="B1" s="641"/>
      <c r="C1" s="641"/>
      <c r="D1" s="641"/>
      <c r="E1" s="641"/>
      <c r="F1" s="107"/>
      <c r="G1" s="107"/>
      <c r="H1" s="107"/>
      <c r="I1" s="107"/>
      <c r="J1" s="107"/>
      <c r="K1" s="107"/>
      <c r="L1" s="107"/>
      <c r="M1" s="107"/>
      <c r="N1" s="172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3" t="s">
        <v>22</v>
      </c>
      <c r="B2" s="644"/>
      <c r="C2" s="644"/>
      <c r="D2" s="667" t="s">
        <v>559</v>
      </c>
      <c r="E2" s="667" t="s">
        <v>560</v>
      </c>
      <c r="F2" s="669"/>
      <c r="G2" s="669"/>
      <c r="H2" s="669"/>
      <c r="I2" s="669"/>
      <c r="J2" s="669"/>
      <c r="K2" s="669"/>
      <c r="L2" s="670"/>
      <c r="M2" s="649" t="s">
        <v>23</v>
      </c>
      <c r="N2" s="649"/>
      <c r="O2" s="653" t="s">
        <v>54</v>
      </c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654"/>
      <c r="AD2" s="654"/>
      <c r="AE2" s="65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68"/>
      <c r="E3" s="183" t="s">
        <v>561</v>
      </c>
      <c r="F3" s="183" t="s">
        <v>562</v>
      </c>
      <c r="G3" s="183" t="s">
        <v>563</v>
      </c>
      <c r="H3" s="183" t="s">
        <v>564</v>
      </c>
      <c r="I3" s="183" t="s">
        <v>565</v>
      </c>
      <c r="J3" s="183" t="s">
        <v>566</v>
      </c>
      <c r="K3" s="183" t="s">
        <v>567</v>
      </c>
      <c r="L3" s="183" t="s">
        <v>568</v>
      </c>
      <c r="M3" s="152" t="s">
        <v>128</v>
      </c>
      <c r="N3" s="108" t="s">
        <v>4</v>
      </c>
      <c r="O3" s="656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8"/>
    </row>
    <row r="4" spans="1:32" s="11" customFormat="1" ht="21" customHeight="1">
      <c r="A4" s="665" t="s">
        <v>31</v>
      </c>
      <c r="B4" s="666"/>
      <c r="C4" s="666"/>
      <c r="D4" s="400">
        <f t="shared" ref="D4:L4" si="0">SUM(D5,D111,D124,D193,D203,D206)</f>
        <v>71518</v>
      </c>
      <c r="E4" s="400">
        <f t="shared" si="0"/>
        <v>73585</v>
      </c>
      <c r="F4" s="400">
        <f t="shared" si="0"/>
        <v>54510</v>
      </c>
      <c r="G4" s="400">
        <f t="shared" si="0"/>
        <v>2800</v>
      </c>
      <c r="H4" s="400">
        <f t="shared" si="0"/>
        <v>1900</v>
      </c>
      <c r="I4" s="400">
        <f t="shared" si="0"/>
        <v>1956</v>
      </c>
      <c r="J4" s="400">
        <f t="shared" si="0"/>
        <v>11932</v>
      </c>
      <c r="K4" s="400">
        <f t="shared" si="0"/>
        <v>486</v>
      </c>
      <c r="L4" s="400">
        <f t="shared" si="0"/>
        <v>1</v>
      </c>
      <c r="M4" s="401">
        <f>E4-D4</f>
        <v>2067</v>
      </c>
      <c r="N4" s="402">
        <f>IF(D4=0,0,M4/D4)</f>
        <v>2.8901814927710507E-2</v>
      </c>
      <c r="O4" s="403" t="s">
        <v>281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SUM(AD5,AD111,AD124,AD193,AD203,AD206)</f>
        <v>73585000</v>
      </c>
      <c r="AE4" s="406" t="s">
        <v>25</v>
      </c>
      <c r="AF4" s="2"/>
    </row>
    <row r="5" spans="1:32" s="11" customFormat="1" ht="21" customHeight="1">
      <c r="A5" s="112" t="s">
        <v>6</v>
      </c>
      <c r="B5" s="663" t="s">
        <v>7</v>
      </c>
      <c r="C5" s="664"/>
      <c r="D5" s="407">
        <f t="shared" ref="D5:L5" si="1">SUM(D6,D68,D79)</f>
        <v>49499</v>
      </c>
      <c r="E5" s="407">
        <f t="shared" si="1"/>
        <v>52437</v>
      </c>
      <c r="F5" s="407">
        <f t="shared" si="1"/>
        <v>44584</v>
      </c>
      <c r="G5" s="407">
        <f t="shared" si="1"/>
        <v>1800</v>
      </c>
      <c r="H5" s="407">
        <f t="shared" si="1"/>
        <v>1900</v>
      </c>
      <c r="I5" s="407">
        <f t="shared" si="1"/>
        <v>986</v>
      </c>
      <c r="J5" s="407">
        <f t="shared" si="1"/>
        <v>3167</v>
      </c>
      <c r="K5" s="407">
        <f t="shared" si="1"/>
        <v>0</v>
      </c>
      <c r="L5" s="407">
        <f t="shared" si="1"/>
        <v>0</v>
      </c>
      <c r="M5" s="408">
        <f>E5-D5</f>
        <v>2938</v>
      </c>
      <c r="N5" s="409">
        <f>IF(D5=0,0,M5/D5)</f>
        <v>5.9354734439079578E-2</v>
      </c>
      <c r="O5" s="410" t="s">
        <v>282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SUM(AD6,AD68,AD79)</f>
        <v>52437000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29">
        <f t="shared" ref="D6:L6" si="2">SUM(D7,D11,D14,D34,D38,D63)</f>
        <v>42009</v>
      </c>
      <c r="E6" s="414">
        <f t="shared" si="2"/>
        <v>44215</v>
      </c>
      <c r="F6" s="414">
        <f t="shared" si="2"/>
        <v>39659</v>
      </c>
      <c r="G6" s="414">
        <f t="shared" si="2"/>
        <v>1800</v>
      </c>
      <c r="H6" s="414">
        <f t="shared" si="2"/>
        <v>1900</v>
      </c>
      <c r="I6" s="414">
        <f t="shared" si="2"/>
        <v>786</v>
      </c>
      <c r="J6" s="414">
        <f t="shared" si="2"/>
        <v>70</v>
      </c>
      <c r="K6" s="414">
        <f t="shared" si="2"/>
        <v>0</v>
      </c>
      <c r="L6" s="414">
        <f t="shared" si="2"/>
        <v>0</v>
      </c>
      <c r="M6" s="415">
        <f>E6-D6</f>
        <v>2206</v>
      </c>
      <c r="N6" s="416">
        <f>IF(D6=0,0,M6/D6)</f>
        <v>5.2512556833059582E-2</v>
      </c>
      <c r="O6" s="417" t="s">
        <v>283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SUM(AD7,AD11,AD14,AD34,AD38,AD63)</f>
        <v>44215000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1">
        <v>25466</v>
      </c>
      <c r="E7" s="114">
        <f>SUM(F7:L7)</f>
        <v>26526</v>
      </c>
      <c r="F7" s="114">
        <f>AD7/1000</f>
        <v>26526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1060</v>
      </c>
      <c r="N7" s="294">
        <f>IF(D7=0,0,M7/D7)</f>
        <v>4.1624126286028428E-2</v>
      </c>
      <c r="O7" s="116" t="s">
        <v>76</v>
      </c>
      <c r="P7" s="116"/>
      <c r="Q7" s="158"/>
      <c r="R7" s="158"/>
      <c r="S7" s="158"/>
      <c r="T7" s="157"/>
      <c r="U7" s="157"/>
      <c r="V7" s="157"/>
      <c r="W7" s="99" t="s">
        <v>129</v>
      </c>
      <c r="X7" s="99"/>
      <c r="Y7" s="99"/>
      <c r="Z7" s="99"/>
      <c r="AA7" s="99"/>
      <c r="AB7" s="99"/>
      <c r="AC7" s="118"/>
      <c r="AD7" s="118">
        <f>SUM(AD8:AD9)</f>
        <v>26526000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59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383" t="s">
        <v>442</v>
      </c>
      <c r="P8" s="32"/>
      <c r="Q8" s="32"/>
      <c r="R8" s="383" t="s">
        <v>443</v>
      </c>
      <c r="S8" s="482">
        <v>2128000</v>
      </c>
      <c r="T8" s="288" t="s">
        <v>57</v>
      </c>
      <c r="U8" s="290" t="s">
        <v>58</v>
      </c>
      <c r="V8" s="288">
        <v>2</v>
      </c>
      <c r="W8" s="288" t="s">
        <v>0</v>
      </c>
      <c r="X8" s="288"/>
      <c r="Y8" s="382"/>
      <c r="Z8" s="382" t="s">
        <v>348</v>
      </c>
      <c r="AA8" s="382"/>
      <c r="AB8" s="382" t="s">
        <v>349</v>
      </c>
      <c r="AC8" s="68"/>
      <c r="AD8" s="68">
        <f>S8*V8</f>
        <v>4256000</v>
      </c>
      <c r="AE8" s="57" t="s">
        <v>346</v>
      </c>
      <c r="AF8" s="2"/>
    </row>
    <row r="9" spans="1:32" s="11" customFormat="1" ht="21" customHeight="1">
      <c r="A9" s="45"/>
      <c r="B9" s="46"/>
      <c r="C9" s="46"/>
      <c r="D9" s="159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3"/>
      <c r="P9" s="290"/>
      <c r="Q9" s="290"/>
      <c r="R9" s="383" t="s">
        <v>546</v>
      </c>
      <c r="S9" s="482">
        <v>2227000</v>
      </c>
      <c r="T9" s="288" t="s">
        <v>346</v>
      </c>
      <c r="U9" s="290" t="s">
        <v>58</v>
      </c>
      <c r="V9" s="288">
        <v>10</v>
      </c>
      <c r="W9" s="288" t="s">
        <v>347</v>
      </c>
      <c r="X9" s="288"/>
      <c r="Y9" s="288"/>
      <c r="Z9" s="288" t="s">
        <v>348</v>
      </c>
      <c r="AA9" s="288"/>
      <c r="AB9" s="288" t="s">
        <v>349</v>
      </c>
      <c r="AC9" s="291"/>
      <c r="AD9" s="291">
        <f>S9*V9</f>
        <v>22270000</v>
      </c>
      <c r="AE9" s="390" t="s">
        <v>346</v>
      </c>
      <c r="AF9" s="2"/>
    </row>
    <row r="10" spans="1:32" s="11" customFormat="1" ht="21" customHeight="1">
      <c r="A10" s="45"/>
      <c r="B10" s="46"/>
      <c r="C10" s="46"/>
      <c r="D10" s="159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3"/>
      <c r="W10" s="153"/>
      <c r="X10" s="153"/>
      <c r="Y10" s="153"/>
      <c r="Z10" s="153"/>
      <c r="AA10" s="153"/>
      <c r="AB10" s="153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75</v>
      </c>
      <c r="D11" s="161">
        <v>1600</v>
      </c>
      <c r="E11" s="114">
        <f>SUM(F11:L11)</f>
        <v>1600</v>
      </c>
      <c r="F11" s="114">
        <v>0</v>
      </c>
      <c r="G11" s="114">
        <v>0</v>
      </c>
      <c r="H11" s="114">
        <f>AD12/1000</f>
        <v>1600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0</v>
      </c>
      <c r="N11" s="121">
        <f>IF(D11=0,0,M11/D11)</f>
        <v>0</v>
      </c>
      <c r="O11" s="97" t="s">
        <v>78</v>
      </c>
      <c r="P11" s="176"/>
      <c r="Q11" s="93"/>
      <c r="R11" s="93"/>
      <c r="S11" s="93"/>
      <c r="T11" s="89"/>
      <c r="U11" s="89"/>
      <c r="V11" s="157"/>
      <c r="W11" s="99" t="s">
        <v>129</v>
      </c>
      <c r="X11" s="99"/>
      <c r="Y11" s="99"/>
      <c r="Z11" s="99"/>
      <c r="AA11" s="99"/>
      <c r="AB11" s="99"/>
      <c r="AC11" s="118"/>
      <c r="AD11" s="118">
        <f>SUM(AD12)</f>
        <v>1600000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59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70" t="s">
        <v>358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85">
        <v>20</v>
      </c>
      <c r="Z12" s="91" t="s">
        <v>98</v>
      </c>
      <c r="AA12" s="91" t="s">
        <v>53</v>
      </c>
      <c r="AB12" s="382" t="s">
        <v>454</v>
      </c>
      <c r="AC12" s="68"/>
      <c r="AD12" s="135">
        <f>S12*V12*Y12</f>
        <v>1600000</v>
      </c>
      <c r="AE12" s="57" t="s">
        <v>77</v>
      </c>
      <c r="AF12" s="1"/>
    </row>
    <row r="13" spans="1:32" s="11" customFormat="1" ht="21" customHeight="1">
      <c r="A13" s="45"/>
      <c r="B13" s="46"/>
      <c r="C13" s="46"/>
      <c r="D13" s="159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1">
        <v>8340</v>
      </c>
      <c r="E14" s="114">
        <f>SUM(F14:L14)</f>
        <v>9172</v>
      </c>
      <c r="F14" s="114">
        <f>SUM(AD16:AD17,AD19,AD24:AD25)/1000</f>
        <v>6973</v>
      </c>
      <c r="G14" s="114">
        <f>SUM(AD28,AD31)/1000</f>
        <v>1800</v>
      </c>
      <c r="H14" s="114">
        <v>0</v>
      </c>
      <c r="I14" s="114">
        <f>AD26/1000</f>
        <v>399</v>
      </c>
      <c r="J14" s="114">
        <v>0</v>
      </c>
      <c r="K14" s="114">
        <v>0</v>
      </c>
      <c r="L14" s="114">
        <v>0</v>
      </c>
      <c r="M14" s="123">
        <f>E14-D14</f>
        <v>832</v>
      </c>
      <c r="N14" s="121">
        <f>IF(D14=0,0,M14/D14)</f>
        <v>9.976019184652278E-2</v>
      </c>
      <c r="O14" s="97" t="s">
        <v>34</v>
      </c>
      <c r="P14" s="176"/>
      <c r="Q14" s="93"/>
      <c r="R14" s="93"/>
      <c r="S14" s="93"/>
      <c r="T14" s="89"/>
      <c r="U14" s="89"/>
      <c r="V14" s="89"/>
      <c r="W14" s="177" t="s">
        <v>129</v>
      </c>
      <c r="X14" s="177"/>
      <c r="Y14" s="177"/>
      <c r="Z14" s="177"/>
      <c r="AA14" s="177"/>
      <c r="AB14" s="177"/>
      <c r="AC14" s="179"/>
      <c r="AD14" s="179">
        <f>SUM(명절휴가비,가족수당,연장근로수당,AD28,AD31)</f>
        <v>9172000</v>
      </c>
      <c r="AE14" s="178" t="s">
        <v>57</v>
      </c>
      <c r="AF14" s="1"/>
    </row>
    <row r="15" spans="1:32" s="11" customFormat="1" ht="21" customHeight="1">
      <c r="A15" s="45"/>
      <c r="B15" s="46"/>
      <c r="C15" s="46"/>
      <c r="D15" s="159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469" t="s">
        <v>294</v>
      </c>
      <c r="P15" s="290"/>
      <c r="Q15" s="290"/>
      <c r="R15" s="290"/>
      <c r="S15" s="290"/>
      <c r="T15" s="288"/>
      <c r="U15" s="288"/>
      <c r="V15" s="288"/>
      <c r="W15" s="441" t="s">
        <v>293</v>
      </c>
      <c r="X15" s="441"/>
      <c r="Y15" s="441"/>
      <c r="Z15" s="441"/>
      <c r="AA15" s="441"/>
      <c r="AB15" s="441"/>
      <c r="AC15" s="442" t="s">
        <v>295</v>
      </c>
      <c r="AD15" s="442">
        <f>ROUND(SUM(AD16:AD18),-3)</f>
        <v>2613000</v>
      </c>
      <c r="AE15" s="443" t="s">
        <v>287</v>
      </c>
      <c r="AF15" s="17"/>
    </row>
    <row r="16" spans="1:32" s="11" customFormat="1" ht="21" customHeight="1">
      <c r="A16" s="45"/>
      <c r="B16" s="46"/>
      <c r="C16" s="46"/>
      <c r="D16" s="159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0" t="s">
        <v>442</v>
      </c>
      <c r="P16" s="290"/>
      <c r="Q16" s="290"/>
      <c r="R16" s="383" t="s">
        <v>443</v>
      </c>
      <c r="S16" s="482">
        <v>2128000</v>
      </c>
      <c r="T16" s="288" t="s">
        <v>346</v>
      </c>
      <c r="U16" s="383" t="s">
        <v>58</v>
      </c>
      <c r="V16" s="574">
        <v>0.6</v>
      </c>
      <c r="W16" s="288"/>
      <c r="X16" s="288"/>
      <c r="Y16" s="288"/>
      <c r="Z16" s="288" t="s">
        <v>348</v>
      </c>
      <c r="AA16" s="288"/>
      <c r="AB16" s="288" t="s">
        <v>349</v>
      </c>
      <c r="AC16" s="291"/>
      <c r="AD16" s="291">
        <f>ROUND(S16*V16,-3)</f>
        <v>1277000</v>
      </c>
      <c r="AE16" s="390" t="s">
        <v>287</v>
      </c>
      <c r="AF16" s="17"/>
    </row>
    <row r="17" spans="1:32" s="11" customFormat="1" ht="21" customHeight="1">
      <c r="A17" s="45"/>
      <c r="B17" s="46"/>
      <c r="C17" s="46"/>
      <c r="D17" s="159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0"/>
      <c r="P17" s="290"/>
      <c r="Q17" s="290"/>
      <c r="R17" s="383" t="s">
        <v>546</v>
      </c>
      <c r="S17" s="482">
        <v>2227000</v>
      </c>
      <c r="T17" s="288" t="s">
        <v>346</v>
      </c>
      <c r="U17" s="383" t="s">
        <v>58</v>
      </c>
      <c r="V17" s="574">
        <v>0.6</v>
      </c>
      <c r="W17" s="288"/>
      <c r="X17" s="288"/>
      <c r="Y17" s="288"/>
      <c r="Z17" s="288" t="s">
        <v>348</v>
      </c>
      <c r="AA17" s="288"/>
      <c r="AB17" s="288" t="s">
        <v>349</v>
      </c>
      <c r="AC17" s="291"/>
      <c r="AD17" s="291">
        <f>ROUND(S17*V17,-3)</f>
        <v>1336000</v>
      </c>
      <c r="AE17" s="390" t="s">
        <v>57</v>
      </c>
      <c r="AF17" s="17"/>
    </row>
    <row r="18" spans="1:32" s="11" customFormat="1" ht="21" customHeight="1">
      <c r="A18" s="45"/>
      <c r="B18" s="46"/>
      <c r="C18" s="46"/>
      <c r="D18" s="159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0"/>
      <c r="P18" s="290"/>
      <c r="Q18" s="290"/>
      <c r="R18" s="290"/>
      <c r="S18" s="290"/>
      <c r="T18" s="288"/>
      <c r="U18" s="288"/>
      <c r="V18" s="288"/>
      <c r="W18" s="288"/>
      <c r="X18" s="288"/>
      <c r="Y18" s="288"/>
      <c r="Z18" s="288"/>
      <c r="AA18" s="288"/>
      <c r="AB18" s="288"/>
      <c r="AC18" s="291"/>
      <c r="AD18" s="291"/>
      <c r="AE18" s="390"/>
      <c r="AF18" s="17"/>
    </row>
    <row r="19" spans="1:32" s="11" customFormat="1" ht="21" customHeight="1">
      <c r="A19" s="45"/>
      <c r="B19" s="46"/>
      <c r="C19" s="46"/>
      <c r="D19" s="159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69" t="s">
        <v>296</v>
      </c>
      <c r="P19" s="290"/>
      <c r="Q19" s="290"/>
      <c r="R19" s="290"/>
      <c r="S19" s="290"/>
      <c r="T19" s="288"/>
      <c r="U19" s="288"/>
      <c r="V19" s="288"/>
      <c r="W19" s="441" t="s">
        <v>293</v>
      </c>
      <c r="X19" s="441"/>
      <c r="Y19" s="441"/>
      <c r="Z19" s="441"/>
      <c r="AA19" s="441"/>
      <c r="AB19" s="441"/>
      <c r="AC19" s="442" t="s">
        <v>295</v>
      </c>
      <c r="AD19" s="442">
        <f>SUM(AD20:AD21)</f>
        <v>0</v>
      </c>
      <c r="AE19" s="443" t="s">
        <v>287</v>
      </c>
      <c r="AF19" s="17"/>
    </row>
    <row r="20" spans="1:32" s="11" customFormat="1" ht="21" customHeight="1">
      <c r="A20" s="45"/>
      <c r="B20" s="46"/>
      <c r="C20" s="46"/>
      <c r="D20" s="159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0" t="s">
        <v>444</v>
      </c>
      <c r="P20" s="290"/>
      <c r="Q20" s="290"/>
      <c r="R20" s="290"/>
      <c r="S20" s="573">
        <v>0</v>
      </c>
      <c r="T20" s="288" t="s">
        <v>346</v>
      </c>
      <c r="U20" s="383" t="s">
        <v>58</v>
      </c>
      <c r="V20" s="382">
        <v>6</v>
      </c>
      <c r="W20" s="382" t="s">
        <v>347</v>
      </c>
      <c r="X20" s="288"/>
      <c r="Y20" s="288"/>
      <c r="Z20" s="288" t="s">
        <v>348</v>
      </c>
      <c r="AA20" s="288"/>
      <c r="AB20" s="288" t="s">
        <v>349</v>
      </c>
      <c r="AC20" s="291"/>
      <c r="AD20" s="291">
        <f t="shared" ref="AD20" si="3">S20*V20</f>
        <v>0</v>
      </c>
      <c r="AE20" s="390" t="s">
        <v>57</v>
      </c>
      <c r="AF20" s="17"/>
    </row>
    <row r="21" spans="1:32" s="11" customFormat="1" ht="21" customHeight="1">
      <c r="A21" s="45"/>
      <c r="B21" s="46"/>
      <c r="C21" s="46"/>
      <c r="D21" s="159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0"/>
      <c r="P21" s="290"/>
      <c r="Q21" s="290"/>
      <c r="R21" s="290"/>
      <c r="S21" s="573">
        <v>0</v>
      </c>
      <c r="T21" s="288" t="s">
        <v>346</v>
      </c>
      <c r="U21" s="383" t="s">
        <v>58</v>
      </c>
      <c r="V21" s="382">
        <v>6</v>
      </c>
      <c r="W21" s="382" t="s">
        <v>347</v>
      </c>
      <c r="X21" s="288"/>
      <c r="Y21" s="288"/>
      <c r="Z21" s="288" t="s">
        <v>348</v>
      </c>
      <c r="AA21" s="288"/>
      <c r="AB21" s="288" t="s">
        <v>349</v>
      </c>
      <c r="AC21" s="291"/>
      <c r="AD21" s="291">
        <f t="shared" ref="AD21" si="4">S21*V21</f>
        <v>0</v>
      </c>
      <c r="AE21" s="390" t="s">
        <v>57</v>
      </c>
      <c r="AF21" s="17"/>
    </row>
    <row r="22" spans="1:32" s="11" customFormat="1" ht="21" customHeight="1">
      <c r="A22" s="45"/>
      <c r="B22" s="46"/>
      <c r="C22" s="46"/>
      <c r="D22" s="159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0"/>
      <c r="P22" s="290"/>
      <c r="Q22" s="290"/>
      <c r="R22" s="290"/>
      <c r="S22" s="290"/>
      <c r="T22" s="288"/>
      <c r="U22" s="288"/>
      <c r="V22" s="288"/>
      <c r="W22" s="288"/>
      <c r="X22" s="288"/>
      <c r="Y22" s="288"/>
      <c r="Z22" s="288"/>
      <c r="AA22" s="288"/>
      <c r="AB22" s="288"/>
      <c r="AC22" s="291"/>
      <c r="AD22" s="291"/>
      <c r="AE22" s="390"/>
      <c r="AF22" s="17"/>
    </row>
    <row r="23" spans="1:32" s="11" customFormat="1" ht="21" customHeight="1">
      <c r="A23" s="45"/>
      <c r="B23" s="46"/>
      <c r="C23" s="46"/>
      <c r="D23" s="159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69" t="s">
        <v>297</v>
      </c>
      <c r="P23" s="290"/>
      <c r="Q23" s="290"/>
      <c r="R23" s="290"/>
      <c r="S23" s="290"/>
      <c r="T23" s="288"/>
      <c r="U23" s="288"/>
      <c r="V23" s="288"/>
      <c r="W23" s="441" t="s">
        <v>293</v>
      </c>
      <c r="X23" s="441"/>
      <c r="Y23" s="441"/>
      <c r="Z23" s="441"/>
      <c r="AA23" s="441"/>
      <c r="AB23" s="441"/>
      <c r="AC23" s="442" t="s">
        <v>295</v>
      </c>
      <c r="AD23" s="442">
        <f>ROUND(SUM(AD24:AD26),-3)</f>
        <v>4759000</v>
      </c>
      <c r="AE23" s="443" t="s">
        <v>287</v>
      </c>
      <c r="AF23" s="17"/>
    </row>
    <row r="24" spans="1:32" s="11" customFormat="1" ht="21" customHeight="1">
      <c r="A24" s="45"/>
      <c r="B24" s="46"/>
      <c r="C24" s="46"/>
      <c r="D24" s="159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0" t="s">
        <v>442</v>
      </c>
      <c r="P24" s="290"/>
      <c r="Q24" s="290"/>
      <c r="R24" s="383" t="s">
        <v>443</v>
      </c>
      <c r="S24" s="482">
        <v>2128000</v>
      </c>
      <c r="T24" s="288" t="s">
        <v>346</v>
      </c>
      <c r="U24" s="421" t="s">
        <v>69</v>
      </c>
      <c r="V24" s="575">
        <v>209</v>
      </c>
      <c r="W24" s="576">
        <v>1.5</v>
      </c>
      <c r="X24" s="290" t="s">
        <v>58</v>
      </c>
      <c r="Y24" s="578">
        <v>25</v>
      </c>
      <c r="Z24" s="577">
        <v>2</v>
      </c>
      <c r="AA24" s="288" t="s">
        <v>348</v>
      </c>
      <c r="AB24" s="288" t="s">
        <v>349</v>
      </c>
      <c r="AC24" s="291"/>
      <c r="AD24" s="291">
        <f>ROUND(ROUNDDOWN(S24/V24*W24*Y24,-1)*Z24,-3)</f>
        <v>764000</v>
      </c>
      <c r="AE24" s="390" t="s">
        <v>287</v>
      </c>
      <c r="AF24" s="17"/>
    </row>
    <row r="25" spans="1:32" s="11" customFormat="1" ht="21" customHeight="1">
      <c r="A25" s="45"/>
      <c r="B25" s="46"/>
      <c r="C25" s="46"/>
      <c r="D25" s="159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0"/>
      <c r="P25" s="290"/>
      <c r="Q25" s="290"/>
      <c r="R25" s="383" t="s">
        <v>546</v>
      </c>
      <c r="S25" s="482">
        <v>2227000</v>
      </c>
      <c r="T25" s="288" t="s">
        <v>346</v>
      </c>
      <c r="U25" s="421" t="s">
        <v>69</v>
      </c>
      <c r="V25" s="575">
        <v>209</v>
      </c>
      <c r="W25" s="576">
        <v>1.5</v>
      </c>
      <c r="X25" s="290" t="s">
        <v>58</v>
      </c>
      <c r="Y25" s="578">
        <v>25</v>
      </c>
      <c r="Z25" s="577">
        <v>9</v>
      </c>
      <c r="AA25" s="288" t="s">
        <v>348</v>
      </c>
      <c r="AB25" s="288" t="s">
        <v>349</v>
      </c>
      <c r="AC25" s="291"/>
      <c r="AD25" s="291">
        <f>ROUNDDOWN(ROUNDDOWN(S25/V25*W25*Y25,-1)*Z25,-3)</f>
        <v>3596000</v>
      </c>
      <c r="AE25" s="390" t="s">
        <v>325</v>
      </c>
      <c r="AF25" s="17"/>
    </row>
    <row r="26" spans="1:32" s="11" customFormat="1" ht="21" customHeight="1">
      <c r="A26" s="45"/>
      <c r="B26" s="46"/>
      <c r="C26" s="46"/>
      <c r="D26" s="159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0"/>
      <c r="P26" s="290"/>
      <c r="Q26" s="290"/>
      <c r="R26" s="383" t="s">
        <v>546</v>
      </c>
      <c r="S26" s="482">
        <v>2227000</v>
      </c>
      <c r="T26" s="288" t="s">
        <v>346</v>
      </c>
      <c r="U26" s="421" t="s">
        <v>69</v>
      </c>
      <c r="V26" s="575">
        <v>209</v>
      </c>
      <c r="W26" s="576">
        <v>1.5</v>
      </c>
      <c r="X26" s="290" t="s">
        <v>58</v>
      </c>
      <c r="Y26" s="578">
        <v>25</v>
      </c>
      <c r="Z26" s="577">
        <v>1</v>
      </c>
      <c r="AA26" s="288" t="s">
        <v>348</v>
      </c>
      <c r="AB26" s="288" t="s">
        <v>577</v>
      </c>
      <c r="AC26" s="291"/>
      <c r="AD26" s="291">
        <f t="shared" ref="AD26" si="5">ROUNDDOWN(ROUNDDOWN(S26/V26*W26*Y26,-1)*Z26,-3)</f>
        <v>399000</v>
      </c>
      <c r="AE26" s="390" t="s">
        <v>65</v>
      </c>
      <c r="AF26" s="17"/>
    </row>
    <row r="27" spans="1:32" s="11" customFormat="1" ht="21" customHeight="1">
      <c r="A27" s="45"/>
      <c r="B27" s="46"/>
      <c r="C27" s="46"/>
      <c r="D27" s="159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0"/>
      <c r="P27" s="290"/>
      <c r="Q27" s="290"/>
      <c r="R27" s="290"/>
      <c r="S27" s="290"/>
      <c r="T27" s="288"/>
      <c r="U27" s="288"/>
      <c r="V27" s="288"/>
      <c r="W27" s="288"/>
      <c r="X27" s="288"/>
      <c r="Y27" s="288"/>
      <c r="Z27" s="288"/>
      <c r="AA27" s="288"/>
      <c r="AB27" s="288"/>
      <c r="AC27" s="291"/>
      <c r="AD27" s="291"/>
      <c r="AE27" s="390"/>
      <c r="AF27" s="17"/>
    </row>
    <row r="28" spans="1:32" s="11" customFormat="1" ht="21" customHeight="1">
      <c r="A28" s="45"/>
      <c r="B28" s="46"/>
      <c r="C28" s="46"/>
      <c r="D28" s="159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469" t="s">
        <v>350</v>
      </c>
      <c r="P28" s="290"/>
      <c r="Q28" s="290"/>
      <c r="R28" s="290"/>
      <c r="S28" s="290"/>
      <c r="T28" s="288"/>
      <c r="U28" s="288"/>
      <c r="V28" s="288"/>
      <c r="W28" s="441" t="s">
        <v>293</v>
      </c>
      <c r="X28" s="441"/>
      <c r="Y28" s="441"/>
      <c r="Z28" s="441"/>
      <c r="AA28" s="441"/>
      <c r="AB28" s="441"/>
      <c r="AC28" s="442" t="s">
        <v>295</v>
      </c>
      <c r="AD28" s="442">
        <f>SUM(AD29:AD29)</f>
        <v>1200000</v>
      </c>
      <c r="AE28" s="443" t="s">
        <v>287</v>
      </c>
      <c r="AF28" s="17"/>
    </row>
    <row r="29" spans="1:32" s="11" customFormat="1" ht="21" customHeight="1">
      <c r="A29" s="45"/>
      <c r="B29" s="46"/>
      <c r="C29" s="46"/>
      <c r="D29" s="159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0" t="s">
        <v>442</v>
      </c>
      <c r="P29" s="290"/>
      <c r="Q29" s="290"/>
      <c r="R29" s="290"/>
      <c r="S29" s="573">
        <v>100000</v>
      </c>
      <c r="T29" s="288" t="s">
        <v>346</v>
      </c>
      <c r="U29" s="383" t="s">
        <v>58</v>
      </c>
      <c r="V29" s="382">
        <v>12</v>
      </c>
      <c r="W29" s="382" t="s">
        <v>347</v>
      </c>
      <c r="X29" s="288"/>
      <c r="Y29" s="288"/>
      <c r="Z29" s="288" t="s">
        <v>348</v>
      </c>
      <c r="AA29" s="288"/>
      <c r="AB29" s="288" t="s">
        <v>349</v>
      </c>
      <c r="AC29" s="291"/>
      <c r="AD29" s="291">
        <f t="shared" ref="AD29" si="6">S29*V29</f>
        <v>1200000</v>
      </c>
      <c r="AE29" s="390" t="s">
        <v>57</v>
      </c>
      <c r="AF29" s="17"/>
    </row>
    <row r="30" spans="1:32" s="11" customFormat="1" ht="21" customHeight="1">
      <c r="A30" s="45"/>
      <c r="B30" s="46"/>
      <c r="C30" s="46"/>
      <c r="D30" s="159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0"/>
      <c r="P30" s="290"/>
      <c r="Q30" s="290"/>
      <c r="R30" s="290"/>
      <c r="S30" s="573"/>
      <c r="T30" s="288"/>
      <c r="U30" s="383"/>
      <c r="V30" s="382"/>
      <c r="W30" s="382"/>
      <c r="X30" s="288"/>
      <c r="Y30" s="288"/>
      <c r="Z30" s="288"/>
      <c r="AA30" s="288"/>
      <c r="AB30" s="288"/>
      <c r="AC30" s="291"/>
      <c r="AD30" s="291"/>
      <c r="AE30" s="390"/>
      <c r="AF30" s="17"/>
    </row>
    <row r="31" spans="1:32" s="11" customFormat="1" ht="21" customHeight="1">
      <c r="A31" s="45"/>
      <c r="B31" s="46"/>
      <c r="C31" s="46"/>
      <c r="D31" s="159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469" t="s">
        <v>578</v>
      </c>
      <c r="P31" s="290"/>
      <c r="Q31" s="290"/>
      <c r="R31" s="290"/>
      <c r="S31" s="290"/>
      <c r="T31" s="288"/>
      <c r="U31" s="288"/>
      <c r="V31" s="288"/>
      <c r="W31" s="441" t="s">
        <v>579</v>
      </c>
      <c r="X31" s="441"/>
      <c r="Y31" s="441"/>
      <c r="Z31" s="441"/>
      <c r="AA31" s="441"/>
      <c r="AB31" s="441"/>
      <c r="AC31" s="442" t="s">
        <v>580</v>
      </c>
      <c r="AD31" s="442">
        <f>SUM(AD32:AD32)</f>
        <v>600000</v>
      </c>
      <c r="AE31" s="443" t="s">
        <v>573</v>
      </c>
      <c r="AF31" s="17"/>
    </row>
    <row r="32" spans="1:32" s="11" customFormat="1" ht="21" customHeight="1">
      <c r="A32" s="45"/>
      <c r="B32" s="46"/>
      <c r="C32" s="46"/>
      <c r="D32" s="159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0" t="s">
        <v>583</v>
      </c>
      <c r="P32" s="290"/>
      <c r="Q32" s="290"/>
      <c r="R32" s="290"/>
      <c r="S32" s="573">
        <v>50000</v>
      </c>
      <c r="T32" s="288" t="s">
        <v>573</v>
      </c>
      <c r="U32" s="383" t="s">
        <v>574</v>
      </c>
      <c r="V32" s="382">
        <v>12</v>
      </c>
      <c r="W32" s="382" t="s">
        <v>576</v>
      </c>
      <c r="X32" s="288"/>
      <c r="Y32" s="288"/>
      <c r="Z32" s="288" t="s">
        <v>581</v>
      </c>
      <c r="AA32" s="288"/>
      <c r="AB32" s="288" t="s">
        <v>582</v>
      </c>
      <c r="AC32" s="291"/>
      <c r="AD32" s="291">
        <f t="shared" ref="AD32" si="7">S32*V32</f>
        <v>600000</v>
      </c>
      <c r="AE32" s="390" t="s">
        <v>573</v>
      </c>
      <c r="AF32" s="17"/>
    </row>
    <row r="33" spans="1:32" s="11" customFormat="1" ht="21" customHeight="1">
      <c r="A33" s="45"/>
      <c r="B33" s="46"/>
      <c r="C33" s="46"/>
      <c r="D33" s="159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0"/>
      <c r="P33" s="290"/>
      <c r="Q33" s="290"/>
      <c r="R33" s="290"/>
      <c r="S33" s="288"/>
      <c r="T33" s="424"/>
      <c r="U33" s="475"/>
      <c r="V33" s="424"/>
      <c r="W33" s="476"/>
      <c r="X33" s="476"/>
      <c r="Y33" s="288"/>
      <c r="Z33" s="288"/>
      <c r="AA33" s="288"/>
      <c r="AB33" s="288"/>
      <c r="AC33" s="288"/>
      <c r="AD33" s="288"/>
      <c r="AE33" s="390"/>
      <c r="AF33" s="17"/>
    </row>
    <row r="34" spans="1:32" s="11" customFormat="1" ht="21" customHeight="1">
      <c r="A34" s="45"/>
      <c r="B34" s="46"/>
      <c r="C34" s="36" t="s">
        <v>9</v>
      </c>
      <c r="D34" s="161">
        <v>2820</v>
      </c>
      <c r="E34" s="114">
        <f>SUM(F34:L34)</f>
        <v>2976</v>
      </c>
      <c r="F34" s="114">
        <f>AD35/1000</f>
        <v>2892</v>
      </c>
      <c r="G34" s="114">
        <v>0</v>
      </c>
      <c r="H34" s="114">
        <v>0</v>
      </c>
      <c r="I34" s="114">
        <f>AD36/1000</f>
        <v>84</v>
      </c>
      <c r="J34" s="114">
        <v>0</v>
      </c>
      <c r="K34" s="114">
        <v>0</v>
      </c>
      <c r="L34" s="114">
        <v>0</v>
      </c>
      <c r="M34" s="113">
        <f>E34-D34</f>
        <v>156</v>
      </c>
      <c r="N34" s="121">
        <f>IF(D34=0,0,M34/D34)</f>
        <v>5.5319148936170209E-2</v>
      </c>
      <c r="O34" s="97" t="s">
        <v>35</v>
      </c>
      <c r="P34" s="176"/>
      <c r="Q34" s="155"/>
      <c r="R34" s="93"/>
      <c r="S34" s="93"/>
      <c r="T34" s="89"/>
      <c r="U34" s="89"/>
      <c r="V34" s="89"/>
      <c r="W34" s="285" t="s">
        <v>254</v>
      </c>
      <c r="X34" s="285"/>
      <c r="Y34" s="285"/>
      <c r="Z34" s="285"/>
      <c r="AA34" s="285"/>
      <c r="AB34" s="285"/>
      <c r="AC34" s="179" t="s">
        <v>255</v>
      </c>
      <c r="AD34" s="179">
        <f>ROUND(SUM(AD35:AD36),-3)</f>
        <v>2976000</v>
      </c>
      <c r="AE34" s="178" t="s">
        <v>256</v>
      </c>
      <c r="AF34" s="2"/>
    </row>
    <row r="35" spans="1:32" s="11" customFormat="1" ht="21" customHeight="1">
      <c r="A35" s="45"/>
      <c r="B35" s="46"/>
      <c r="C35" s="46"/>
      <c r="D35" s="162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290"/>
      <c r="P35" s="290"/>
      <c r="Q35" s="290"/>
      <c r="R35" s="290"/>
      <c r="S35" s="288">
        <f>SUM(AD7,AD14)-AD26-AD32</f>
        <v>34699000</v>
      </c>
      <c r="T35" s="421" t="s">
        <v>287</v>
      </c>
      <c r="U35" s="421" t="s">
        <v>298</v>
      </c>
      <c r="V35" s="477">
        <v>12</v>
      </c>
      <c r="W35" s="420" t="s">
        <v>288</v>
      </c>
      <c r="X35" s="288"/>
      <c r="Y35" s="288"/>
      <c r="Z35" s="288"/>
      <c r="AA35" s="288" t="s">
        <v>291</v>
      </c>
      <c r="AB35" s="288" t="s">
        <v>349</v>
      </c>
      <c r="AC35" s="291"/>
      <c r="AD35" s="291">
        <f>ROUNDUP(S35/V35,-3)</f>
        <v>2892000</v>
      </c>
      <c r="AE35" s="390" t="s">
        <v>287</v>
      </c>
      <c r="AF35" s="2"/>
    </row>
    <row r="36" spans="1:32" s="11" customFormat="1" ht="21" customHeight="1">
      <c r="A36" s="45"/>
      <c r="B36" s="46"/>
      <c r="C36" s="46"/>
      <c r="D36" s="162"/>
      <c r="E36" s="109"/>
      <c r="F36" s="109"/>
      <c r="G36" s="109"/>
      <c r="H36" s="109"/>
      <c r="I36" s="109"/>
      <c r="J36" s="109"/>
      <c r="K36" s="109"/>
      <c r="L36" s="109"/>
      <c r="M36" s="115"/>
      <c r="N36" s="70"/>
      <c r="O36" s="290"/>
      <c r="P36" s="290"/>
      <c r="Q36" s="290"/>
      <c r="R36" s="290"/>
      <c r="S36" s="288">
        <f>AD26+AD32</f>
        <v>999000</v>
      </c>
      <c r="T36" s="421" t="s">
        <v>65</v>
      </c>
      <c r="U36" s="421" t="s">
        <v>298</v>
      </c>
      <c r="V36" s="477">
        <v>12</v>
      </c>
      <c r="W36" s="420" t="s">
        <v>288</v>
      </c>
      <c r="X36" s="288"/>
      <c r="Y36" s="288"/>
      <c r="Z36" s="288"/>
      <c r="AA36" s="288" t="s">
        <v>291</v>
      </c>
      <c r="AB36" s="288" t="s">
        <v>577</v>
      </c>
      <c r="AC36" s="291"/>
      <c r="AD36" s="291">
        <f>ROUNDUP(S36/V36,-3)</f>
        <v>84000</v>
      </c>
      <c r="AE36" s="390" t="s">
        <v>65</v>
      </c>
      <c r="AF36" s="2"/>
    </row>
    <row r="37" spans="1:32" s="11" customFormat="1" ht="21" customHeight="1">
      <c r="A37" s="45"/>
      <c r="B37" s="46"/>
      <c r="C37" s="46"/>
      <c r="D37" s="163"/>
      <c r="E37" s="109"/>
      <c r="F37" s="109"/>
      <c r="G37" s="109"/>
      <c r="H37" s="109"/>
      <c r="I37" s="109"/>
      <c r="J37" s="109"/>
      <c r="K37" s="109"/>
      <c r="L37" s="109"/>
      <c r="M37" s="115"/>
      <c r="N37" s="70"/>
      <c r="O37" s="32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52"/>
      <c r="AD37" s="52"/>
      <c r="AE37" s="34"/>
      <c r="AF37" s="2"/>
    </row>
    <row r="38" spans="1:32" s="11" customFormat="1" ht="21" customHeight="1">
      <c r="A38" s="45"/>
      <c r="B38" s="46"/>
      <c r="C38" s="122" t="s">
        <v>79</v>
      </c>
      <c r="D38" s="161">
        <v>3413</v>
      </c>
      <c r="E38" s="114">
        <f>SUM(F38:L38)</f>
        <v>3571</v>
      </c>
      <c r="F38" s="114">
        <f>SUM(AD41,AD45,AD49,AD53,AD57)/1000</f>
        <v>3268</v>
      </c>
      <c r="G38" s="114">
        <v>0</v>
      </c>
      <c r="H38" s="114">
        <v>0</v>
      </c>
      <c r="I38" s="114">
        <f>SUM(AD42,AD46,AD50,AD54,AD58,AD60)/1000</f>
        <v>303</v>
      </c>
      <c r="J38" s="114">
        <v>0</v>
      </c>
      <c r="K38" s="114">
        <v>0</v>
      </c>
      <c r="L38" s="114">
        <v>0</v>
      </c>
      <c r="M38" s="123">
        <f>E38-D38</f>
        <v>158</v>
      </c>
      <c r="N38" s="121">
        <f>IF(D38=0,0,M38/D38)</f>
        <v>4.629358335774978E-2</v>
      </c>
      <c r="O38" s="97" t="s">
        <v>36</v>
      </c>
      <c r="P38" s="176"/>
      <c r="Q38" s="93"/>
      <c r="R38" s="93"/>
      <c r="S38" s="93"/>
      <c r="T38" s="89"/>
      <c r="U38" s="89"/>
      <c r="V38" s="89"/>
      <c r="W38" s="177" t="s">
        <v>129</v>
      </c>
      <c r="X38" s="177"/>
      <c r="Y38" s="177"/>
      <c r="Z38" s="177"/>
      <c r="AA38" s="177"/>
      <c r="AB38" s="177"/>
      <c r="AC38" s="179"/>
      <c r="AD38" s="179">
        <f>SUM(AD40,AD44,AD48,AD52,AD56,AD60)</f>
        <v>3571000</v>
      </c>
      <c r="AE38" s="178" t="s">
        <v>25</v>
      </c>
    </row>
    <row r="39" spans="1:32" s="11" customFormat="1" ht="21" customHeight="1">
      <c r="A39" s="45"/>
      <c r="B39" s="46"/>
      <c r="C39" s="46" t="s">
        <v>130</v>
      </c>
      <c r="D39" s="159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158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46"/>
      <c r="D40" s="159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469" t="s">
        <v>302</v>
      </c>
      <c r="P40" s="290"/>
      <c r="Q40" s="290"/>
      <c r="R40" s="290"/>
      <c r="S40" s="290"/>
      <c r="T40" s="288"/>
      <c r="U40" s="288"/>
      <c r="V40" s="288"/>
      <c r="W40" s="441" t="s">
        <v>293</v>
      </c>
      <c r="X40" s="441"/>
      <c r="Y40" s="441"/>
      <c r="Z40" s="441"/>
      <c r="AA40" s="441"/>
      <c r="AB40" s="441"/>
      <c r="AC40" s="442"/>
      <c r="AD40" s="442">
        <f>ROUND(SUM(AD41:AD42),-3)</f>
        <v>1606000</v>
      </c>
      <c r="AE40" s="443" t="s">
        <v>287</v>
      </c>
      <c r="AF40" s="2"/>
    </row>
    <row r="41" spans="1:32" s="11" customFormat="1" ht="21" customHeight="1">
      <c r="A41" s="45"/>
      <c r="B41" s="46"/>
      <c r="C41" s="46"/>
      <c r="D41" s="159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0"/>
      <c r="P41" s="290"/>
      <c r="Q41" s="290"/>
      <c r="R41" s="290"/>
      <c r="S41" s="288">
        <f>S35</f>
        <v>34699000</v>
      </c>
      <c r="T41" s="421" t="s">
        <v>287</v>
      </c>
      <c r="U41" s="420" t="s">
        <v>290</v>
      </c>
      <c r="V41" s="478">
        <v>0.09</v>
      </c>
      <c r="W41" s="421" t="s">
        <v>298</v>
      </c>
      <c r="X41" s="479">
        <v>2</v>
      </c>
      <c r="Y41" s="423"/>
      <c r="Z41" s="423"/>
      <c r="AA41" s="421" t="s">
        <v>291</v>
      </c>
      <c r="AB41" s="288" t="s">
        <v>349</v>
      </c>
      <c r="AC41" s="291"/>
      <c r="AD41" s="291">
        <f>ROUND(S41*V41/X41,-3)</f>
        <v>1561000</v>
      </c>
      <c r="AE41" s="390" t="s">
        <v>287</v>
      </c>
      <c r="AF41" s="2"/>
    </row>
    <row r="42" spans="1:32" s="11" customFormat="1" ht="21" customHeight="1">
      <c r="A42" s="45"/>
      <c r="B42" s="46"/>
      <c r="C42" s="46"/>
      <c r="D42" s="159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0"/>
      <c r="P42" s="290"/>
      <c r="Q42" s="290"/>
      <c r="R42" s="290"/>
      <c r="S42" s="288">
        <f>S36</f>
        <v>999000</v>
      </c>
      <c r="T42" s="421" t="s">
        <v>65</v>
      </c>
      <c r="U42" s="420" t="s">
        <v>58</v>
      </c>
      <c r="V42" s="478">
        <v>0.09</v>
      </c>
      <c r="W42" s="421" t="s">
        <v>298</v>
      </c>
      <c r="X42" s="479">
        <v>2</v>
      </c>
      <c r="Y42" s="423"/>
      <c r="Z42" s="423"/>
      <c r="AA42" s="421" t="s">
        <v>291</v>
      </c>
      <c r="AB42" s="288" t="s">
        <v>577</v>
      </c>
      <c r="AC42" s="291"/>
      <c r="AD42" s="291">
        <f>ROUND(S42*V42/X42,-3)</f>
        <v>45000</v>
      </c>
      <c r="AE42" s="390" t="s">
        <v>65</v>
      </c>
      <c r="AF42" s="2"/>
    </row>
    <row r="43" spans="1:32" s="11" customFormat="1" ht="21" customHeight="1">
      <c r="A43" s="45"/>
      <c r="B43" s="46"/>
      <c r="C43" s="46"/>
      <c r="D43" s="159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0"/>
      <c r="P43" s="290"/>
      <c r="Q43" s="290"/>
      <c r="R43" s="290"/>
      <c r="S43" s="288"/>
      <c r="T43" s="421"/>
      <c r="U43" s="420"/>
      <c r="V43" s="478"/>
      <c r="W43" s="421"/>
      <c r="X43" s="479"/>
      <c r="Y43" s="423"/>
      <c r="Z43" s="423"/>
      <c r="AA43" s="421"/>
      <c r="AB43" s="288"/>
      <c r="AC43" s="291"/>
      <c r="AD43" s="291"/>
      <c r="AE43" s="390"/>
      <c r="AF43" s="2"/>
    </row>
    <row r="44" spans="1:32" s="11" customFormat="1" ht="21" customHeight="1">
      <c r="A44" s="45"/>
      <c r="B44" s="46"/>
      <c r="C44" s="46"/>
      <c r="D44" s="159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469" t="s">
        <v>304</v>
      </c>
      <c r="P44" s="290"/>
      <c r="Q44" s="290"/>
      <c r="R44" s="290"/>
      <c r="S44" s="290"/>
      <c r="T44" s="288"/>
      <c r="U44" s="288"/>
      <c r="V44" s="288"/>
      <c r="W44" s="441" t="s">
        <v>292</v>
      </c>
      <c r="X44" s="441"/>
      <c r="Y44" s="441"/>
      <c r="Z44" s="441"/>
      <c r="AA44" s="441"/>
      <c r="AB44" s="441"/>
      <c r="AC44" s="442" t="s">
        <v>301</v>
      </c>
      <c r="AD44" s="442">
        <f>ROUNDDOWN(SUM(AD45:AD46),-3)</f>
        <v>1093000</v>
      </c>
      <c r="AE44" s="443" t="s">
        <v>289</v>
      </c>
      <c r="AF44" s="2"/>
    </row>
    <row r="45" spans="1:32" s="11" customFormat="1" ht="21" customHeight="1">
      <c r="A45" s="45"/>
      <c r="B45" s="46"/>
      <c r="C45" s="46"/>
      <c r="D45" s="159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0"/>
      <c r="P45" s="290"/>
      <c r="Q45" s="290"/>
      <c r="R45" s="290"/>
      <c r="S45" s="288">
        <f>S41</f>
        <v>34699000</v>
      </c>
      <c r="T45" s="421" t="s">
        <v>289</v>
      </c>
      <c r="U45" s="420" t="s">
        <v>303</v>
      </c>
      <c r="V45" s="480">
        <v>6.1199999999999997E-2</v>
      </c>
      <c r="W45" s="421" t="s">
        <v>299</v>
      </c>
      <c r="X45" s="481">
        <v>2</v>
      </c>
      <c r="Y45" s="423"/>
      <c r="Z45" s="423"/>
      <c r="AA45" s="421" t="s">
        <v>300</v>
      </c>
      <c r="AB45" s="288" t="s">
        <v>349</v>
      </c>
      <c r="AC45" s="291"/>
      <c r="AD45" s="291">
        <f>ROUND(S45*V45/X45,-3)</f>
        <v>1062000</v>
      </c>
      <c r="AE45" s="390" t="s">
        <v>289</v>
      </c>
      <c r="AF45" s="2"/>
    </row>
    <row r="46" spans="1:32" s="11" customFormat="1" ht="21" customHeight="1">
      <c r="A46" s="45"/>
      <c r="B46" s="46"/>
      <c r="C46" s="46"/>
      <c r="D46" s="159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0"/>
      <c r="P46" s="290"/>
      <c r="Q46" s="290"/>
      <c r="R46" s="290"/>
      <c r="S46" s="288">
        <f>S42</f>
        <v>999000</v>
      </c>
      <c r="T46" s="421" t="s">
        <v>289</v>
      </c>
      <c r="U46" s="420" t="s">
        <v>303</v>
      </c>
      <c r="V46" s="480">
        <v>6.1199999999999997E-2</v>
      </c>
      <c r="W46" s="421" t="s">
        <v>299</v>
      </c>
      <c r="X46" s="481">
        <v>2</v>
      </c>
      <c r="Y46" s="423"/>
      <c r="Z46" s="423"/>
      <c r="AA46" s="421" t="s">
        <v>230</v>
      </c>
      <c r="AB46" s="288" t="s">
        <v>577</v>
      </c>
      <c r="AC46" s="291"/>
      <c r="AD46" s="291">
        <f>ROUND(S46*V46/X46,-3)</f>
        <v>31000</v>
      </c>
      <c r="AE46" s="390" t="s">
        <v>289</v>
      </c>
      <c r="AF46" s="2"/>
    </row>
    <row r="47" spans="1:32" s="11" customFormat="1" ht="21" customHeight="1">
      <c r="A47" s="45"/>
      <c r="B47" s="46"/>
      <c r="C47" s="46"/>
      <c r="D47" s="159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0"/>
      <c r="P47" s="290"/>
      <c r="Q47" s="290"/>
      <c r="R47" s="290"/>
      <c r="S47" s="290"/>
      <c r="T47" s="288"/>
      <c r="U47" s="288"/>
      <c r="V47" s="288"/>
      <c r="W47" s="288"/>
      <c r="X47" s="288"/>
      <c r="Y47" s="288"/>
      <c r="Z47" s="288"/>
      <c r="AA47" s="288"/>
      <c r="AB47" s="288"/>
      <c r="AC47" s="291"/>
      <c r="AD47" s="291"/>
      <c r="AE47" s="390"/>
      <c r="AF47" s="2"/>
    </row>
    <row r="48" spans="1:32" s="11" customFormat="1" ht="21" customHeight="1">
      <c r="A48" s="45"/>
      <c r="B48" s="46"/>
      <c r="C48" s="46"/>
      <c r="D48" s="159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469" t="s">
        <v>305</v>
      </c>
      <c r="P48" s="290"/>
      <c r="Q48" s="290"/>
      <c r="R48" s="290"/>
      <c r="S48" s="290"/>
      <c r="T48" s="288"/>
      <c r="U48" s="288"/>
      <c r="V48" s="288"/>
      <c r="W48" s="441" t="s">
        <v>292</v>
      </c>
      <c r="X48" s="441"/>
      <c r="Y48" s="441"/>
      <c r="Z48" s="441"/>
      <c r="AA48" s="441"/>
      <c r="AB48" s="441"/>
      <c r="AC48" s="442" t="s">
        <v>301</v>
      </c>
      <c r="AD48" s="442">
        <f>ROUND(SUM(AD49:AD50),-3)</f>
        <v>72000</v>
      </c>
      <c r="AE48" s="443" t="s">
        <v>289</v>
      </c>
      <c r="AF48" s="2"/>
    </row>
    <row r="49" spans="1:32" s="11" customFormat="1" ht="21" customHeight="1">
      <c r="A49" s="45"/>
      <c r="B49" s="46"/>
      <c r="C49" s="46"/>
      <c r="D49" s="159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0"/>
      <c r="P49" s="290"/>
      <c r="Q49" s="290"/>
      <c r="R49" s="290"/>
      <c r="S49" s="482">
        <f>AD45</f>
        <v>1062000</v>
      </c>
      <c r="T49" s="421" t="s">
        <v>289</v>
      </c>
      <c r="U49" s="420" t="s">
        <v>303</v>
      </c>
      <c r="V49" s="480">
        <v>6.5500000000000003E-2</v>
      </c>
      <c r="W49" s="420"/>
      <c r="X49" s="422"/>
      <c r="Y49" s="423"/>
      <c r="Z49" s="423"/>
      <c r="AA49" s="421" t="s">
        <v>300</v>
      </c>
      <c r="AB49" s="288" t="s">
        <v>349</v>
      </c>
      <c r="AC49" s="291"/>
      <c r="AD49" s="291">
        <f>ROUND(S49*V49,-3)</f>
        <v>70000</v>
      </c>
      <c r="AE49" s="390" t="s">
        <v>289</v>
      </c>
      <c r="AF49" s="2"/>
    </row>
    <row r="50" spans="1:32" s="11" customFormat="1" ht="21" customHeight="1">
      <c r="A50" s="45"/>
      <c r="B50" s="46"/>
      <c r="C50" s="46"/>
      <c r="D50" s="159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0"/>
      <c r="P50" s="290"/>
      <c r="Q50" s="290"/>
      <c r="R50" s="290"/>
      <c r="S50" s="482">
        <f>AD46</f>
        <v>31000</v>
      </c>
      <c r="T50" s="421" t="s">
        <v>289</v>
      </c>
      <c r="U50" s="420" t="s">
        <v>303</v>
      </c>
      <c r="V50" s="480">
        <v>6.5500000000000003E-2</v>
      </c>
      <c r="W50" s="420"/>
      <c r="X50" s="422"/>
      <c r="Y50" s="423"/>
      <c r="Z50" s="423"/>
      <c r="AA50" s="421" t="s">
        <v>230</v>
      </c>
      <c r="AB50" s="288" t="s">
        <v>577</v>
      </c>
      <c r="AC50" s="291"/>
      <c r="AD50" s="291">
        <f>ROUND(S50*V50,-3)</f>
        <v>2000</v>
      </c>
      <c r="AE50" s="390" t="s">
        <v>289</v>
      </c>
      <c r="AF50" s="2"/>
    </row>
    <row r="51" spans="1:32" s="11" customFormat="1" ht="21" customHeight="1">
      <c r="A51" s="45"/>
      <c r="B51" s="46"/>
      <c r="C51" s="46"/>
      <c r="D51" s="159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0"/>
      <c r="P51" s="290"/>
      <c r="Q51" s="290"/>
      <c r="R51" s="290"/>
      <c r="S51" s="482"/>
      <c r="T51" s="421"/>
      <c r="U51" s="420"/>
      <c r="V51" s="480"/>
      <c r="W51" s="420"/>
      <c r="X51" s="422"/>
      <c r="Y51" s="423"/>
      <c r="Z51" s="423"/>
      <c r="AA51" s="421"/>
      <c r="AB51" s="288"/>
      <c r="AC51" s="291"/>
      <c r="AD51" s="291"/>
      <c r="AE51" s="390"/>
      <c r="AF51" s="2"/>
    </row>
    <row r="52" spans="1:32" s="11" customFormat="1" ht="21" customHeight="1">
      <c r="A52" s="45"/>
      <c r="B52" s="46"/>
      <c r="C52" s="46"/>
      <c r="D52" s="159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469" t="s">
        <v>306</v>
      </c>
      <c r="P52" s="290"/>
      <c r="Q52" s="290"/>
      <c r="R52" s="290"/>
      <c r="S52" s="290"/>
      <c r="T52" s="288"/>
      <c r="U52" s="288"/>
      <c r="V52" s="288"/>
      <c r="W52" s="441" t="s">
        <v>292</v>
      </c>
      <c r="X52" s="441"/>
      <c r="Y52" s="441"/>
      <c r="Z52" s="441"/>
      <c r="AA52" s="441"/>
      <c r="AB52" s="441"/>
      <c r="AC52" s="442" t="s">
        <v>301</v>
      </c>
      <c r="AD52" s="442">
        <f>ROUND(SUM(AD53:AD54),-3)</f>
        <v>321000</v>
      </c>
      <c r="AE52" s="443" t="s">
        <v>289</v>
      </c>
      <c r="AF52" s="2"/>
    </row>
    <row r="53" spans="1:32" s="11" customFormat="1" ht="21" customHeight="1">
      <c r="A53" s="45"/>
      <c r="B53" s="46"/>
      <c r="C53" s="46"/>
      <c r="D53" s="159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0"/>
      <c r="P53" s="290"/>
      <c r="Q53" s="290"/>
      <c r="R53" s="290"/>
      <c r="S53" s="288">
        <f>S45</f>
        <v>34699000</v>
      </c>
      <c r="T53" s="421" t="s">
        <v>289</v>
      </c>
      <c r="U53" s="420" t="s">
        <v>303</v>
      </c>
      <c r="V53" s="480">
        <v>8.9999999999999993E-3</v>
      </c>
      <c r="W53" s="420"/>
      <c r="X53" s="422"/>
      <c r="Y53" s="423"/>
      <c r="Z53" s="423"/>
      <c r="AA53" s="421" t="s">
        <v>300</v>
      </c>
      <c r="AB53" s="288" t="s">
        <v>349</v>
      </c>
      <c r="AC53" s="291"/>
      <c r="AD53" s="291">
        <f>ROUND(S53*V53,-3)</f>
        <v>312000</v>
      </c>
      <c r="AE53" s="390" t="s">
        <v>289</v>
      </c>
      <c r="AF53" s="2"/>
    </row>
    <row r="54" spans="1:32" s="11" customFormat="1" ht="21" customHeight="1">
      <c r="A54" s="45"/>
      <c r="B54" s="46"/>
      <c r="C54" s="46"/>
      <c r="D54" s="159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0"/>
      <c r="P54" s="290"/>
      <c r="Q54" s="290"/>
      <c r="R54" s="290"/>
      <c r="S54" s="288">
        <f>S46</f>
        <v>999000</v>
      </c>
      <c r="T54" s="421" t="s">
        <v>289</v>
      </c>
      <c r="U54" s="420" t="s">
        <v>303</v>
      </c>
      <c r="V54" s="480">
        <v>8.9999999999999993E-3</v>
      </c>
      <c r="W54" s="420"/>
      <c r="X54" s="422"/>
      <c r="Y54" s="423"/>
      <c r="Z54" s="423"/>
      <c r="AA54" s="421" t="s">
        <v>230</v>
      </c>
      <c r="AB54" s="288" t="s">
        <v>577</v>
      </c>
      <c r="AC54" s="291"/>
      <c r="AD54" s="291">
        <f>ROUND(S54*V54,-3)</f>
        <v>9000</v>
      </c>
      <c r="AE54" s="390" t="s">
        <v>289</v>
      </c>
      <c r="AF54" s="2"/>
    </row>
    <row r="55" spans="1:32" s="11" customFormat="1" ht="21" customHeight="1">
      <c r="A55" s="45"/>
      <c r="B55" s="46"/>
      <c r="C55" s="46"/>
      <c r="D55" s="159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0"/>
      <c r="P55" s="290"/>
      <c r="Q55" s="290"/>
      <c r="R55" s="290"/>
      <c r="S55" s="290"/>
      <c r="T55" s="288"/>
      <c r="U55" s="288"/>
      <c r="V55" s="288"/>
      <c r="W55" s="288"/>
      <c r="X55" s="288"/>
      <c r="Y55" s="288"/>
      <c r="Z55" s="288"/>
      <c r="AA55" s="288"/>
      <c r="AB55" s="288"/>
      <c r="AC55" s="291"/>
      <c r="AD55" s="291"/>
      <c r="AE55" s="390"/>
      <c r="AF55" s="2"/>
    </row>
    <row r="56" spans="1:32" s="11" customFormat="1" ht="21" customHeight="1">
      <c r="A56" s="45"/>
      <c r="B56" s="46"/>
      <c r="C56" s="46"/>
      <c r="D56" s="159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469" t="s">
        <v>307</v>
      </c>
      <c r="P56" s="290"/>
      <c r="Q56" s="290"/>
      <c r="R56" s="290"/>
      <c r="S56" s="290"/>
      <c r="T56" s="288"/>
      <c r="U56" s="288"/>
      <c r="V56" s="288"/>
      <c r="W56" s="441" t="s">
        <v>292</v>
      </c>
      <c r="X56" s="441"/>
      <c r="Y56" s="441"/>
      <c r="Z56" s="441"/>
      <c r="AA56" s="441"/>
      <c r="AB56" s="441"/>
      <c r="AC56" s="442" t="s">
        <v>301</v>
      </c>
      <c r="AD56" s="442">
        <f>ROUND(SUM(AD57:AD58),-3)</f>
        <v>270000</v>
      </c>
      <c r="AE56" s="443" t="s">
        <v>289</v>
      </c>
      <c r="AF56" s="2"/>
    </row>
    <row r="57" spans="1:32" s="11" customFormat="1" ht="21" customHeight="1">
      <c r="A57" s="45"/>
      <c r="B57" s="46"/>
      <c r="C57" s="46"/>
      <c r="D57" s="159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0"/>
      <c r="P57" s="290"/>
      <c r="Q57" s="290"/>
      <c r="R57" s="290"/>
      <c r="S57" s="288">
        <f>S53</f>
        <v>34699000</v>
      </c>
      <c r="T57" s="421" t="s">
        <v>289</v>
      </c>
      <c r="U57" s="420" t="s">
        <v>303</v>
      </c>
      <c r="V57" s="483">
        <v>7.6E-3</v>
      </c>
      <c r="W57" s="420"/>
      <c r="X57" s="422"/>
      <c r="Y57" s="423"/>
      <c r="Z57" s="423"/>
      <c r="AA57" s="421" t="s">
        <v>300</v>
      </c>
      <c r="AB57" s="288" t="s">
        <v>349</v>
      </c>
      <c r="AC57" s="291"/>
      <c r="AD57" s="291">
        <f>ROUNDDOWN(S57*V57,-3)</f>
        <v>263000</v>
      </c>
      <c r="AE57" s="390" t="s">
        <v>289</v>
      </c>
      <c r="AF57" s="2"/>
    </row>
    <row r="58" spans="1:32" s="11" customFormat="1" ht="21" customHeight="1">
      <c r="A58" s="45"/>
      <c r="B58" s="46"/>
      <c r="C58" s="46"/>
      <c r="D58" s="159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0"/>
      <c r="P58" s="290"/>
      <c r="Q58" s="290"/>
      <c r="R58" s="290"/>
      <c r="S58" s="288">
        <f>S54</f>
        <v>999000</v>
      </c>
      <c r="T58" s="421" t="s">
        <v>289</v>
      </c>
      <c r="U58" s="420" t="s">
        <v>303</v>
      </c>
      <c r="V58" s="483">
        <v>7.6E-3</v>
      </c>
      <c r="W58" s="420"/>
      <c r="X58" s="422"/>
      <c r="Y58" s="423"/>
      <c r="Z58" s="423"/>
      <c r="AA58" s="421" t="s">
        <v>230</v>
      </c>
      <c r="AB58" s="288" t="s">
        <v>577</v>
      </c>
      <c r="AC58" s="291"/>
      <c r="AD58" s="291">
        <f>ROUNDDOWN(S58*V58,-3)</f>
        <v>7000</v>
      </c>
      <c r="AE58" s="390" t="s">
        <v>289</v>
      </c>
      <c r="AF58" s="2"/>
    </row>
    <row r="59" spans="1:32" s="11" customFormat="1" ht="21" customHeight="1">
      <c r="A59" s="45"/>
      <c r="B59" s="46"/>
      <c r="C59" s="46"/>
      <c r="D59" s="159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90"/>
      <c r="P59" s="290"/>
      <c r="Q59" s="290"/>
      <c r="R59" s="290"/>
      <c r="S59" s="288"/>
      <c r="T59" s="421"/>
      <c r="U59" s="420"/>
      <c r="V59" s="483"/>
      <c r="W59" s="420"/>
      <c r="X59" s="422"/>
      <c r="Y59" s="423"/>
      <c r="Z59" s="423"/>
      <c r="AA59" s="421"/>
      <c r="AB59" s="288"/>
      <c r="AC59" s="291"/>
      <c r="AD59" s="291"/>
      <c r="AE59" s="390"/>
      <c r="AF59" s="2"/>
    </row>
    <row r="60" spans="1:32" s="11" customFormat="1" ht="21" customHeight="1">
      <c r="A60" s="45"/>
      <c r="B60" s="46"/>
      <c r="C60" s="46"/>
      <c r="D60" s="159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469" t="s">
        <v>584</v>
      </c>
      <c r="P60" s="290"/>
      <c r="Q60" s="290"/>
      <c r="R60" s="290"/>
      <c r="S60" s="290"/>
      <c r="T60" s="288"/>
      <c r="U60" s="288"/>
      <c r="V60" s="288"/>
      <c r="W60" s="441" t="s">
        <v>579</v>
      </c>
      <c r="X60" s="441"/>
      <c r="Y60" s="441"/>
      <c r="Z60" s="441"/>
      <c r="AA60" s="441"/>
      <c r="AB60" s="441" t="s">
        <v>585</v>
      </c>
      <c r="AC60" s="442" t="s">
        <v>580</v>
      </c>
      <c r="AD60" s="442">
        <v>209000</v>
      </c>
      <c r="AE60" s="443" t="s">
        <v>573</v>
      </c>
      <c r="AF60" s="2"/>
    </row>
    <row r="61" spans="1:32" s="11" customFormat="1" ht="21" customHeight="1">
      <c r="A61" s="45"/>
      <c r="B61" s="46"/>
      <c r="C61" s="46"/>
      <c r="D61" s="159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90"/>
      <c r="P61" s="290"/>
      <c r="Q61" s="290"/>
      <c r="R61" s="290"/>
      <c r="S61" s="288"/>
      <c r="T61" s="421"/>
      <c r="U61" s="420"/>
      <c r="V61" s="483"/>
      <c r="W61" s="420"/>
      <c r="X61" s="422"/>
      <c r="Y61" s="423"/>
      <c r="Z61" s="423"/>
      <c r="AA61" s="421"/>
      <c r="AB61" s="288"/>
      <c r="AC61" s="291"/>
      <c r="AD61" s="291"/>
      <c r="AE61" s="390"/>
      <c r="AF61" s="2"/>
    </row>
    <row r="62" spans="1:32" s="11" customFormat="1" ht="21" customHeight="1">
      <c r="A62" s="45"/>
      <c r="B62" s="46"/>
      <c r="C62" s="46"/>
      <c r="D62" s="159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0"/>
      <c r="P62" s="290"/>
      <c r="Q62" s="290"/>
      <c r="R62" s="290"/>
      <c r="S62" s="290"/>
      <c r="T62" s="288"/>
      <c r="U62" s="288"/>
      <c r="V62" s="288"/>
      <c r="W62" s="288"/>
      <c r="X62" s="288"/>
      <c r="Y62" s="288"/>
      <c r="Z62" s="288"/>
      <c r="AA62" s="288"/>
      <c r="AB62" s="288"/>
      <c r="AC62" s="291"/>
      <c r="AD62" s="291"/>
      <c r="AE62" s="390"/>
      <c r="AF62" s="2"/>
    </row>
    <row r="63" spans="1:32" s="11" customFormat="1" ht="21" customHeight="1">
      <c r="A63" s="45"/>
      <c r="B63" s="46"/>
      <c r="C63" s="36" t="s">
        <v>80</v>
      </c>
      <c r="D63" s="161">
        <v>370</v>
      </c>
      <c r="E63" s="114">
        <f>SUM(F63:L63)</f>
        <v>370</v>
      </c>
      <c r="F63" s="114">
        <v>0</v>
      </c>
      <c r="G63" s="114">
        <v>0</v>
      </c>
      <c r="H63" s="114">
        <f>AD64/1000</f>
        <v>300</v>
      </c>
      <c r="I63" s="114">
        <v>0</v>
      </c>
      <c r="J63" s="114">
        <f>SUM(AD65:AD66)/1000</f>
        <v>70</v>
      </c>
      <c r="K63" s="114">
        <v>0</v>
      </c>
      <c r="L63" s="114">
        <v>0</v>
      </c>
      <c r="M63" s="113">
        <f>E63-D63</f>
        <v>0</v>
      </c>
      <c r="N63" s="121">
        <f>IF(D63=0,0,M63/D63)</f>
        <v>0</v>
      </c>
      <c r="O63" s="97" t="s">
        <v>81</v>
      </c>
      <c r="P63" s="176"/>
      <c r="Q63" s="93"/>
      <c r="R63" s="93"/>
      <c r="S63" s="93"/>
      <c r="T63" s="89"/>
      <c r="U63" s="89"/>
      <c r="V63" s="89"/>
      <c r="W63" s="177" t="s">
        <v>129</v>
      </c>
      <c r="X63" s="177"/>
      <c r="Y63" s="177"/>
      <c r="Z63" s="177"/>
      <c r="AA63" s="177"/>
      <c r="AB63" s="177"/>
      <c r="AC63" s="179"/>
      <c r="AD63" s="179">
        <f>SUM(AD64:AD66)</f>
        <v>370000</v>
      </c>
      <c r="AE63" s="178" t="s">
        <v>25</v>
      </c>
      <c r="AF63" s="21"/>
    </row>
    <row r="64" spans="1:32" s="11" customFormat="1" ht="21" customHeight="1">
      <c r="A64" s="45"/>
      <c r="B64" s="46"/>
      <c r="C64" s="46" t="s">
        <v>132</v>
      </c>
      <c r="D64" s="159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552" t="s">
        <v>351</v>
      </c>
      <c r="P64" s="552"/>
      <c r="Q64" s="552"/>
      <c r="R64" s="552"/>
      <c r="S64" s="551">
        <v>300000</v>
      </c>
      <c r="T64" s="378" t="s">
        <v>352</v>
      </c>
      <c r="U64" s="484" t="s">
        <v>353</v>
      </c>
      <c r="V64" s="486">
        <v>1</v>
      </c>
      <c r="W64" s="484" t="s">
        <v>354</v>
      </c>
      <c r="X64" s="487"/>
      <c r="Y64" s="76"/>
      <c r="Z64" s="76"/>
      <c r="AA64" s="378" t="s">
        <v>355</v>
      </c>
      <c r="AB64" s="551" t="s">
        <v>356</v>
      </c>
      <c r="AC64" s="136"/>
      <c r="AD64" s="136">
        <f>ROUNDUP(S64*V64,-3)</f>
        <v>300000</v>
      </c>
      <c r="AE64" s="137" t="s">
        <v>352</v>
      </c>
      <c r="AF64" s="2"/>
    </row>
    <row r="65" spans="1:34" s="11" customFormat="1" ht="21" customHeight="1">
      <c r="A65" s="45"/>
      <c r="B65" s="46"/>
      <c r="C65" s="46"/>
      <c r="D65" s="159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580" t="s">
        <v>526</v>
      </c>
      <c r="P65" s="580"/>
      <c r="Q65" s="580"/>
      <c r="R65" s="580"/>
      <c r="S65" s="579">
        <v>50000</v>
      </c>
      <c r="T65" s="378" t="s">
        <v>527</v>
      </c>
      <c r="U65" s="484" t="s">
        <v>528</v>
      </c>
      <c r="V65" s="486">
        <v>1</v>
      </c>
      <c r="W65" s="484" t="s">
        <v>529</v>
      </c>
      <c r="X65" s="487"/>
      <c r="Y65" s="76"/>
      <c r="Z65" s="76"/>
      <c r="AA65" s="378"/>
      <c r="AB65" s="579" t="s">
        <v>530</v>
      </c>
      <c r="AC65" s="136"/>
      <c r="AD65" s="136">
        <f>ROUNDUP(S65*V65,-3)</f>
        <v>50000</v>
      </c>
      <c r="AE65" s="137" t="s">
        <v>527</v>
      </c>
      <c r="AF65" s="2"/>
    </row>
    <row r="66" spans="1:34" s="11" customFormat="1" ht="21" customHeight="1">
      <c r="A66" s="45"/>
      <c r="B66" s="46"/>
      <c r="C66" s="46"/>
      <c r="D66" s="159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572" t="s">
        <v>357</v>
      </c>
      <c r="P66" s="572"/>
      <c r="Q66" s="572"/>
      <c r="R66" s="572"/>
      <c r="S66" s="571">
        <v>20000</v>
      </c>
      <c r="T66" s="378" t="s">
        <v>57</v>
      </c>
      <c r="U66" s="484" t="s">
        <v>58</v>
      </c>
      <c r="V66" s="486">
        <v>1</v>
      </c>
      <c r="W66" s="484" t="s">
        <v>56</v>
      </c>
      <c r="X66" s="487"/>
      <c r="Y66" s="76"/>
      <c r="Z66" s="76"/>
      <c r="AA66" s="378" t="s">
        <v>53</v>
      </c>
      <c r="AB66" s="579" t="s">
        <v>547</v>
      </c>
      <c r="AC66" s="136"/>
      <c r="AD66" s="136">
        <f>ROUNDUP(S66*V66,-3)</f>
        <v>20000</v>
      </c>
      <c r="AE66" s="137" t="s">
        <v>57</v>
      </c>
      <c r="AF66" s="2"/>
    </row>
    <row r="67" spans="1:34" s="11" customFormat="1" ht="21" customHeight="1">
      <c r="A67" s="45"/>
      <c r="B67" s="59"/>
      <c r="C67" s="59"/>
      <c r="D67" s="160"/>
      <c r="E67" s="111"/>
      <c r="F67" s="111"/>
      <c r="G67" s="111"/>
      <c r="H67" s="111"/>
      <c r="I67" s="111"/>
      <c r="J67" s="111"/>
      <c r="K67" s="111"/>
      <c r="L67" s="111"/>
      <c r="M67" s="111"/>
      <c r="N67" s="84"/>
      <c r="O67" s="376"/>
      <c r="P67" s="376"/>
      <c r="Q67" s="376"/>
      <c r="R67" s="376"/>
      <c r="S67" s="488"/>
      <c r="T67" s="489"/>
      <c r="U67" s="489"/>
      <c r="V67" s="489"/>
      <c r="W67" s="488"/>
      <c r="X67" s="489"/>
      <c r="Y67" s="489"/>
      <c r="Z67" s="489"/>
      <c r="AA67" s="488"/>
      <c r="AB67" s="489"/>
      <c r="AC67" s="489"/>
      <c r="AD67" s="488"/>
      <c r="AE67" s="490"/>
      <c r="AF67" s="2"/>
    </row>
    <row r="68" spans="1:34" s="11" customFormat="1" ht="21" customHeight="1">
      <c r="A68" s="45"/>
      <c r="B68" s="46" t="s">
        <v>131</v>
      </c>
      <c r="C68" s="46" t="s">
        <v>5</v>
      </c>
      <c r="D68" s="109">
        <f>SUM(D69,D72,D74)</f>
        <v>150</v>
      </c>
      <c r="E68" s="109">
        <f>SUM(E69,E72,E74)</f>
        <v>350</v>
      </c>
      <c r="F68" s="109">
        <f t="shared" ref="F68:L68" si="8">SUM(F69,F72,F74)</f>
        <v>100</v>
      </c>
      <c r="G68" s="109">
        <f t="shared" si="8"/>
        <v>0</v>
      </c>
      <c r="H68" s="109">
        <f t="shared" si="8"/>
        <v>0</v>
      </c>
      <c r="I68" s="109">
        <f t="shared" si="8"/>
        <v>200</v>
      </c>
      <c r="J68" s="109">
        <f t="shared" si="8"/>
        <v>50</v>
      </c>
      <c r="K68" s="109">
        <f t="shared" si="8"/>
        <v>0</v>
      </c>
      <c r="L68" s="109">
        <f t="shared" si="8"/>
        <v>0</v>
      </c>
      <c r="M68" s="109">
        <f>E68-D68</f>
        <v>200</v>
      </c>
      <c r="N68" s="70">
        <f>IF(D68=0,0,M68/D68)</f>
        <v>1.3333333333333333</v>
      </c>
      <c r="O68" s="186" t="s">
        <v>139</v>
      </c>
      <c r="P68" s="32"/>
      <c r="Q68" s="32"/>
      <c r="R68" s="32"/>
      <c r="S68" s="33"/>
      <c r="T68" s="33"/>
      <c r="U68" s="33"/>
      <c r="V68" s="33"/>
      <c r="W68" s="189"/>
      <c r="X68" s="189"/>
      <c r="Y68" s="189"/>
      <c r="Z68" s="189"/>
      <c r="AA68" s="189"/>
      <c r="AB68" s="189"/>
      <c r="AC68" s="94"/>
      <c r="AD68" s="94">
        <f>SUM(AD69,AD72,AD74)</f>
        <v>350000</v>
      </c>
      <c r="AE68" s="95" t="s">
        <v>25</v>
      </c>
      <c r="AF68" s="5"/>
    </row>
    <row r="69" spans="1:34" s="11" customFormat="1" ht="21" customHeight="1">
      <c r="A69" s="45"/>
      <c r="B69" s="46" t="s">
        <v>138</v>
      </c>
      <c r="C69" s="36" t="s">
        <v>10</v>
      </c>
      <c r="D69" s="161">
        <v>50</v>
      </c>
      <c r="E69" s="114">
        <f>SUM(F69:L69)</f>
        <v>50</v>
      </c>
      <c r="F69" s="113">
        <v>0</v>
      </c>
      <c r="G69" s="113">
        <v>0</v>
      </c>
      <c r="H69" s="113">
        <v>0</v>
      </c>
      <c r="I69" s="113">
        <v>0</v>
      </c>
      <c r="J69" s="113">
        <f>AD70/1000</f>
        <v>50</v>
      </c>
      <c r="K69" s="113">
        <v>0</v>
      </c>
      <c r="L69" s="113">
        <v>0</v>
      </c>
      <c r="M69" s="113">
        <f>E69-D69</f>
        <v>0</v>
      </c>
      <c r="N69" s="121">
        <f>IF(D69=0,0,M69/D69)</f>
        <v>0</v>
      </c>
      <c r="O69" s="97" t="s">
        <v>37</v>
      </c>
      <c r="P69" s="151"/>
      <c r="Q69" s="165"/>
      <c r="R69" s="165"/>
      <c r="S69" s="165"/>
      <c r="T69" s="88"/>
      <c r="U69" s="88"/>
      <c r="V69" s="88"/>
      <c r="W69" s="88"/>
      <c r="X69" s="88"/>
      <c r="Y69" s="177" t="s">
        <v>141</v>
      </c>
      <c r="Z69" s="177"/>
      <c r="AA69" s="177"/>
      <c r="AB69" s="177"/>
      <c r="AC69" s="179"/>
      <c r="AD69" s="179">
        <f>AD70</f>
        <v>50000</v>
      </c>
      <c r="AE69" s="178" t="s">
        <v>25</v>
      </c>
    </row>
    <row r="70" spans="1:34" s="11" customFormat="1" ht="21" customHeight="1">
      <c r="A70" s="45"/>
      <c r="B70" s="46"/>
      <c r="C70" s="46"/>
      <c r="D70" s="159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580" t="s">
        <v>366</v>
      </c>
      <c r="P70" s="471"/>
      <c r="Q70" s="471"/>
      <c r="R70" s="471"/>
      <c r="S70" s="470"/>
      <c r="T70" s="384"/>
      <c r="U70" s="384"/>
      <c r="V70" s="470"/>
      <c r="W70" s="471"/>
      <c r="X70" s="470"/>
      <c r="Y70" s="470"/>
      <c r="Z70" s="470"/>
      <c r="AA70" s="470"/>
      <c r="AB70" s="579" t="s">
        <v>367</v>
      </c>
      <c r="AC70" s="470"/>
      <c r="AD70" s="528">
        <v>50000</v>
      </c>
      <c r="AE70" s="137" t="s">
        <v>311</v>
      </c>
      <c r="AF70" s="2"/>
    </row>
    <row r="71" spans="1:34" s="11" customFormat="1" ht="21" customHeight="1">
      <c r="A71" s="45"/>
      <c r="B71" s="46"/>
      <c r="C71" s="59"/>
      <c r="D71" s="160"/>
      <c r="E71" s="111"/>
      <c r="F71" s="111"/>
      <c r="G71" s="111"/>
      <c r="H71" s="111"/>
      <c r="I71" s="111"/>
      <c r="J71" s="111"/>
      <c r="K71" s="111"/>
      <c r="L71" s="111"/>
      <c r="M71" s="111"/>
      <c r="N71" s="84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124"/>
      <c r="AF71" s="1"/>
    </row>
    <row r="72" spans="1:34" s="11" customFormat="1" ht="21" customHeight="1">
      <c r="A72" s="45"/>
      <c r="B72" s="46"/>
      <c r="C72" s="46" t="s">
        <v>11</v>
      </c>
      <c r="D72" s="159">
        <v>0</v>
      </c>
      <c r="E72" s="114">
        <f>SUM(F72:L72)</f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f>E72-D72</f>
        <v>0</v>
      </c>
      <c r="N72" s="70">
        <f>IF(D72=0,0,M72/D72)</f>
        <v>0</v>
      </c>
      <c r="O72" s="97" t="s">
        <v>140</v>
      </c>
      <c r="P72" s="176"/>
      <c r="Q72" s="32"/>
      <c r="R72" s="32"/>
      <c r="S72" s="32"/>
      <c r="T72" s="33"/>
      <c r="U72" s="33"/>
      <c r="V72" s="33"/>
      <c r="W72" s="33"/>
      <c r="X72" s="33"/>
      <c r="Y72" s="177" t="s">
        <v>141</v>
      </c>
      <c r="Z72" s="177"/>
      <c r="AA72" s="177"/>
      <c r="AB72" s="177"/>
      <c r="AC72" s="179"/>
      <c r="AD72" s="179">
        <v>0</v>
      </c>
      <c r="AE72" s="178" t="s">
        <v>25</v>
      </c>
      <c r="AF72" s="1"/>
    </row>
    <row r="73" spans="1:34" s="11" customFormat="1" ht="21" customHeight="1">
      <c r="A73" s="45"/>
      <c r="B73" s="46"/>
      <c r="C73" s="59"/>
      <c r="D73" s="160"/>
      <c r="E73" s="111"/>
      <c r="F73" s="111"/>
      <c r="G73" s="111"/>
      <c r="H73" s="111"/>
      <c r="I73" s="111"/>
      <c r="J73" s="111"/>
      <c r="K73" s="111"/>
      <c r="L73" s="111"/>
      <c r="M73" s="111"/>
      <c r="N73" s="84"/>
      <c r="O73" s="154"/>
      <c r="P73" s="81"/>
      <c r="Q73" s="81"/>
      <c r="R73" s="81"/>
      <c r="S73" s="80"/>
      <c r="T73" s="85"/>
      <c r="U73" s="85"/>
      <c r="V73" s="80"/>
      <c r="W73" s="81"/>
      <c r="X73" s="80"/>
      <c r="Y73" s="80"/>
      <c r="Z73" s="80"/>
      <c r="AA73" s="80"/>
      <c r="AB73" s="80"/>
      <c r="AC73" s="80"/>
      <c r="AD73" s="80"/>
      <c r="AE73" s="73"/>
      <c r="AF73" s="1"/>
    </row>
    <row r="74" spans="1:34" s="11" customFormat="1" ht="21" customHeight="1">
      <c r="A74" s="45"/>
      <c r="B74" s="46"/>
      <c r="C74" s="46" t="s">
        <v>82</v>
      </c>
      <c r="D74" s="159">
        <v>100</v>
      </c>
      <c r="E74" s="114">
        <f>SUM(F74:L74)</f>
        <v>300</v>
      </c>
      <c r="F74" s="109">
        <f>AD75/1000</f>
        <v>100</v>
      </c>
      <c r="G74" s="109">
        <v>0</v>
      </c>
      <c r="H74" s="109">
        <v>0</v>
      </c>
      <c r="I74" s="109">
        <f>SUM(AD76:AD77)/1000</f>
        <v>200</v>
      </c>
      <c r="J74" s="109">
        <v>0</v>
      </c>
      <c r="K74" s="113">
        <v>0</v>
      </c>
      <c r="L74" s="109">
        <v>0</v>
      </c>
      <c r="M74" s="109">
        <f>E74-D74</f>
        <v>200</v>
      </c>
      <c r="N74" s="70">
        <f>IF(D74=0,0,M74/D74)</f>
        <v>2</v>
      </c>
      <c r="O74" s="116" t="s">
        <v>38</v>
      </c>
      <c r="P74" s="32"/>
      <c r="Q74" s="32"/>
      <c r="R74" s="32"/>
      <c r="S74" s="32"/>
      <c r="T74" s="33"/>
      <c r="U74" s="33"/>
      <c r="V74" s="33"/>
      <c r="W74" s="33"/>
      <c r="X74" s="33"/>
      <c r="Y74" s="177" t="s">
        <v>141</v>
      </c>
      <c r="Z74" s="177"/>
      <c r="AA74" s="177"/>
      <c r="AB74" s="177"/>
      <c r="AC74" s="179"/>
      <c r="AD74" s="179">
        <f>SUM(AD75:AD77)</f>
        <v>300000</v>
      </c>
      <c r="AE74" s="178" t="s">
        <v>25</v>
      </c>
      <c r="AF74" s="1"/>
    </row>
    <row r="75" spans="1:34" s="11" customFormat="1" ht="21" customHeight="1">
      <c r="A75" s="45"/>
      <c r="B75" s="46"/>
      <c r="C75" s="46"/>
      <c r="D75" s="159"/>
      <c r="E75" s="615"/>
      <c r="F75" s="109"/>
      <c r="G75" s="109"/>
      <c r="H75" s="109"/>
      <c r="I75" s="109"/>
      <c r="J75" s="109"/>
      <c r="K75" s="109"/>
      <c r="L75" s="109"/>
      <c r="M75" s="109"/>
      <c r="N75" s="70"/>
      <c r="O75" s="290" t="s">
        <v>624</v>
      </c>
      <c r="P75" s="290"/>
      <c r="Q75" s="290"/>
      <c r="R75" s="290"/>
      <c r="S75" s="579">
        <v>50000</v>
      </c>
      <c r="T75" s="579" t="s">
        <v>625</v>
      </c>
      <c r="U75" s="580" t="s">
        <v>626</v>
      </c>
      <c r="V75" s="616">
        <v>2</v>
      </c>
      <c r="W75" s="580" t="s">
        <v>626</v>
      </c>
      <c r="X75" s="617">
        <v>1</v>
      </c>
      <c r="Y75" s="385"/>
      <c r="Z75" s="378"/>
      <c r="AA75" s="378" t="s">
        <v>627</v>
      </c>
      <c r="AB75" s="378" t="s">
        <v>628</v>
      </c>
      <c r="AC75" s="579"/>
      <c r="AD75" s="579">
        <f>S75*V75*X75</f>
        <v>100000</v>
      </c>
      <c r="AE75" s="137" t="s">
        <v>625</v>
      </c>
      <c r="AF75" s="1"/>
    </row>
    <row r="76" spans="1:34" s="11" customFormat="1" ht="21" customHeight="1">
      <c r="A76" s="45"/>
      <c r="B76" s="46"/>
      <c r="C76" s="46"/>
      <c r="D76" s="159"/>
      <c r="E76" s="615"/>
      <c r="F76" s="109"/>
      <c r="G76" s="109"/>
      <c r="H76" s="109"/>
      <c r="I76" s="109"/>
      <c r="J76" s="109"/>
      <c r="K76" s="109"/>
      <c r="L76" s="109"/>
      <c r="M76" s="109"/>
      <c r="N76" s="70"/>
      <c r="O76" s="290"/>
      <c r="P76" s="290"/>
      <c r="Q76" s="290"/>
      <c r="R76" s="290"/>
      <c r="S76" s="579">
        <v>50000</v>
      </c>
      <c r="T76" s="579" t="s">
        <v>625</v>
      </c>
      <c r="U76" s="580" t="s">
        <v>626</v>
      </c>
      <c r="V76" s="616">
        <v>2</v>
      </c>
      <c r="W76" s="580" t="s">
        <v>626</v>
      </c>
      <c r="X76" s="617">
        <v>1</v>
      </c>
      <c r="Y76" s="385"/>
      <c r="Z76" s="378"/>
      <c r="AA76" s="378" t="s">
        <v>627</v>
      </c>
      <c r="AB76" s="378" t="s">
        <v>629</v>
      </c>
      <c r="AC76" s="579"/>
      <c r="AD76" s="579">
        <f>S76*V76*X76</f>
        <v>100000</v>
      </c>
      <c r="AE76" s="137" t="s">
        <v>625</v>
      </c>
      <c r="AF76" s="1"/>
    </row>
    <row r="77" spans="1:34" s="14" customFormat="1" ht="21" customHeight="1">
      <c r="A77" s="45"/>
      <c r="B77" s="46"/>
      <c r="C77" s="46"/>
      <c r="D77" s="159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290" t="s">
        <v>368</v>
      </c>
      <c r="P77" s="290"/>
      <c r="Q77" s="290"/>
      <c r="R77" s="290"/>
      <c r="S77" s="579">
        <v>25000</v>
      </c>
      <c r="T77" s="579" t="s">
        <v>57</v>
      </c>
      <c r="U77" s="580" t="s">
        <v>58</v>
      </c>
      <c r="V77" s="579">
        <v>4</v>
      </c>
      <c r="W77" s="579" t="s">
        <v>369</v>
      </c>
      <c r="X77" s="580"/>
      <c r="Y77" s="385"/>
      <c r="Z77" s="378"/>
      <c r="AA77" s="378" t="s">
        <v>53</v>
      </c>
      <c r="AB77" s="378" t="s">
        <v>629</v>
      </c>
      <c r="AC77" s="526"/>
      <c r="AD77" s="526">
        <f>S77*V77</f>
        <v>100000</v>
      </c>
      <c r="AE77" s="137" t="s">
        <v>57</v>
      </c>
      <c r="AF77" s="4"/>
    </row>
    <row r="78" spans="1:34" s="14" customFormat="1" ht="21" customHeight="1">
      <c r="A78" s="45"/>
      <c r="B78" s="46"/>
      <c r="C78" s="46"/>
      <c r="D78" s="159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471"/>
      <c r="P78" s="471"/>
      <c r="Q78" s="471"/>
      <c r="R78" s="471"/>
      <c r="S78" s="470"/>
      <c r="T78" s="384"/>
      <c r="U78" s="384"/>
      <c r="V78" s="470"/>
      <c r="W78" s="471"/>
      <c r="X78" s="470"/>
      <c r="Y78" s="470"/>
      <c r="Z78" s="470"/>
      <c r="AA78" s="470"/>
      <c r="AB78" s="470"/>
      <c r="AC78" s="470"/>
      <c r="AD78" s="470"/>
      <c r="AE78" s="137"/>
      <c r="AF78" s="4"/>
    </row>
    <row r="79" spans="1:34" s="11" customFormat="1" ht="21" customHeight="1">
      <c r="A79" s="45"/>
      <c r="B79" s="36" t="s">
        <v>12</v>
      </c>
      <c r="C79" s="173" t="s">
        <v>5</v>
      </c>
      <c r="D79" s="174">
        <f t="shared" ref="D79:L79" si="9">SUM(D80,D83,D90,D95,D103,D107)</f>
        <v>7340</v>
      </c>
      <c r="E79" s="174">
        <f t="shared" si="9"/>
        <v>7872</v>
      </c>
      <c r="F79" s="174">
        <f t="shared" si="9"/>
        <v>4825</v>
      </c>
      <c r="G79" s="174">
        <f t="shared" si="9"/>
        <v>0</v>
      </c>
      <c r="H79" s="174">
        <f t="shared" si="9"/>
        <v>0</v>
      </c>
      <c r="I79" s="174">
        <f t="shared" si="9"/>
        <v>0</v>
      </c>
      <c r="J79" s="174">
        <f t="shared" si="9"/>
        <v>3047</v>
      </c>
      <c r="K79" s="174">
        <f t="shared" si="9"/>
        <v>0</v>
      </c>
      <c r="L79" s="174">
        <f t="shared" si="9"/>
        <v>0</v>
      </c>
      <c r="M79" s="174">
        <f>E79-D79</f>
        <v>532</v>
      </c>
      <c r="N79" s="175">
        <f>IF(D79=0,0,M79/D79)</f>
        <v>7.2479564032697549E-2</v>
      </c>
      <c r="O79" s="176" t="s">
        <v>143</v>
      </c>
      <c r="P79" s="176"/>
      <c r="Q79" s="176"/>
      <c r="R79" s="176"/>
      <c r="S79" s="177"/>
      <c r="T79" s="191"/>
      <c r="U79" s="177"/>
      <c r="V79" s="661"/>
      <c r="W79" s="662"/>
      <c r="X79" s="177"/>
      <c r="Y79" s="177"/>
      <c r="Z79" s="177"/>
      <c r="AA79" s="177"/>
      <c r="AB79" s="177"/>
      <c r="AC79" s="177"/>
      <c r="AD79" s="177">
        <f>SUM(AD80,AD83,AD90,AD95,AD103,AD107)</f>
        <v>7872000</v>
      </c>
      <c r="AE79" s="178" t="s">
        <v>25</v>
      </c>
      <c r="AF79" s="1"/>
    </row>
    <row r="80" spans="1:34" s="11" customFormat="1" ht="21" customHeight="1">
      <c r="A80" s="45"/>
      <c r="B80" s="46"/>
      <c r="C80" s="46" t="s">
        <v>83</v>
      </c>
      <c r="D80" s="159">
        <v>100</v>
      </c>
      <c r="E80" s="114">
        <f>SUM(F80:L80)</f>
        <v>100</v>
      </c>
      <c r="F80" s="109">
        <v>0</v>
      </c>
      <c r="G80" s="109">
        <v>0</v>
      </c>
      <c r="H80" s="109">
        <v>0</v>
      </c>
      <c r="I80" s="109">
        <v>0</v>
      </c>
      <c r="J80" s="109">
        <f>AD81/1000</f>
        <v>100</v>
      </c>
      <c r="K80" s="109">
        <v>0</v>
      </c>
      <c r="L80" s="109">
        <v>0</v>
      </c>
      <c r="M80" s="109">
        <f>E80-D80</f>
        <v>0</v>
      </c>
      <c r="N80" s="70">
        <f>IF(D80=0,0,M80/D80)</f>
        <v>0</v>
      </c>
      <c r="O80" s="116" t="s">
        <v>40</v>
      </c>
      <c r="P80" s="32"/>
      <c r="Q80" s="32"/>
      <c r="R80" s="32"/>
      <c r="S80" s="32"/>
      <c r="T80" s="33"/>
      <c r="U80" s="33"/>
      <c r="V80" s="33"/>
      <c r="W80" s="33"/>
      <c r="X80" s="33"/>
      <c r="Y80" s="457" t="s">
        <v>141</v>
      </c>
      <c r="Z80" s="457"/>
      <c r="AA80" s="457"/>
      <c r="AB80" s="457"/>
      <c r="AC80" s="179"/>
      <c r="AD80" s="179">
        <f>SUM(AD81:AD81)</f>
        <v>100000</v>
      </c>
      <c r="AE80" s="178" t="s">
        <v>25</v>
      </c>
      <c r="AF80" s="20"/>
      <c r="AG80" s="19"/>
      <c r="AH80" s="19"/>
    </row>
    <row r="81" spans="1:32" s="11" customFormat="1" ht="21" customHeight="1">
      <c r="A81" s="45"/>
      <c r="B81" s="46"/>
      <c r="C81" s="46"/>
      <c r="D81" s="159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290" t="s">
        <v>284</v>
      </c>
      <c r="P81" s="290"/>
      <c r="Q81" s="290"/>
      <c r="R81" s="290"/>
      <c r="S81" s="288">
        <v>50000</v>
      </c>
      <c r="T81" s="424" t="s">
        <v>25</v>
      </c>
      <c r="U81" s="424" t="s">
        <v>26</v>
      </c>
      <c r="V81" s="288">
        <v>1</v>
      </c>
      <c r="W81" s="424" t="s">
        <v>144</v>
      </c>
      <c r="X81" s="288" t="s">
        <v>26</v>
      </c>
      <c r="Y81" s="288">
        <v>2</v>
      </c>
      <c r="Z81" s="288" t="s">
        <v>273</v>
      </c>
      <c r="AA81" s="288" t="s">
        <v>27</v>
      </c>
      <c r="AB81" s="288" t="s">
        <v>545</v>
      </c>
      <c r="AC81" s="288"/>
      <c r="AD81" s="288">
        <f>S81*V81*Y81</f>
        <v>100000</v>
      </c>
      <c r="AE81" s="390" t="s">
        <v>272</v>
      </c>
      <c r="AF81" s="2"/>
    </row>
    <row r="82" spans="1:32" s="11" customFormat="1" ht="21" customHeight="1">
      <c r="A82" s="45"/>
      <c r="B82" s="46"/>
      <c r="C82" s="46"/>
      <c r="D82" s="159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188"/>
      <c r="P82" s="50"/>
      <c r="Q82" s="50"/>
      <c r="R82" s="50"/>
      <c r="S82" s="51"/>
      <c r="T82" s="55"/>
      <c r="U82" s="55"/>
      <c r="V82" s="51"/>
      <c r="W82" s="55"/>
      <c r="X82" s="51"/>
      <c r="Y82" s="51"/>
      <c r="Z82" s="187"/>
      <c r="AA82" s="51"/>
      <c r="AB82" s="187"/>
      <c r="AC82" s="51"/>
      <c r="AD82" s="51"/>
      <c r="AE82" s="57" t="s">
        <v>65</v>
      </c>
      <c r="AF82" s="2"/>
    </row>
    <row r="83" spans="1:32" s="11" customFormat="1" ht="21" customHeight="1">
      <c r="A83" s="45"/>
      <c r="B83" s="46"/>
      <c r="C83" s="36" t="s">
        <v>41</v>
      </c>
      <c r="D83" s="161">
        <v>2040</v>
      </c>
      <c r="E83" s="114">
        <f>SUM(F83:L83)</f>
        <v>2784</v>
      </c>
      <c r="F83" s="123">
        <f>SUM(AD84:AD86)/1000</f>
        <v>1500</v>
      </c>
      <c r="G83" s="123">
        <v>0</v>
      </c>
      <c r="H83" s="123">
        <v>0</v>
      </c>
      <c r="I83" s="123">
        <v>0</v>
      </c>
      <c r="J83" s="123">
        <f>SUM(AD87:AD88)/1000</f>
        <v>1284</v>
      </c>
      <c r="K83" s="123">
        <v>0</v>
      </c>
      <c r="L83" s="123">
        <v>0</v>
      </c>
      <c r="M83" s="113">
        <f>E83-D83</f>
        <v>744</v>
      </c>
      <c r="N83" s="121">
        <f>IF(D83=0,0,M83/D83)</f>
        <v>0.36470588235294116</v>
      </c>
      <c r="O83" s="391" t="s">
        <v>42</v>
      </c>
      <c r="P83" s="392"/>
      <c r="Q83" s="392"/>
      <c r="R83" s="392"/>
      <c r="S83" s="392"/>
      <c r="T83" s="393"/>
      <c r="U83" s="393"/>
      <c r="V83" s="393"/>
      <c r="W83" s="393"/>
      <c r="X83" s="393"/>
      <c r="Y83" s="394" t="s">
        <v>28</v>
      </c>
      <c r="Z83" s="394"/>
      <c r="AA83" s="394"/>
      <c r="AB83" s="394"/>
      <c r="AC83" s="395"/>
      <c r="AD83" s="395">
        <f>ROUNDDOWN(SUM(AD84:AD88),-3)</f>
        <v>2784000</v>
      </c>
      <c r="AE83" s="178" t="s">
        <v>25</v>
      </c>
      <c r="AF83" s="1"/>
    </row>
    <row r="84" spans="1:32" s="11" customFormat="1" ht="21" customHeight="1">
      <c r="A84" s="45"/>
      <c r="B84" s="46"/>
      <c r="C84" s="46" t="s">
        <v>148</v>
      </c>
      <c r="D84" s="159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396" t="s">
        <v>370</v>
      </c>
      <c r="P84" s="471"/>
      <c r="Q84" s="471"/>
      <c r="R84" s="471"/>
      <c r="S84" s="470"/>
      <c r="T84" s="384"/>
      <c r="U84" s="470"/>
      <c r="V84" s="397">
        <v>65000</v>
      </c>
      <c r="W84" s="398" t="s">
        <v>57</v>
      </c>
      <c r="X84" s="398" t="s">
        <v>26</v>
      </c>
      <c r="Y84" s="397">
        <v>12</v>
      </c>
      <c r="Z84" s="399" t="s">
        <v>29</v>
      </c>
      <c r="AA84" s="397" t="s">
        <v>27</v>
      </c>
      <c r="AB84" s="380" t="s">
        <v>317</v>
      </c>
      <c r="AC84" s="380"/>
      <c r="AD84" s="526">
        <f>V84*Y84</f>
        <v>780000</v>
      </c>
      <c r="AE84" s="491" t="s">
        <v>25</v>
      </c>
      <c r="AF84" s="1"/>
    </row>
    <row r="85" spans="1:32" s="11" customFormat="1" ht="21" customHeight="1">
      <c r="A85" s="45"/>
      <c r="B85" s="46"/>
      <c r="C85" s="46"/>
      <c r="D85" s="159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580" t="s">
        <v>548</v>
      </c>
      <c r="P85" s="471"/>
      <c r="Q85" s="471"/>
      <c r="R85" s="471"/>
      <c r="S85" s="470"/>
      <c r="T85" s="384"/>
      <c r="U85" s="384"/>
      <c r="V85" s="397">
        <v>30000</v>
      </c>
      <c r="W85" s="398" t="s">
        <v>57</v>
      </c>
      <c r="X85" s="398" t="s">
        <v>26</v>
      </c>
      <c r="Y85" s="397">
        <v>12</v>
      </c>
      <c r="Z85" s="399" t="s">
        <v>29</v>
      </c>
      <c r="AA85" s="397" t="s">
        <v>27</v>
      </c>
      <c r="AB85" s="526" t="s">
        <v>323</v>
      </c>
      <c r="AC85" s="526"/>
      <c r="AD85" s="526">
        <f>V85*Y85</f>
        <v>360000</v>
      </c>
      <c r="AE85" s="137" t="s">
        <v>57</v>
      </c>
      <c r="AF85" s="20"/>
    </row>
    <row r="86" spans="1:32" s="11" customFormat="1" ht="21" customHeight="1">
      <c r="A86" s="45"/>
      <c r="B86" s="46"/>
      <c r="C86" s="46"/>
      <c r="D86" s="159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580" t="s">
        <v>395</v>
      </c>
      <c r="P86" s="580"/>
      <c r="Q86" s="580"/>
      <c r="R86" s="580"/>
      <c r="S86" s="579">
        <v>30000</v>
      </c>
      <c r="T86" s="384" t="s">
        <v>57</v>
      </c>
      <c r="U86" s="384" t="s">
        <v>26</v>
      </c>
      <c r="V86" s="579">
        <v>12</v>
      </c>
      <c r="W86" s="580" t="s">
        <v>0</v>
      </c>
      <c r="X86" s="579"/>
      <c r="Y86" s="579"/>
      <c r="Z86" s="579"/>
      <c r="AA86" s="579" t="s">
        <v>53</v>
      </c>
      <c r="AB86" s="579" t="s">
        <v>84</v>
      </c>
      <c r="AC86" s="579"/>
      <c r="AD86" s="579">
        <f>S86*V86</f>
        <v>360000</v>
      </c>
      <c r="AE86" s="137" t="s">
        <v>25</v>
      </c>
      <c r="AF86" s="20"/>
    </row>
    <row r="87" spans="1:32" s="11" customFormat="1" ht="21" customHeight="1">
      <c r="A87" s="45"/>
      <c r="B87" s="46"/>
      <c r="C87" s="46"/>
      <c r="D87" s="159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580" t="s">
        <v>396</v>
      </c>
      <c r="P87" s="580"/>
      <c r="Q87" s="580"/>
      <c r="R87" s="580"/>
      <c r="S87" s="579"/>
      <c r="T87" s="384"/>
      <c r="U87" s="384"/>
      <c r="V87" s="579"/>
      <c r="W87" s="579"/>
      <c r="X87" s="579"/>
      <c r="Y87" s="579"/>
      <c r="Z87" s="579"/>
      <c r="AA87" s="579"/>
      <c r="AB87" s="579" t="s">
        <v>547</v>
      </c>
      <c r="AC87" s="579"/>
      <c r="AD87" s="579">
        <v>150000</v>
      </c>
      <c r="AE87" s="137" t="s">
        <v>289</v>
      </c>
      <c r="AF87" s="20"/>
    </row>
    <row r="88" spans="1:32" s="11" customFormat="1" ht="21" customHeight="1">
      <c r="A88" s="45"/>
      <c r="B88" s="46"/>
      <c r="C88" s="46"/>
      <c r="D88" s="159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580" t="s">
        <v>371</v>
      </c>
      <c r="P88" s="471"/>
      <c r="Q88" s="471"/>
      <c r="R88" s="471"/>
      <c r="S88" s="470"/>
      <c r="T88" s="384"/>
      <c r="U88" s="384"/>
      <c r="V88" s="470"/>
      <c r="W88" s="471"/>
      <c r="X88" s="470"/>
      <c r="Y88" s="470"/>
      <c r="Z88" s="470"/>
      <c r="AA88" s="470"/>
      <c r="AB88" s="579" t="s">
        <v>367</v>
      </c>
      <c r="AC88" s="470"/>
      <c r="AD88" s="470">
        <v>1134000</v>
      </c>
      <c r="AE88" s="137" t="s">
        <v>308</v>
      </c>
      <c r="AF88" s="20"/>
    </row>
    <row r="89" spans="1:32" s="11" customFormat="1" ht="21" customHeight="1">
      <c r="A89" s="45"/>
      <c r="B89" s="46"/>
      <c r="C89" s="59"/>
      <c r="D89" s="160"/>
      <c r="E89" s="111"/>
      <c r="F89" s="111"/>
      <c r="G89" s="111"/>
      <c r="H89" s="111"/>
      <c r="I89" s="111"/>
      <c r="J89" s="111"/>
      <c r="K89" s="111"/>
      <c r="L89" s="111"/>
      <c r="M89" s="111"/>
      <c r="N89" s="84"/>
      <c r="O89" s="472"/>
      <c r="P89" s="472"/>
      <c r="Q89" s="472"/>
      <c r="R89" s="472"/>
      <c r="S89" s="472"/>
      <c r="T89" s="472"/>
      <c r="U89" s="472"/>
      <c r="V89" s="472"/>
      <c r="W89" s="472"/>
      <c r="X89" s="472"/>
      <c r="Y89" s="472"/>
      <c r="Z89" s="472"/>
      <c r="AA89" s="472"/>
      <c r="AB89" s="472"/>
      <c r="AC89" s="472"/>
      <c r="AD89" s="473"/>
      <c r="AE89" s="474"/>
      <c r="AF89" s="1"/>
    </row>
    <row r="90" spans="1:32" s="11" customFormat="1" ht="21" customHeight="1">
      <c r="A90" s="45"/>
      <c r="B90" s="46"/>
      <c r="C90" s="46" t="s">
        <v>39</v>
      </c>
      <c r="D90" s="159">
        <v>3610</v>
      </c>
      <c r="E90" s="114">
        <f>SUM(F90:L90)</f>
        <v>3610</v>
      </c>
      <c r="F90" s="521">
        <f>SUM(AD91,AD92)/1000</f>
        <v>2760</v>
      </c>
      <c r="G90" s="521">
        <v>0</v>
      </c>
      <c r="H90" s="521">
        <v>0</v>
      </c>
      <c r="I90" s="521">
        <v>0</v>
      </c>
      <c r="J90" s="521">
        <f>AD93/1000</f>
        <v>850</v>
      </c>
      <c r="K90" s="521">
        <v>0</v>
      </c>
      <c r="L90" s="521">
        <v>0</v>
      </c>
      <c r="M90" s="109">
        <f>E90-D90</f>
        <v>0</v>
      </c>
      <c r="N90" s="70">
        <f>IF(D90=0,0,M90/D90)</f>
        <v>0</v>
      </c>
      <c r="O90" s="425" t="s">
        <v>43</v>
      </c>
      <c r="P90" s="426"/>
      <c r="Q90" s="426"/>
      <c r="R90" s="426"/>
      <c r="S90" s="426"/>
      <c r="T90" s="427"/>
      <c r="U90" s="427"/>
      <c r="V90" s="427"/>
      <c r="W90" s="427"/>
      <c r="X90" s="427"/>
      <c r="Y90" s="428" t="s">
        <v>276</v>
      </c>
      <c r="Z90" s="428"/>
      <c r="AA90" s="428"/>
      <c r="AB90" s="428"/>
      <c r="AC90" s="429"/>
      <c r="AD90" s="429">
        <f>ROUND(SUM(AD91:AD93),-3)</f>
        <v>3610000</v>
      </c>
      <c r="AE90" s="430" t="s">
        <v>25</v>
      </c>
      <c r="AF90" s="1"/>
    </row>
    <row r="91" spans="1:32" s="11" customFormat="1" ht="21" customHeight="1">
      <c r="A91" s="45"/>
      <c r="B91" s="46"/>
      <c r="C91" s="46"/>
      <c r="D91" s="159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431" t="s">
        <v>372</v>
      </c>
      <c r="P91" s="290"/>
      <c r="Q91" s="290"/>
      <c r="R91" s="290"/>
      <c r="S91" s="288">
        <v>30000</v>
      </c>
      <c r="T91" s="433" t="s">
        <v>25</v>
      </c>
      <c r="U91" s="433" t="s">
        <v>26</v>
      </c>
      <c r="V91" s="432">
        <v>12</v>
      </c>
      <c r="W91" s="434" t="s">
        <v>29</v>
      </c>
      <c r="X91" s="432" t="s">
        <v>27</v>
      </c>
      <c r="Y91" s="288"/>
      <c r="Z91" s="288"/>
      <c r="AA91" s="288"/>
      <c r="AB91" s="288" t="s">
        <v>280</v>
      </c>
      <c r="AC91" s="288"/>
      <c r="AD91" s="288">
        <f>S91*V91</f>
        <v>360000</v>
      </c>
      <c r="AE91" s="390" t="s">
        <v>25</v>
      </c>
      <c r="AF91" s="1"/>
    </row>
    <row r="92" spans="1:32" s="11" customFormat="1" ht="21" customHeight="1">
      <c r="A92" s="45"/>
      <c r="B92" s="46"/>
      <c r="C92" s="46"/>
      <c r="D92" s="159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290" t="s">
        <v>374</v>
      </c>
      <c r="P92" s="290"/>
      <c r="Q92" s="290"/>
      <c r="R92" s="290"/>
      <c r="S92" s="288">
        <v>200000</v>
      </c>
      <c r="T92" s="424" t="s">
        <v>272</v>
      </c>
      <c r="U92" s="424" t="s">
        <v>26</v>
      </c>
      <c r="V92" s="288">
        <v>12</v>
      </c>
      <c r="W92" s="290" t="s">
        <v>274</v>
      </c>
      <c r="X92" s="288" t="s">
        <v>27</v>
      </c>
      <c r="Y92" s="288"/>
      <c r="Z92" s="288"/>
      <c r="AA92" s="288"/>
      <c r="AB92" s="288" t="s">
        <v>280</v>
      </c>
      <c r="AC92" s="288"/>
      <c r="AD92" s="288">
        <f>S92*V92</f>
        <v>2400000</v>
      </c>
      <c r="AE92" s="390" t="s">
        <v>25</v>
      </c>
      <c r="AF92" s="1"/>
    </row>
    <row r="93" spans="1:32" s="14" customFormat="1" ht="21" customHeight="1">
      <c r="A93" s="45"/>
      <c r="B93" s="46"/>
      <c r="C93" s="46"/>
      <c r="D93" s="159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290" t="s">
        <v>650</v>
      </c>
      <c r="P93" s="471"/>
      <c r="Q93" s="471"/>
      <c r="R93" s="471"/>
      <c r="S93" s="288"/>
      <c r="T93" s="424"/>
      <c r="U93" s="424"/>
      <c r="V93" s="288"/>
      <c r="W93" s="290"/>
      <c r="X93" s="288"/>
      <c r="Y93" s="288"/>
      <c r="Z93" s="288"/>
      <c r="AA93" s="288"/>
      <c r="AB93" s="288" t="s">
        <v>278</v>
      </c>
      <c r="AC93" s="288"/>
      <c r="AD93" s="288">
        <v>850000</v>
      </c>
      <c r="AE93" s="390" t="s">
        <v>25</v>
      </c>
      <c r="AF93" s="4"/>
    </row>
    <row r="94" spans="1:32" s="14" customFormat="1" ht="21" customHeight="1">
      <c r="A94" s="45"/>
      <c r="B94" s="46"/>
      <c r="C94" s="46"/>
      <c r="D94" s="159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120"/>
      <c r="P94" s="50"/>
      <c r="Q94" s="50"/>
      <c r="R94" s="50"/>
      <c r="S94" s="51"/>
      <c r="T94" s="55"/>
      <c r="U94" s="55"/>
      <c r="V94" s="51"/>
      <c r="W94" s="50"/>
      <c r="X94" s="51"/>
      <c r="Y94" s="51"/>
      <c r="Z94" s="51"/>
      <c r="AA94" s="51"/>
      <c r="AB94" s="142"/>
      <c r="AC94" s="51"/>
      <c r="AD94" s="51"/>
      <c r="AE94" s="57"/>
      <c r="AF94" s="4"/>
    </row>
    <row r="95" spans="1:32" ht="21" customHeight="1">
      <c r="A95" s="45"/>
      <c r="B95" s="46"/>
      <c r="C95" s="36" t="s">
        <v>15</v>
      </c>
      <c r="D95" s="161">
        <v>600</v>
      </c>
      <c r="E95" s="114">
        <f>SUM(F95:L95)</f>
        <v>678</v>
      </c>
      <c r="F95" s="113">
        <f>SUM(AD96:AD100)/1000</f>
        <v>465</v>
      </c>
      <c r="G95" s="113">
        <v>0</v>
      </c>
      <c r="H95" s="113">
        <v>0</v>
      </c>
      <c r="I95" s="113">
        <v>0</v>
      </c>
      <c r="J95" s="113">
        <f>SUM(AD101)/1000</f>
        <v>213</v>
      </c>
      <c r="K95" s="113">
        <v>0</v>
      </c>
      <c r="L95" s="113">
        <v>0</v>
      </c>
      <c r="M95" s="192">
        <f>E95-D95</f>
        <v>78</v>
      </c>
      <c r="N95" s="121">
        <f>IF(D95=0,0,M95/D95)</f>
        <v>0.13</v>
      </c>
      <c r="O95" s="435" t="s">
        <v>44</v>
      </c>
      <c r="P95" s="436"/>
      <c r="Q95" s="436"/>
      <c r="R95" s="436"/>
      <c r="S95" s="436"/>
      <c r="T95" s="437"/>
      <c r="U95" s="437"/>
      <c r="V95" s="437"/>
      <c r="W95" s="437"/>
      <c r="X95" s="437"/>
      <c r="Y95" s="428" t="s">
        <v>276</v>
      </c>
      <c r="Z95" s="428"/>
      <c r="AA95" s="428"/>
      <c r="AB95" s="428"/>
      <c r="AC95" s="429"/>
      <c r="AD95" s="429">
        <f>SUM(AD96:AD102)</f>
        <v>678000</v>
      </c>
      <c r="AE95" s="430" t="s">
        <v>25</v>
      </c>
    </row>
    <row r="96" spans="1:32" s="11" customFormat="1" ht="21" customHeight="1">
      <c r="A96" s="45"/>
      <c r="B96" s="46"/>
      <c r="C96" s="46"/>
      <c r="D96" s="159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580" t="s">
        <v>375</v>
      </c>
      <c r="P96" s="492"/>
      <c r="Q96" s="492"/>
      <c r="R96" s="492"/>
      <c r="S96" s="471"/>
      <c r="T96" s="136"/>
      <c r="U96" s="493"/>
      <c r="V96" s="397">
        <v>100000</v>
      </c>
      <c r="W96" s="398" t="s">
        <v>57</v>
      </c>
      <c r="X96" s="398" t="s">
        <v>26</v>
      </c>
      <c r="Y96" s="397">
        <v>1</v>
      </c>
      <c r="Z96" s="399" t="s">
        <v>380</v>
      </c>
      <c r="AA96" s="397" t="s">
        <v>27</v>
      </c>
      <c r="AB96" s="579" t="s">
        <v>550</v>
      </c>
      <c r="AC96" s="579"/>
      <c r="AD96" s="579">
        <f t="shared" ref="AD96" si="10">V96*Y96</f>
        <v>100000</v>
      </c>
      <c r="AE96" s="137" t="s">
        <v>57</v>
      </c>
      <c r="AF96" s="1"/>
    </row>
    <row r="97" spans="1:32" s="11" customFormat="1" ht="21" customHeight="1">
      <c r="A97" s="45"/>
      <c r="B97" s="46"/>
      <c r="C97" s="46"/>
      <c r="D97" s="159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0" t="s">
        <v>376</v>
      </c>
      <c r="P97" s="439"/>
      <c r="Q97" s="439"/>
      <c r="R97" s="439"/>
      <c r="S97" s="290"/>
      <c r="T97" s="291"/>
      <c r="U97" s="438"/>
      <c r="V97" s="397">
        <v>55000</v>
      </c>
      <c r="W97" s="398" t="s">
        <v>57</v>
      </c>
      <c r="X97" s="398" t="s">
        <v>26</v>
      </c>
      <c r="Y97" s="397">
        <v>1</v>
      </c>
      <c r="Z97" s="399" t="s">
        <v>380</v>
      </c>
      <c r="AA97" s="397" t="s">
        <v>27</v>
      </c>
      <c r="AB97" s="579" t="s">
        <v>550</v>
      </c>
      <c r="AC97" s="579"/>
      <c r="AD97" s="579">
        <f t="shared" ref="AD97" si="11">V97*Y97</f>
        <v>55000</v>
      </c>
      <c r="AE97" s="137" t="s">
        <v>57</v>
      </c>
      <c r="AF97" s="1"/>
    </row>
    <row r="98" spans="1:32" s="11" customFormat="1" ht="21" customHeight="1">
      <c r="A98" s="45"/>
      <c r="B98" s="46"/>
      <c r="C98" s="46"/>
      <c r="D98" s="159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0" t="s">
        <v>377</v>
      </c>
      <c r="P98" s="439"/>
      <c r="Q98" s="439"/>
      <c r="R98" s="439"/>
      <c r="S98" s="290"/>
      <c r="T98" s="291"/>
      <c r="U98" s="438"/>
      <c r="V98" s="397">
        <v>30000</v>
      </c>
      <c r="W98" s="398" t="s">
        <v>57</v>
      </c>
      <c r="X98" s="398" t="s">
        <v>26</v>
      </c>
      <c r="Y98" s="397">
        <v>1</v>
      </c>
      <c r="Z98" s="399" t="s">
        <v>380</v>
      </c>
      <c r="AA98" s="397" t="s">
        <v>27</v>
      </c>
      <c r="AB98" s="579" t="s">
        <v>550</v>
      </c>
      <c r="AC98" s="579"/>
      <c r="AD98" s="579">
        <f t="shared" ref="AD98" si="12">V98*Y98</f>
        <v>30000</v>
      </c>
      <c r="AE98" s="137" t="s">
        <v>57</v>
      </c>
      <c r="AF98" s="1"/>
    </row>
    <row r="99" spans="1:32" s="11" customFormat="1" ht="21" customHeight="1">
      <c r="A99" s="45"/>
      <c r="B99" s="46"/>
      <c r="C99" s="46"/>
      <c r="D99" s="159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0" t="s">
        <v>378</v>
      </c>
      <c r="P99" s="439"/>
      <c r="Q99" s="439"/>
      <c r="R99" s="439"/>
      <c r="S99" s="290"/>
      <c r="T99" s="291"/>
      <c r="U99" s="438"/>
      <c r="V99" s="397">
        <v>30000</v>
      </c>
      <c r="W99" s="398" t="s">
        <v>57</v>
      </c>
      <c r="X99" s="398" t="s">
        <v>26</v>
      </c>
      <c r="Y99" s="397">
        <v>1</v>
      </c>
      <c r="Z99" s="399" t="s">
        <v>380</v>
      </c>
      <c r="AA99" s="397" t="s">
        <v>27</v>
      </c>
      <c r="AB99" s="579" t="s">
        <v>84</v>
      </c>
      <c r="AC99" s="579"/>
      <c r="AD99" s="579">
        <f t="shared" ref="AD99" si="13">V99*Y99</f>
        <v>30000</v>
      </c>
      <c r="AE99" s="137" t="s">
        <v>57</v>
      </c>
      <c r="AF99" s="1"/>
    </row>
    <row r="100" spans="1:32" s="11" customFormat="1" ht="21" customHeight="1">
      <c r="A100" s="45"/>
      <c r="B100" s="46"/>
      <c r="C100" s="46"/>
      <c r="D100" s="159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0" t="s">
        <v>379</v>
      </c>
      <c r="P100" s="439"/>
      <c r="Q100" s="439"/>
      <c r="R100" s="439"/>
      <c r="S100" s="579">
        <v>755710</v>
      </c>
      <c r="T100" s="384" t="s">
        <v>57</v>
      </c>
      <c r="U100" s="384" t="s">
        <v>26</v>
      </c>
      <c r="V100" s="579">
        <v>1</v>
      </c>
      <c r="W100" s="580" t="s">
        <v>70</v>
      </c>
      <c r="X100" s="421" t="s">
        <v>69</v>
      </c>
      <c r="Y100" s="481">
        <v>3</v>
      </c>
      <c r="Z100" s="579"/>
      <c r="AA100" s="579" t="s">
        <v>27</v>
      </c>
      <c r="AB100" s="579" t="s">
        <v>84</v>
      </c>
      <c r="AC100" s="579"/>
      <c r="AD100" s="579">
        <f>ROUNDDOWN(S100*V100/Y100,-4)</f>
        <v>250000</v>
      </c>
      <c r="AE100" s="137" t="s">
        <v>57</v>
      </c>
      <c r="AF100" s="1"/>
    </row>
    <row r="101" spans="1:32" s="11" customFormat="1" ht="21" customHeight="1">
      <c r="A101" s="45"/>
      <c r="B101" s="46"/>
      <c r="C101" s="46"/>
      <c r="D101" s="159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0" t="s">
        <v>441</v>
      </c>
      <c r="P101" s="439"/>
      <c r="Q101" s="439"/>
      <c r="R101" s="439"/>
      <c r="S101" s="290"/>
      <c r="T101" s="291"/>
      <c r="U101" s="438"/>
      <c r="V101" s="397"/>
      <c r="W101" s="398"/>
      <c r="X101" s="398"/>
      <c r="Y101" s="397"/>
      <c r="Z101" s="399"/>
      <c r="AA101" s="397" t="s">
        <v>27</v>
      </c>
      <c r="AB101" s="579" t="s">
        <v>373</v>
      </c>
      <c r="AC101" s="579"/>
      <c r="AD101" s="579">
        <v>213000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59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126"/>
      <c r="P102" s="127"/>
      <c r="Q102" s="127"/>
      <c r="R102" s="127"/>
      <c r="S102" s="127"/>
      <c r="T102" s="127"/>
      <c r="U102" s="127"/>
      <c r="V102" s="127"/>
      <c r="W102" s="127"/>
      <c r="X102" s="127"/>
      <c r="Y102" s="75"/>
      <c r="Z102" s="75"/>
      <c r="AA102" s="75"/>
      <c r="AB102" s="75"/>
      <c r="AC102" s="75"/>
      <c r="AD102" s="51"/>
      <c r="AE102" s="57"/>
      <c r="AF102" s="1"/>
    </row>
    <row r="103" spans="1:32" s="11" customFormat="1" ht="21" customHeight="1">
      <c r="A103" s="45"/>
      <c r="B103" s="46"/>
      <c r="C103" s="36" t="s">
        <v>45</v>
      </c>
      <c r="D103" s="161">
        <v>840</v>
      </c>
      <c r="E103" s="114">
        <f>SUM(F103:L103)</f>
        <v>600</v>
      </c>
      <c r="F103" s="113">
        <f>SUM(AD104)/1000</f>
        <v>100</v>
      </c>
      <c r="G103" s="113">
        <v>0</v>
      </c>
      <c r="H103" s="113">
        <v>0</v>
      </c>
      <c r="I103" s="113">
        <v>0</v>
      </c>
      <c r="J103" s="113">
        <f>SUM(AD105:AD105)/1000</f>
        <v>500</v>
      </c>
      <c r="K103" s="113">
        <v>0</v>
      </c>
      <c r="L103" s="113">
        <v>0</v>
      </c>
      <c r="M103" s="113">
        <f>E103-D103</f>
        <v>-240</v>
      </c>
      <c r="N103" s="121">
        <f>IF(D103=0,0,M103/D103)</f>
        <v>-0.2857142857142857</v>
      </c>
      <c r="O103" s="97" t="s">
        <v>46</v>
      </c>
      <c r="P103" s="93"/>
      <c r="Q103" s="93"/>
      <c r="R103" s="93"/>
      <c r="S103" s="93"/>
      <c r="T103" s="89"/>
      <c r="U103" s="89"/>
      <c r="V103" s="89"/>
      <c r="W103" s="89"/>
      <c r="X103" s="89"/>
      <c r="Y103" s="177" t="s">
        <v>141</v>
      </c>
      <c r="Z103" s="177"/>
      <c r="AA103" s="177"/>
      <c r="AB103" s="177"/>
      <c r="AC103" s="179"/>
      <c r="AD103" s="179">
        <f>SUM(AD104:AD105)</f>
        <v>600000</v>
      </c>
      <c r="AE103" s="178" t="s">
        <v>25</v>
      </c>
      <c r="AF103" s="1"/>
    </row>
    <row r="104" spans="1:32" s="11" customFormat="1" ht="21" customHeight="1">
      <c r="A104" s="45"/>
      <c r="B104" s="46"/>
      <c r="C104" s="46"/>
      <c r="D104" s="11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580" t="s">
        <v>382</v>
      </c>
      <c r="P104" s="471"/>
      <c r="Q104" s="471"/>
      <c r="R104" s="471"/>
      <c r="S104" s="470">
        <v>50000</v>
      </c>
      <c r="T104" s="384" t="s">
        <v>311</v>
      </c>
      <c r="U104" s="384" t="s">
        <v>26</v>
      </c>
      <c r="V104" s="470">
        <v>2</v>
      </c>
      <c r="W104" s="471" t="s">
        <v>314</v>
      </c>
      <c r="X104" s="470" t="s">
        <v>27</v>
      </c>
      <c r="Y104" s="470"/>
      <c r="Z104" s="470"/>
      <c r="AA104" s="470"/>
      <c r="AB104" s="470" t="s">
        <v>317</v>
      </c>
      <c r="AC104" s="470"/>
      <c r="AD104" s="470">
        <f>S104*V104</f>
        <v>100000</v>
      </c>
      <c r="AE104" s="137" t="s">
        <v>25</v>
      </c>
      <c r="AF104" s="1"/>
    </row>
    <row r="105" spans="1:32" s="11" customFormat="1" ht="21" customHeight="1">
      <c r="A105" s="45"/>
      <c r="B105" s="46"/>
      <c r="C105" s="46"/>
      <c r="D105" s="11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580" t="s">
        <v>383</v>
      </c>
      <c r="P105" s="471"/>
      <c r="Q105" s="471"/>
      <c r="R105" s="471"/>
      <c r="S105" s="470">
        <v>50000</v>
      </c>
      <c r="T105" s="384" t="s">
        <v>308</v>
      </c>
      <c r="U105" s="384" t="s">
        <v>26</v>
      </c>
      <c r="V105" s="470">
        <v>10</v>
      </c>
      <c r="W105" s="471" t="s">
        <v>319</v>
      </c>
      <c r="X105" s="470" t="s">
        <v>27</v>
      </c>
      <c r="Y105" s="470"/>
      <c r="Z105" s="470"/>
      <c r="AA105" s="470"/>
      <c r="AB105" s="579" t="s">
        <v>373</v>
      </c>
      <c r="AC105" s="470"/>
      <c r="AD105" s="470">
        <f>S105*V105</f>
        <v>500000</v>
      </c>
      <c r="AE105" s="137" t="s">
        <v>25</v>
      </c>
      <c r="AF105" s="1"/>
    </row>
    <row r="106" spans="1:32" s="11" customFormat="1" ht="21" customHeight="1">
      <c r="A106" s="45"/>
      <c r="B106" s="46"/>
      <c r="C106" s="59"/>
      <c r="D106" s="128"/>
      <c r="E106" s="111"/>
      <c r="F106" s="111"/>
      <c r="G106" s="111"/>
      <c r="H106" s="111"/>
      <c r="I106" s="111"/>
      <c r="J106" s="111"/>
      <c r="K106" s="111"/>
      <c r="L106" s="111"/>
      <c r="M106" s="111"/>
      <c r="N106" s="84"/>
      <c r="O106" s="376"/>
      <c r="P106" s="376"/>
      <c r="Q106" s="376"/>
      <c r="R106" s="376"/>
      <c r="S106" s="488"/>
      <c r="T106" s="494"/>
      <c r="U106" s="488"/>
      <c r="V106" s="659"/>
      <c r="W106" s="660"/>
      <c r="X106" s="488"/>
      <c r="Y106" s="488"/>
      <c r="Z106" s="488"/>
      <c r="AA106" s="488"/>
      <c r="AB106" s="488"/>
      <c r="AC106" s="488"/>
      <c r="AD106" s="488"/>
      <c r="AE106" s="495"/>
      <c r="AF106" s="1"/>
    </row>
    <row r="107" spans="1:32" s="11" customFormat="1" ht="21" customHeight="1">
      <c r="A107" s="45"/>
      <c r="B107" s="46"/>
      <c r="C107" s="36" t="s">
        <v>85</v>
      </c>
      <c r="D107" s="129">
        <v>150</v>
      </c>
      <c r="E107" s="114">
        <f>SUM(F107:L107)</f>
        <v>100</v>
      </c>
      <c r="F107" s="113">
        <v>0</v>
      </c>
      <c r="G107" s="113">
        <v>0</v>
      </c>
      <c r="H107" s="113">
        <v>0</v>
      </c>
      <c r="I107" s="113">
        <v>0</v>
      </c>
      <c r="J107" s="113">
        <f>AD109/1000</f>
        <v>100</v>
      </c>
      <c r="K107" s="113">
        <v>0</v>
      </c>
      <c r="L107" s="113">
        <v>0</v>
      </c>
      <c r="M107" s="113">
        <f>E107-D107</f>
        <v>-50</v>
      </c>
      <c r="N107" s="121">
        <f>IF(D107=0,0,M107/D107)</f>
        <v>-0.33333333333333331</v>
      </c>
      <c r="O107" s="116" t="s">
        <v>86</v>
      </c>
      <c r="P107" s="93"/>
      <c r="Q107" s="93"/>
      <c r="R107" s="93"/>
      <c r="S107" s="93"/>
      <c r="T107" s="89"/>
      <c r="U107" s="89"/>
      <c r="V107" s="89"/>
      <c r="W107" s="89"/>
      <c r="X107" s="89"/>
      <c r="Y107" s="177" t="s">
        <v>141</v>
      </c>
      <c r="Z107" s="177"/>
      <c r="AA107" s="177"/>
      <c r="AB107" s="177"/>
      <c r="AC107" s="179"/>
      <c r="AD107" s="179">
        <f>SUM(AD108:AD109)</f>
        <v>100000</v>
      </c>
      <c r="AE107" s="178" t="s">
        <v>25</v>
      </c>
      <c r="AF107" s="1"/>
    </row>
    <row r="108" spans="1:32" s="11" customFormat="1" ht="20.25" customHeight="1">
      <c r="A108" s="45"/>
      <c r="B108" s="46"/>
      <c r="C108" s="46"/>
      <c r="D108" s="13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90" t="s">
        <v>381</v>
      </c>
      <c r="P108" s="290"/>
      <c r="Q108" s="290"/>
      <c r="R108" s="290"/>
      <c r="S108" s="288">
        <v>0</v>
      </c>
      <c r="T108" s="288" t="s">
        <v>272</v>
      </c>
      <c r="U108" s="420" t="s">
        <v>279</v>
      </c>
      <c r="V108" s="288">
        <v>1</v>
      </c>
      <c r="W108" s="288" t="s">
        <v>277</v>
      </c>
      <c r="X108" s="420"/>
      <c r="Y108" s="288"/>
      <c r="Z108" s="288"/>
      <c r="AA108" s="288" t="s">
        <v>275</v>
      </c>
      <c r="AB108" s="288" t="s">
        <v>324</v>
      </c>
      <c r="AC108" s="291"/>
      <c r="AD108" s="136">
        <f>S108*V108</f>
        <v>0</v>
      </c>
      <c r="AE108" s="390" t="s">
        <v>272</v>
      </c>
      <c r="AF108" s="2"/>
    </row>
    <row r="109" spans="1:32" s="11" customFormat="1" ht="20.25" customHeight="1">
      <c r="A109" s="45"/>
      <c r="B109" s="46"/>
      <c r="C109" s="46"/>
      <c r="D109" s="13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290"/>
      <c r="P109" s="290"/>
      <c r="Q109" s="290"/>
      <c r="R109" s="290"/>
      <c r="S109" s="288">
        <v>50000</v>
      </c>
      <c r="T109" s="288" t="s">
        <v>57</v>
      </c>
      <c r="U109" s="420" t="s">
        <v>58</v>
      </c>
      <c r="V109" s="288">
        <v>2</v>
      </c>
      <c r="W109" s="288" t="s">
        <v>56</v>
      </c>
      <c r="X109" s="420"/>
      <c r="Y109" s="288"/>
      <c r="Z109" s="288"/>
      <c r="AA109" s="288" t="s">
        <v>230</v>
      </c>
      <c r="AB109" s="288" t="s">
        <v>373</v>
      </c>
      <c r="AC109" s="291"/>
      <c r="AD109" s="136">
        <f>S109*V109</f>
        <v>100000</v>
      </c>
      <c r="AE109" s="390" t="s">
        <v>57</v>
      </c>
      <c r="AF109" s="2"/>
    </row>
    <row r="110" spans="1:32" s="11" customFormat="1" ht="21" customHeight="1">
      <c r="A110" s="45"/>
      <c r="B110" s="46"/>
      <c r="C110" s="47"/>
      <c r="D110" s="159"/>
      <c r="E110" s="109"/>
      <c r="F110" s="109"/>
      <c r="G110" s="109"/>
      <c r="H110" s="109"/>
      <c r="I110" s="109"/>
      <c r="J110" s="109"/>
      <c r="K110" s="109"/>
      <c r="L110" s="109"/>
      <c r="M110" s="109"/>
      <c r="N110" s="84"/>
      <c r="O110" s="154"/>
      <c r="P110" s="81"/>
      <c r="Q110" s="81"/>
      <c r="R110" s="81"/>
      <c r="S110" s="80"/>
      <c r="T110" s="81"/>
      <c r="U110" s="80"/>
      <c r="V110" s="131"/>
      <c r="W110" s="131"/>
      <c r="X110" s="80"/>
      <c r="Y110" s="80"/>
      <c r="Z110" s="80"/>
      <c r="AA110" s="80"/>
      <c r="AB110" s="80"/>
      <c r="AC110" s="80"/>
      <c r="AD110" s="80"/>
      <c r="AE110" s="73"/>
      <c r="AF110" s="2"/>
    </row>
    <row r="111" spans="1:32" s="11" customFormat="1" ht="21" customHeight="1">
      <c r="A111" s="112" t="s">
        <v>47</v>
      </c>
      <c r="B111" s="677" t="s">
        <v>20</v>
      </c>
      <c r="C111" s="677"/>
      <c r="D111" s="195">
        <f>D112</f>
        <v>1500</v>
      </c>
      <c r="E111" s="195">
        <f>E112</f>
        <v>1500</v>
      </c>
      <c r="F111" s="195">
        <f t="shared" ref="F111:L111" si="14">F112</f>
        <v>0</v>
      </c>
      <c r="G111" s="195">
        <f t="shared" si="14"/>
        <v>1000</v>
      </c>
      <c r="H111" s="195">
        <f t="shared" si="14"/>
        <v>0</v>
      </c>
      <c r="I111" s="195">
        <f t="shared" si="14"/>
        <v>0</v>
      </c>
      <c r="J111" s="195">
        <f t="shared" si="14"/>
        <v>500</v>
      </c>
      <c r="K111" s="195">
        <f t="shared" si="14"/>
        <v>0</v>
      </c>
      <c r="L111" s="195">
        <f t="shared" si="14"/>
        <v>0</v>
      </c>
      <c r="M111" s="195">
        <f>E111-D111</f>
        <v>0</v>
      </c>
      <c r="N111" s="171">
        <f>IF(D111=0,0,M111/D111)</f>
        <v>0</v>
      </c>
      <c r="O111" s="186" t="s">
        <v>145</v>
      </c>
      <c r="P111" s="32"/>
      <c r="Q111" s="32"/>
      <c r="R111" s="32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>
        <f>AD112</f>
        <v>1500000</v>
      </c>
      <c r="AE111" s="34" t="s">
        <v>25</v>
      </c>
      <c r="AF111" s="2"/>
    </row>
    <row r="112" spans="1:32" s="11" customFormat="1" ht="21" customHeight="1">
      <c r="A112" s="194" t="s">
        <v>152</v>
      </c>
      <c r="B112" s="46" t="s">
        <v>17</v>
      </c>
      <c r="C112" s="46" t="s">
        <v>146</v>
      </c>
      <c r="D112" s="109">
        <f t="shared" ref="D112:L112" si="15">SUM(D113,D116,D120)</f>
        <v>1500</v>
      </c>
      <c r="E112" s="109">
        <f t="shared" si="15"/>
        <v>1500</v>
      </c>
      <c r="F112" s="109">
        <f t="shared" si="15"/>
        <v>0</v>
      </c>
      <c r="G112" s="109">
        <f t="shared" si="15"/>
        <v>1000</v>
      </c>
      <c r="H112" s="109">
        <f t="shared" si="15"/>
        <v>0</v>
      </c>
      <c r="I112" s="109">
        <f t="shared" si="15"/>
        <v>0</v>
      </c>
      <c r="J112" s="109">
        <f t="shared" si="15"/>
        <v>500</v>
      </c>
      <c r="K112" s="109">
        <f t="shared" si="15"/>
        <v>0</v>
      </c>
      <c r="L112" s="109">
        <f t="shared" si="15"/>
        <v>0</v>
      </c>
      <c r="M112" s="109">
        <f>E112-D112</f>
        <v>0</v>
      </c>
      <c r="N112" s="70">
        <f>IF(D112=0,0,M112/D112)</f>
        <v>0</v>
      </c>
      <c r="O112" s="190" t="s">
        <v>147</v>
      </c>
      <c r="P112" s="93"/>
      <c r="Q112" s="93"/>
      <c r="R112" s="93"/>
      <c r="S112" s="93"/>
      <c r="T112" s="89"/>
      <c r="U112" s="89"/>
      <c r="V112" s="89"/>
      <c r="W112" s="89"/>
      <c r="X112" s="89"/>
      <c r="Y112" s="89"/>
      <c r="Z112" s="89"/>
      <c r="AA112" s="89"/>
      <c r="AB112" s="89"/>
      <c r="AC112" s="94"/>
      <c r="AD112" s="94">
        <f>SUM(AD113,AD116,AD120)</f>
        <v>1500000</v>
      </c>
      <c r="AE112" s="95" t="s">
        <v>25</v>
      </c>
      <c r="AF112" s="1"/>
    </row>
    <row r="113" spans="1:32" s="11" customFormat="1" ht="21" customHeight="1">
      <c r="A113" s="45"/>
      <c r="B113" s="46"/>
      <c r="C113" s="36" t="s">
        <v>147</v>
      </c>
      <c r="D113" s="192">
        <v>0</v>
      </c>
      <c r="E113" s="114">
        <f>SUM(F113:L113)</f>
        <v>0</v>
      </c>
      <c r="F113" s="192">
        <v>0</v>
      </c>
      <c r="G113" s="192">
        <v>0</v>
      </c>
      <c r="H113" s="192">
        <v>0</v>
      </c>
      <c r="I113" s="192">
        <v>0</v>
      </c>
      <c r="J113" s="192">
        <v>0</v>
      </c>
      <c r="K113" s="192">
        <v>0</v>
      </c>
      <c r="L113" s="192">
        <v>0</v>
      </c>
      <c r="M113" s="192">
        <f>E113-D113</f>
        <v>0</v>
      </c>
      <c r="N113" s="193">
        <f>IF(D113=0,0,M113/D113)</f>
        <v>0</v>
      </c>
      <c r="O113" s="97" t="s">
        <v>48</v>
      </c>
      <c r="P113" s="190"/>
      <c r="Q113" s="190"/>
      <c r="R113" s="190"/>
      <c r="S113" s="190"/>
      <c r="T113" s="189"/>
      <c r="U113" s="189"/>
      <c r="V113" s="189"/>
      <c r="W113" s="189"/>
      <c r="X113" s="189"/>
      <c r="Y113" s="177" t="s">
        <v>141</v>
      </c>
      <c r="Z113" s="177"/>
      <c r="AA113" s="177"/>
      <c r="AB113" s="177"/>
      <c r="AC113" s="179"/>
      <c r="AD113" s="179">
        <f>SUM(AD114:AD114)</f>
        <v>0</v>
      </c>
      <c r="AE113" s="178" t="s">
        <v>25</v>
      </c>
      <c r="AF113" s="1"/>
    </row>
    <row r="114" spans="1:32" s="11" customFormat="1" ht="21" customHeight="1">
      <c r="A114" s="45"/>
      <c r="B114" s="46"/>
      <c r="C114" s="46"/>
      <c r="D114" s="11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184" t="s">
        <v>384</v>
      </c>
      <c r="P114" s="144"/>
      <c r="Q114" s="144"/>
      <c r="R114" s="144"/>
      <c r="S114" s="144"/>
      <c r="T114" s="143"/>
      <c r="U114" s="143"/>
      <c r="V114" s="143"/>
      <c r="W114" s="143"/>
      <c r="X114" s="143"/>
      <c r="Y114" s="143"/>
      <c r="Z114" s="143"/>
      <c r="AA114" s="143"/>
      <c r="AB114" s="145"/>
      <c r="AC114" s="52"/>
      <c r="AD114" s="291">
        <v>0</v>
      </c>
      <c r="AE114" s="57" t="s">
        <v>125</v>
      </c>
      <c r="AF114" s="2"/>
    </row>
    <row r="115" spans="1:32" s="11" customFormat="1" ht="21" customHeight="1">
      <c r="A115" s="45"/>
      <c r="B115" s="46"/>
      <c r="C115" s="46"/>
      <c r="D115" s="159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32"/>
      <c r="AE115" s="124"/>
      <c r="AF115" s="2"/>
    </row>
    <row r="116" spans="1:32" s="11" customFormat="1" ht="21" customHeight="1">
      <c r="A116" s="45"/>
      <c r="B116" s="46"/>
      <c r="C116" s="36" t="s">
        <v>18</v>
      </c>
      <c r="D116" s="161">
        <v>0</v>
      </c>
      <c r="E116" s="114">
        <f>SUM(F116:L116)</f>
        <v>1100</v>
      </c>
      <c r="F116" s="113">
        <v>0</v>
      </c>
      <c r="G116" s="113">
        <f>AD117/1000</f>
        <v>1000</v>
      </c>
      <c r="H116" s="113">
        <v>0</v>
      </c>
      <c r="I116" s="113">
        <v>0</v>
      </c>
      <c r="J116" s="113">
        <f>AD118/1000</f>
        <v>100</v>
      </c>
      <c r="K116" s="113">
        <v>0</v>
      </c>
      <c r="L116" s="113">
        <v>0</v>
      </c>
      <c r="M116" s="113">
        <f>E116-D116</f>
        <v>1100</v>
      </c>
      <c r="N116" s="121">
        <f>IF(D116=0,0,M116/D116)</f>
        <v>0</v>
      </c>
      <c r="O116" s="97" t="s">
        <v>49</v>
      </c>
      <c r="P116" s="93"/>
      <c r="Q116" s="93"/>
      <c r="R116" s="93"/>
      <c r="S116" s="93"/>
      <c r="T116" s="89"/>
      <c r="U116" s="89"/>
      <c r="V116" s="89"/>
      <c r="W116" s="89"/>
      <c r="X116" s="89"/>
      <c r="Y116" s="177" t="s">
        <v>141</v>
      </c>
      <c r="Z116" s="177"/>
      <c r="AA116" s="177"/>
      <c r="AB116" s="177"/>
      <c r="AC116" s="179"/>
      <c r="AD116" s="179">
        <f>SUM(AD117:AD118)</f>
        <v>1100000</v>
      </c>
      <c r="AE116" s="178" t="s">
        <v>25</v>
      </c>
      <c r="AF116" s="1"/>
    </row>
    <row r="117" spans="1:32" s="11" customFormat="1" ht="21" customHeight="1">
      <c r="A117" s="45"/>
      <c r="B117" s="46"/>
      <c r="C117" s="46"/>
      <c r="D117" s="11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80" t="s">
        <v>551</v>
      </c>
      <c r="P117" s="580"/>
      <c r="Q117" s="580"/>
      <c r="R117" s="580"/>
      <c r="S117" s="579"/>
      <c r="T117" s="384"/>
      <c r="U117" s="384"/>
      <c r="V117" s="579"/>
      <c r="W117" s="580"/>
      <c r="X117" s="579"/>
      <c r="Y117" s="579"/>
      <c r="Z117" s="579"/>
      <c r="AA117" s="579"/>
      <c r="AB117" s="579" t="s">
        <v>84</v>
      </c>
      <c r="AC117" s="579"/>
      <c r="AD117" s="579">
        <v>1000000</v>
      </c>
      <c r="AE117" s="137" t="s">
        <v>25</v>
      </c>
      <c r="AF117" s="2"/>
    </row>
    <row r="118" spans="1:32" s="11" customFormat="1" ht="21" customHeight="1">
      <c r="A118" s="45"/>
      <c r="B118" s="46"/>
      <c r="C118" s="46"/>
      <c r="D118" s="11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80" t="s">
        <v>385</v>
      </c>
      <c r="P118" s="580"/>
      <c r="Q118" s="580"/>
      <c r="R118" s="580"/>
      <c r="S118" s="579"/>
      <c r="T118" s="384"/>
      <c r="U118" s="384"/>
      <c r="V118" s="579"/>
      <c r="W118" s="580"/>
      <c r="X118" s="579"/>
      <c r="Y118" s="579"/>
      <c r="Z118" s="579"/>
      <c r="AA118" s="579"/>
      <c r="AB118" s="579" t="s">
        <v>278</v>
      </c>
      <c r="AC118" s="579"/>
      <c r="AD118" s="579">
        <v>100000</v>
      </c>
      <c r="AE118" s="137" t="s">
        <v>57</v>
      </c>
      <c r="AF118" s="2"/>
    </row>
    <row r="119" spans="1:32" s="11" customFormat="1" ht="21" customHeight="1">
      <c r="A119" s="45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156"/>
      <c r="P119" s="50"/>
      <c r="Q119" s="50"/>
      <c r="R119" s="50"/>
      <c r="S119" s="51"/>
      <c r="T119" s="117"/>
      <c r="U119" s="55"/>
      <c r="V119" s="68"/>
      <c r="W119" s="68"/>
      <c r="X119" s="51"/>
      <c r="Y119" s="51"/>
      <c r="Z119" s="51"/>
      <c r="AA119" s="51"/>
      <c r="AB119" s="51"/>
      <c r="AC119" s="51"/>
      <c r="AD119" s="51"/>
      <c r="AE119" s="57"/>
      <c r="AF119" s="2"/>
    </row>
    <row r="120" spans="1:32" s="11" customFormat="1" ht="21" customHeight="1">
      <c r="A120" s="45"/>
      <c r="B120" s="46"/>
      <c r="C120" s="36" t="s">
        <v>50</v>
      </c>
      <c r="D120" s="161">
        <v>1500</v>
      </c>
      <c r="E120" s="114">
        <f>SUM(F120:L120)</f>
        <v>400</v>
      </c>
      <c r="F120" s="113">
        <v>0</v>
      </c>
      <c r="G120" s="113">
        <f>AD121/1000</f>
        <v>0</v>
      </c>
      <c r="H120" s="113">
        <v>0</v>
      </c>
      <c r="I120" s="113">
        <v>0</v>
      </c>
      <c r="J120" s="113">
        <f>AD122/1000</f>
        <v>400</v>
      </c>
      <c r="K120" s="113">
        <v>0</v>
      </c>
      <c r="L120" s="113">
        <v>0</v>
      </c>
      <c r="M120" s="113">
        <f>E120-D120</f>
        <v>-1100</v>
      </c>
      <c r="N120" s="121">
        <f>IF(D120=0,0,M120/D120)</f>
        <v>-0.73333333333333328</v>
      </c>
      <c r="O120" s="97" t="s">
        <v>51</v>
      </c>
      <c r="P120" s="93"/>
      <c r="Q120" s="93"/>
      <c r="R120" s="93"/>
      <c r="S120" s="93"/>
      <c r="T120" s="89"/>
      <c r="U120" s="89"/>
      <c r="V120" s="89"/>
      <c r="W120" s="89"/>
      <c r="X120" s="89"/>
      <c r="Y120" s="177" t="s">
        <v>141</v>
      </c>
      <c r="Z120" s="177"/>
      <c r="AA120" s="177"/>
      <c r="AB120" s="177"/>
      <c r="AC120" s="179"/>
      <c r="AD120" s="179">
        <f>SUM(AD121:AD122)</f>
        <v>400000</v>
      </c>
      <c r="AE120" s="178" t="s">
        <v>25</v>
      </c>
      <c r="AF120" s="1"/>
    </row>
    <row r="121" spans="1:32" s="1" customFormat="1" ht="21" customHeight="1">
      <c r="A121" s="45"/>
      <c r="B121" s="46"/>
      <c r="C121" s="46" t="s">
        <v>157</v>
      </c>
      <c r="D121" s="159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580" t="s">
        <v>551</v>
      </c>
      <c r="P121" s="471"/>
      <c r="Q121" s="471"/>
      <c r="R121" s="471"/>
      <c r="S121" s="470"/>
      <c r="T121" s="384"/>
      <c r="U121" s="384"/>
      <c r="V121" s="470"/>
      <c r="W121" s="471"/>
      <c r="X121" s="470"/>
      <c r="Y121" s="470"/>
      <c r="Z121" s="470"/>
      <c r="AA121" s="470"/>
      <c r="AB121" s="470" t="s">
        <v>317</v>
      </c>
      <c r="AC121" s="470"/>
      <c r="AD121" s="470">
        <v>0</v>
      </c>
      <c r="AE121" s="137" t="s">
        <v>25</v>
      </c>
      <c r="AF121" s="2"/>
    </row>
    <row r="122" spans="1:32" s="1" customFormat="1" ht="21" customHeight="1">
      <c r="A122" s="45"/>
      <c r="B122" s="46"/>
      <c r="C122" s="46"/>
      <c r="D122" s="159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80" t="s">
        <v>385</v>
      </c>
      <c r="P122" s="471"/>
      <c r="Q122" s="471"/>
      <c r="R122" s="471"/>
      <c r="S122" s="470"/>
      <c r="T122" s="384"/>
      <c r="U122" s="384"/>
      <c r="V122" s="470"/>
      <c r="W122" s="471"/>
      <c r="X122" s="470"/>
      <c r="Y122" s="470"/>
      <c r="Z122" s="470"/>
      <c r="AA122" s="470"/>
      <c r="AB122" s="579" t="s">
        <v>586</v>
      </c>
      <c r="AC122" s="470"/>
      <c r="AD122" s="470">
        <v>400000</v>
      </c>
      <c r="AE122" s="137" t="s">
        <v>308</v>
      </c>
      <c r="AF122" s="2"/>
    </row>
    <row r="123" spans="1:32" s="1" customFormat="1" ht="21" customHeight="1">
      <c r="A123" s="45"/>
      <c r="B123" s="46"/>
      <c r="C123" s="46"/>
      <c r="D123" s="159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156"/>
      <c r="P123" s="50"/>
      <c r="Q123" s="50"/>
      <c r="R123" s="50"/>
      <c r="S123" s="51"/>
      <c r="T123" s="55"/>
      <c r="U123" s="55"/>
      <c r="V123" s="51"/>
      <c r="W123" s="50"/>
      <c r="X123" s="51"/>
      <c r="Y123" s="51"/>
      <c r="Z123" s="51"/>
      <c r="AA123" s="51"/>
      <c r="AB123" s="125"/>
      <c r="AC123" s="51"/>
      <c r="AD123" s="51"/>
      <c r="AE123" s="57"/>
      <c r="AF123" s="2"/>
    </row>
    <row r="124" spans="1:32" s="11" customFormat="1" ht="21" customHeight="1">
      <c r="A124" s="196" t="s">
        <v>19</v>
      </c>
      <c r="B124" s="675" t="s">
        <v>20</v>
      </c>
      <c r="C124" s="676"/>
      <c r="D124" s="197">
        <f t="shared" ref="D124:L124" si="16">SUM(D125,D153)</f>
        <v>20506</v>
      </c>
      <c r="E124" s="197">
        <f t="shared" si="16"/>
        <v>19635</v>
      </c>
      <c r="F124" s="197">
        <f t="shared" si="16"/>
        <v>9921</v>
      </c>
      <c r="G124" s="197">
        <f t="shared" si="16"/>
        <v>0</v>
      </c>
      <c r="H124" s="197">
        <f t="shared" si="16"/>
        <v>0</v>
      </c>
      <c r="I124" s="197">
        <f t="shared" si="16"/>
        <v>968</v>
      </c>
      <c r="J124" s="197">
        <f t="shared" si="16"/>
        <v>8261</v>
      </c>
      <c r="K124" s="197">
        <f t="shared" si="16"/>
        <v>485</v>
      </c>
      <c r="L124" s="197">
        <f t="shared" si="16"/>
        <v>0</v>
      </c>
      <c r="M124" s="197">
        <f>SUM(M125,M135,M139,M143,M149)</f>
        <v>-2018</v>
      </c>
      <c r="N124" s="198">
        <f>IF(D124=0,0,M124/D124)</f>
        <v>-9.8410221398615036E-2</v>
      </c>
      <c r="O124" s="190" t="s">
        <v>149</v>
      </c>
      <c r="P124" s="93"/>
      <c r="Q124" s="93"/>
      <c r="R124" s="93"/>
      <c r="S124" s="93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>
        <f>SUM(AD125,AD153)</f>
        <v>19635000</v>
      </c>
      <c r="AE124" s="95" t="s">
        <v>25</v>
      </c>
      <c r="AF124" s="13"/>
    </row>
    <row r="125" spans="1:32" s="11" customFormat="1" ht="21" customHeight="1">
      <c r="A125" s="46"/>
      <c r="B125" s="36" t="s">
        <v>90</v>
      </c>
      <c r="C125" s="36" t="s">
        <v>150</v>
      </c>
      <c r="D125" s="113">
        <f t="shared" ref="D125:L125" si="17">SUM(D126,D135,D139,D143,D149)</f>
        <v>14756</v>
      </c>
      <c r="E125" s="113">
        <f t="shared" si="17"/>
        <v>13885</v>
      </c>
      <c r="F125" s="113">
        <f t="shared" si="17"/>
        <v>9921</v>
      </c>
      <c r="G125" s="113">
        <f t="shared" si="17"/>
        <v>0</v>
      </c>
      <c r="H125" s="113">
        <f t="shared" si="17"/>
        <v>0</v>
      </c>
      <c r="I125" s="113">
        <f t="shared" si="17"/>
        <v>368</v>
      </c>
      <c r="J125" s="113">
        <f t="shared" si="17"/>
        <v>3111</v>
      </c>
      <c r="K125" s="113">
        <f t="shared" si="17"/>
        <v>485</v>
      </c>
      <c r="L125" s="113">
        <f t="shared" si="17"/>
        <v>0</v>
      </c>
      <c r="M125" s="113">
        <f>E125-D125</f>
        <v>-871</v>
      </c>
      <c r="N125" s="121">
        <f>IF(D125=0,0,M125/D125)</f>
        <v>-5.9026836541068037E-2</v>
      </c>
      <c r="O125" s="93"/>
      <c r="P125" s="93"/>
      <c r="Q125" s="93"/>
      <c r="R125" s="93"/>
      <c r="S125" s="93"/>
      <c r="T125" s="89"/>
      <c r="U125" s="89"/>
      <c r="V125" s="89"/>
      <c r="W125" s="89"/>
      <c r="X125" s="89"/>
      <c r="Y125" s="89" t="s">
        <v>28</v>
      </c>
      <c r="Z125" s="89"/>
      <c r="AA125" s="89"/>
      <c r="AB125" s="89"/>
      <c r="AC125" s="94"/>
      <c r="AD125" s="94">
        <f>SUM(AD126,AD135,AD139,AD143,AD149)</f>
        <v>13885000</v>
      </c>
      <c r="AE125" s="95" t="s">
        <v>25</v>
      </c>
      <c r="AF125" s="1"/>
    </row>
    <row r="126" spans="1:32" s="11" customFormat="1" ht="21" customHeight="1">
      <c r="A126" s="46"/>
      <c r="B126" s="46"/>
      <c r="C126" s="36" t="s">
        <v>59</v>
      </c>
      <c r="D126" s="161">
        <v>10487</v>
      </c>
      <c r="E126" s="114">
        <f>SUM(F126:L126)</f>
        <v>10763</v>
      </c>
      <c r="F126" s="113">
        <f>SUM(AD127:AD128)/1000</f>
        <v>8811</v>
      </c>
      <c r="G126" s="113">
        <v>0</v>
      </c>
      <c r="H126" s="113">
        <v>0</v>
      </c>
      <c r="I126" s="113">
        <f>SUM(AD130,AD133)/1000</f>
        <v>368</v>
      </c>
      <c r="J126" s="113">
        <f>SUM(AD129)/1000</f>
        <v>1099</v>
      </c>
      <c r="K126" s="113">
        <f>AD132/1000</f>
        <v>485</v>
      </c>
      <c r="L126" s="113">
        <f>AD131/1000</f>
        <v>0</v>
      </c>
      <c r="M126" s="113">
        <f>E126-D126</f>
        <v>276</v>
      </c>
      <c r="N126" s="121">
        <f>IF(D126=0,0,M126/D126)</f>
        <v>2.6318298846190521E-2</v>
      </c>
      <c r="O126" s="97" t="s">
        <v>91</v>
      </c>
      <c r="P126" s="190"/>
      <c r="Q126" s="190"/>
      <c r="R126" s="190"/>
      <c r="S126" s="190"/>
      <c r="T126" s="189"/>
      <c r="U126" s="189"/>
      <c r="V126" s="189"/>
      <c r="W126" s="189"/>
      <c r="X126" s="189"/>
      <c r="Y126" s="177" t="s">
        <v>141</v>
      </c>
      <c r="Z126" s="177"/>
      <c r="AA126" s="177"/>
      <c r="AB126" s="177"/>
      <c r="AC126" s="179"/>
      <c r="AD126" s="179">
        <f>ROUND(SUM(AD127:AD133),-3)</f>
        <v>10763000</v>
      </c>
      <c r="AE126" s="178" t="s">
        <v>25</v>
      </c>
      <c r="AF126" s="1"/>
    </row>
    <row r="127" spans="1:32" s="11" customFormat="1" ht="21" customHeight="1">
      <c r="A127" s="46"/>
      <c r="B127" s="46"/>
      <c r="C127" s="46"/>
      <c r="D127" s="11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580" t="s">
        <v>386</v>
      </c>
      <c r="P127" s="471"/>
      <c r="Q127" s="470"/>
      <c r="R127" s="470"/>
      <c r="S127" s="470">
        <v>165000</v>
      </c>
      <c r="T127" s="470" t="s">
        <v>311</v>
      </c>
      <c r="U127" s="384" t="s">
        <v>312</v>
      </c>
      <c r="V127" s="470">
        <v>12</v>
      </c>
      <c r="W127" s="470" t="s">
        <v>314</v>
      </c>
      <c r="X127" s="384" t="s">
        <v>312</v>
      </c>
      <c r="Y127" s="470">
        <v>4</v>
      </c>
      <c r="Z127" s="470" t="s">
        <v>313</v>
      </c>
      <c r="AA127" s="378" t="s">
        <v>315</v>
      </c>
      <c r="AB127" s="470" t="s">
        <v>317</v>
      </c>
      <c r="AC127" s="136"/>
      <c r="AD127" s="136">
        <f>S127*V127*Y127</f>
        <v>7920000</v>
      </c>
      <c r="AE127" s="137" t="s">
        <v>25</v>
      </c>
      <c r="AF127" s="2"/>
    </row>
    <row r="128" spans="1:32" s="11" customFormat="1" ht="21" customHeight="1">
      <c r="A128" s="46"/>
      <c r="B128" s="46"/>
      <c r="C128" s="46"/>
      <c r="D128" s="11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80" t="s">
        <v>440</v>
      </c>
      <c r="P128" s="580"/>
      <c r="Q128" s="579"/>
      <c r="R128" s="579"/>
      <c r="S128" s="579">
        <v>100000</v>
      </c>
      <c r="T128" s="384" t="s">
        <v>57</v>
      </c>
      <c r="U128" s="384" t="s">
        <v>26</v>
      </c>
      <c r="V128" s="579">
        <v>9</v>
      </c>
      <c r="W128" s="580" t="s">
        <v>0</v>
      </c>
      <c r="X128" s="579"/>
      <c r="Y128" s="579"/>
      <c r="Z128" s="579"/>
      <c r="AA128" s="579" t="s">
        <v>445</v>
      </c>
      <c r="AB128" s="579" t="s">
        <v>84</v>
      </c>
      <c r="AC128" s="579"/>
      <c r="AD128" s="579">
        <f>S128*V128-9000</f>
        <v>891000</v>
      </c>
      <c r="AE128" s="137" t="s">
        <v>25</v>
      </c>
      <c r="AF128" s="2"/>
    </row>
    <row r="129" spans="1:32" s="11" customFormat="1" ht="21" customHeight="1">
      <c r="A129" s="46"/>
      <c r="B129" s="46"/>
      <c r="C129" s="46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80" t="s">
        <v>387</v>
      </c>
      <c r="P129" s="471"/>
      <c r="Q129" s="471"/>
      <c r="R129" s="471"/>
      <c r="S129" s="470"/>
      <c r="T129" s="470"/>
      <c r="U129" s="384"/>
      <c r="V129" s="470"/>
      <c r="W129" s="470"/>
      <c r="X129" s="384"/>
      <c r="Y129" s="470"/>
      <c r="Z129" s="470"/>
      <c r="AA129" s="378"/>
      <c r="AB129" s="470" t="s">
        <v>318</v>
      </c>
      <c r="AC129" s="136"/>
      <c r="AD129" s="136">
        <v>1099000</v>
      </c>
      <c r="AE129" s="137" t="s">
        <v>25</v>
      </c>
      <c r="AF129" s="2"/>
    </row>
    <row r="130" spans="1:32" s="11" customFormat="1" ht="21" customHeight="1">
      <c r="A130" s="46"/>
      <c r="B130" s="46"/>
      <c r="C130" s="46"/>
      <c r="D130" s="11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80" t="s">
        <v>387</v>
      </c>
      <c r="P130" s="580"/>
      <c r="Q130" s="580"/>
      <c r="R130" s="580"/>
      <c r="S130" s="579"/>
      <c r="T130" s="579"/>
      <c r="U130" s="384"/>
      <c r="V130" s="579"/>
      <c r="W130" s="579"/>
      <c r="X130" s="384"/>
      <c r="Y130" s="579"/>
      <c r="Z130" s="579"/>
      <c r="AA130" s="378"/>
      <c r="AB130" s="579" t="s">
        <v>390</v>
      </c>
      <c r="AC130" s="136"/>
      <c r="AD130" s="136">
        <v>68000</v>
      </c>
      <c r="AE130" s="137" t="s">
        <v>391</v>
      </c>
      <c r="AF130" s="2"/>
    </row>
    <row r="131" spans="1:32" s="11" customFormat="1" ht="21" customHeight="1">
      <c r="A131" s="46"/>
      <c r="B131" s="46"/>
      <c r="C131" s="46"/>
      <c r="D131" s="11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580" t="s">
        <v>387</v>
      </c>
      <c r="P131" s="580"/>
      <c r="Q131" s="580"/>
      <c r="R131" s="580"/>
      <c r="S131" s="579"/>
      <c r="T131" s="579"/>
      <c r="U131" s="384"/>
      <c r="V131" s="579"/>
      <c r="W131" s="579"/>
      <c r="X131" s="384"/>
      <c r="Y131" s="579"/>
      <c r="Z131" s="579"/>
      <c r="AA131" s="378"/>
      <c r="AB131" s="579" t="s">
        <v>392</v>
      </c>
      <c r="AC131" s="136"/>
      <c r="AD131" s="136">
        <v>0</v>
      </c>
      <c r="AE131" s="137" t="s">
        <v>391</v>
      </c>
      <c r="AF131" s="2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580" t="s">
        <v>387</v>
      </c>
      <c r="P132" s="580"/>
      <c r="Q132" s="580"/>
      <c r="R132" s="580"/>
      <c r="S132" s="579"/>
      <c r="T132" s="579"/>
      <c r="U132" s="384"/>
      <c r="V132" s="579"/>
      <c r="W132" s="579"/>
      <c r="X132" s="384"/>
      <c r="Y132" s="579"/>
      <c r="Z132" s="579"/>
      <c r="AA132" s="378"/>
      <c r="AB132" s="579" t="s">
        <v>393</v>
      </c>
      <c r="AC132" s="136"/>
      <c r="AD132" s="136">
        <v>485000</v>
      </c>
      <c r="AE132" s="137" t="s">
        <v>391</v>
      </c>
      <c r="AF132" s="2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80" t="s">
        <v>388</v>
      </c>
      <c r="P133" s="471"/>
      <c r="Q133" s="470"/>
      <c r="R133" s="470"/>
      <c r="S133" s="470"/>
      <c r="T133" s="470"/>
      <c r="U133" s="384"/>
      <c r="V133" s="470"/>
      <c r="W133" s="470"/>
      <c r="X133" s="384"/>
      <c r="Y133" s="470"/>
      <c r="Z133" s="470"/>
      <c r="AA133" s="378" t="s">
        <v>309</v>
      </c>
      <c r="AB133" s="579" t="s">
        <v>389</v>
      </c>
      <c r="AC133" s="136"/>
      <c r="AD133" s="136">
        <v>300000</v>
      </c>
      <c r="AE133" s="137" t="s">
        <v>25</v>
      </c>
      <c r="AF133" s="2"/>
    </row>
    <row r="134" spans="1:32" s="11" customFormat="1" ht="21" customHeight="1">
      <c r="A134" s="46"/>
      <c r="B134" s="46"/>
      <c r="C134" s="59"/>
      <c r="D134" s="160"/>
      <c r="E134" s="111"/>
      <c r="F134" s="111"/>
      <c r="G134" s="111"/>
      <c r="H134" s="111"/>
      <c r="I134" s="111"/>
      <c r="J134" s="111"/>
      <c r="K134" s="111"/>
      <c r="L134" s="111"/>
      <c r="M134" s="111"/>
      <c r="N134" s="84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32"/>
      <c r="AE134" s="124"/>
      <c r="AF134" s="2"/>
    </row>
    <row r="135" spans="1:32" s="11" customFormat="1" ht="21" customHeight="1">
      <c r="A135" s="46"/>
      <c r="B135" s="46"/>
      <c r="C135" s="46" t="s">
        <v>92</v>
      </c>
      <c r="D135" s="159">
        <v>2409</v>
      </c>
      <c r="E135" s="114">
        <f>SUM(F135:L135)</f>
        <v>1252</v>
      </c>
      <c r="F135" s="109">
        <f>AD136/1000</f>
        <v>500</v>
      </c>
      <c r="G135" s="109">
        <v>0</v>
      </c>
      <c r="H135" s="109">
        <v>0</v>
      </c>
      <c r="I135" s="109">
        <v>0</v>
      </c>
      <c r="J135" s="109">
        <f>SUM(AD137:AD137)/1000</f>
        <v>752</v>
      </c>
      <c r="K135" s="109">
        <v>0</v>
      </c>
      <c r="L135" s="109">
        <v>0</v>
      </c>
      <c r="M135" s="109">
        <f>E135-D135</f>
        <v>-1157</v>
      </c>
      <c r="N135" s="70">
        <f>IF(D135=0,0,M135/D135)</f>
        <v>-0.48028227480282276</v>
      </c>
      <c r="O135" s="97" t="s">
        <v>93</v>
      </c>
      <c r="P135" s="93"/>
      <c r="Q135" s="93"/>
      <c r="R135" s="93"/>
      <c r="S135" s="93"/>
      <c r="T135" s="89"/>
      <c r="U135" s="89"/>
      <c r="V135" s="89"/>
      <c r="W135" s="89"/>
      <c r="X135" s="89"/>
      <c r="Y135" s="177" t="s">
        <v>141</v>
      </c>
      <c r="Z135" s="177"/>
      <c r="AA135" s="177"/>
      <c r="AB135" s="177"/>
      <c r="AC135" s="179"/>
      <c r="AD135" s="179">
        <f>ROUND(SUM(AD136:AD138),-3)</f>
        <v>1252000</v>
      </c>
      <c r="AE135" s="178" t="s">
        <v>25</v>
      </c>
      <c r="AF135" s="1"/>
    </row>
    <row r="136" spans="1:32" s="11" customFormat="1" ht="21" customHeight="1">
      <c r="A136" s="46"/>
      <c r="B136" s="46"/>
      <c r="C136" s="46" t="s">
        <v>151</v>
      </c>
      <c r="D136" s="159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580" t="s">
        <v>549</v>
      </c>
      <c r="P136" s="471"/>
      <c r="Q136" s="471"/>
      <c r="R136" s="471"/>
      <c r="S136" s="470"/>
      <c r="T136" s="384"/>
      <c r="U136" s="384"/>
      <c r="V136" s="470"/>
      <c r="W136" s="470"/>
      <c r="X136" s="470"/>
      <c r="Y136" s="470"/>
      <c r="Z136" s="470"/>
      <c r="AA136" s="470"/>
      <c r="AB136" s="470" t="s">
        <v>310</v>
      </c>
      <c r="AC136" s="470"/>
      <c r="AD136" s="470">
        <v>500000</v>
      </c>
      <c r="AE136" s="137" t="s">
        <v>308</v>
      </c>
      <c r="AF136" s="2"/>
    </row>
    <row r="137" spans="1:32" s="11" customFormat="1" ht="21" customHeight="1">
      <c r="A137" s="46"/>
      <c r="B137" s="46"/>
      <c r="C137" s="46"/>
      <c r="D137" s="159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80" t="s">
        <v>397</v>
      </c>
      <c r="P137" s="471"/>
      <c r="Q137" s="471"/>
      <c r="R137" s="471"/>
      <c r="S137" s="470"/>
      <c r="T137" s="384"/>
      <c r="U137" s="384"/>
      <c r="V137" s="470"/>
      <c r="W137" s="470"/>
      <c r="X137" s="470"/>
      <c r="Y137" s="470"/>
      <c r="Z137" s="470"/>
      <c r="AA137" s="470"/>
      <c r="AB137" s="579" t="s">
        <v>547</v>
      </c>
      <c r="AC137" s="470"/>
      <c r="AD137" s="470">
        <v>752000</v>
      </c>
      <c r="AE137" s="137" t="s">
        <v>308</v>
      </c>
      <c r="AF137" s="2"/>
    </row>
    <row r="138" spans="1:32" s="11" customFormat="1" ht="21" customHeight="1">
      <c r="A138" s="46"/>
      <c r="B138" s="46"/>
      <c r="C138" s="46"/>
      <c r="D138" s="159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292"/>
      <c r="P138" s="292"/>
      <c r="Q138" s="292"/>
      <c r="R138" s="292"/>
      <c r="S138" s="386"/>
      <c r="T138" s="387"/>
      <c r="U138" s="366"/>
      <c r="V138" s="388"/>
      <c r="W138" s="386"/>
      <c r="X138" s="386"/>
      <c r="Y138" s="386"/>
      <c r="Z138" s="386"/>
      <c r="AA138" s="386"/>
      <c r="AB138" s="386"/>
      <c r="AC138" s="386"/>
      <c r="AD138" s="386"/>
      <c r="AE138" s="389"/>
      <c r="AF138" s="1"/>
    </row>
    <row r="139" spans="1:32" s="11" customFormat="1" ht="21" customHeight="1">
      <c r="A139" s="46"/>
      <c r="B139" s="46"/>
      <c r="C139" s="36" t="s">
        <v>87</v>
      </c>
      <c r="D139" s="161">
        <v>1200</v>
      </c>
      <c r="E139" s="114">
        <f>SUM(F139:L139)</f>
        <v>1200</v>
      </c>
      <c r="F139" s="113">
        <f>AD140/1000</f>
        <v>440</v>
      </c>
      <c r="G139" s="113">
        <v>0</v>
      </c>
      <c r="H139" s="113">
        <v>0</v>
      </c>
      <c r="I139" s="113">
        <v>0</v>
      </c>
      <c r="J139" s="113">
        <f>AD141/1000</f>
        <v>760</v>
      </c>
      <c r="K139" s="113">
        <v>0</v>
      </c>
      <c r="L139" s="113">
        <v>0</v>
      </c>
      <c r="M139" s="113">
        <f>E139-D139</f>
        <v>0</v>
      </c>
      <c r="N139" s="121">
        <f>IF(D139=0,0,M139/D139)</f>
        <v>0</v>
      </c>
      <c r="O139" s="97" t="s">
        <v>136</v>
      </c>
      <c r="P139" s="176"/>
      <c r="Q139" s="93"/>
      <c r="R139" s="93"/>
      <c r="S139" s="93"/>
      <c r="T139" s="89"/>
      <c r="U139" s="89"/>
      <c r="V139" s="89"/>
      <c r="W139" s="189"/>
      <c r="X139" s="189"/>
      <c r="Y139" s="177" t="s">
        <v>141</v>
      </c>
      <c r="Z139" s="177"/>
      <c r="AA139" s="177"/>
      <c r="AB139" s="177"/>
      <c r="AC139" s="179"/>
      <c r="AD139" s="179">
        <f>SUM(AD140:AD142)</f>
        <v>1200000</v>
      </c>
      <c r="AE139" s="178" t="s">
        <v>25</v>
      </c>
      <c r="AF139" s="1"/>
    </row>
    <row r="140" spans="1:32" s="11" customFormat="1" ht="21" customHeight="1">
      <c r="A140" s="46"/>
      <c r="B140" s="46"/>
      <c r="C140" s="46"/>
      <c r="D140" s="11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572" t="s">
        <v>359</v>
      </c>
      <c r="P140" s="471"/>
      <c r="Q140" s="470"/>
      <c r="R140" s="470"/>
      <c r="S140" s="470">
        <v>110000</v>
      </c>
      <c r="T140" s="470" t="s">
        <v>311</v>
      </c>
      <c r="U140" s="471" t="s">
        <v>312</v>
      </c>
      <c r="V140" s="571">
        <v>4</v>
      </c>
      <c r="W140" s="571" t="s">
        <v>56</v>
      </c>
      <c r="X140" s="471"/>
      <c r="Y140" s="470"/>
      <c r="Z140" s="470"/>
      <c r="AA140" s="470" t="s">
        <v>315</v>
      </c>
      <c r="AB140" s="571" t="s">
        <v>360</v>
      </c>
      <c r="AC140" s="136"/>
      <c r="AD140" s="136">
        <f>S140*V140</f>
        <v>440000</v>
      </c>
      <c r="AE140" s="137" t="s">
        <v>25</v>
      </c>
      <c r="AF140" s="1"/>
    </row>
    <row r="141" spans="1:32" s="11" customFormat="1" ht="21" customHeight="1">
      <c r="A141" s="46"/>
      <c r="B141" s="46"/>
      <c r="C141" s="46"/>
      <c r="D141" s="11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80"/>
      <c r="P141" s="580"/>
      <c r="Q141" s="579"/>
      <c r="R141" s="579"/>
      <c r="S141" s="579">
        <v>190000</v>
      </c>
      <c r="T141" s="579" t="s">
        <v>57</v>
      </c>
      <c r="U141" s="580" t="s">
        <v>58</v>
      </c>
      <c r="V141" s="579">
        <v>4</v>
      </c>
      <c r="W141" s="579" t="s">
        <v>56</v>
      </c>
      <c r="X141" s="580"/>
      <c r="Y141" s="579"/>
      <c r="Z141" s="579"/>
      <c r="AA141" s="579" t="s">
        <v>53</v>
      </c>
      <c r="AB141" s="579" t="s">
        <v>586</v>
      </c>
      <c r="AC141" s="136"/>
      <c r="AD141" s="136">
        <f>S141*V141</f>
        <v>760000</v>
      </c>
      <c r="AE141" s="137" t="s">
        <v>25</v>
      </c>
      <c r="AF141" s="1"/>
    </row>
    <row r="142" spans="1:32" s="11" customFormat="1" ht="21" customHeight="1">
      <c r="A142" s="46"/>
      <c r="B142" s="46"/>
      <c r="C142" s="46"/>
      <c r="D142" s="159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471"/>
      <c r="P142" s="471"/>
      <c r="Q142" s="470"/>
      <c r="R142" s="470"/>
      <c r="S142" s="470"/>
      <c r="T142" s="470"/>
      <c r="U142" s="471"/>
      <c r="V142" s="470"/>
      <c r="W142" s="470"/>
      <c r="X142" s="471"/>
      <c r="Y142" s="470"/>
      <c r="Z142" s="470"/>
      <c r="AA142" s="470"/>
      <c r="AB142" s="470"/>
      <c r="AC142" s="136"/>
      <c r="AD142" s="136"/>
      <c r="AE142" s="137"/>
      <c r="AF142" s="1"/>
    </row>
    <row r="143" spans="1:32" s="11" customFormat="1" ht="21" customHeight="1">
      <c r="A143" s="46"/>
      <c r="B143" s="46"/>
      <c r="C143" s="36" t="s">
        <v>88</v>
      </c>
      <c r="D143" s="161">
        <v>460</v>
      </c>
      <c r="E143" s="114">
        <f>SUM(F143:L143)</f>
        <v>460</v>
      </c>
      <c r="F143" s="113">
        <f>AD144/1000</f>
        <v>160</v>
      </c>
      <c r="G143" s="113">
        <v>0</v>
      </c>
      <c r="H143" s="113">
        <v>0</v>
      </c>
      <c r="I143" s="113">
        <v>0</v>
      </c>
      <c r="J143" s="113">
        <f>SUM(AD145:AD147)/1000</f>
        <v>300</v>
      </c>
      <c r="K143" s="113">
        <v>0</v>
      </c>
      <c r="L143" s="113">
        <v>0</v>
      </c>
      <c r="M143" s="113">
        <f>E143-D143</f>
        <v>0</v>
      </c>
      <c r="N143" s="121">
        <f>IF(D143=0,0,M143/D143)</f>
        <v>0</v>
      </c>
      <c r="O143" s="97" t="s">
        <v>137</v>
      </c>
      <c r="P143" s="176"/>
      <c r="Q143" s="181"/>
      <c r="R143" s="181"/>
      <c r="S143" s="181"/>
      <c r="T143" s="180"/>
      <c r="U143" s="180"/>
      <c r="V143" s="180"/>
      <c r="W143" s="189"/>
      <c r="X143" s="189"/>
      <c r="Y143" s="177" t="s">
        <v>141</v>
      </c>
      <c r="Z143" s="177"/>
      <c r="AA143" s="177"/>
      <c r="AB143" s="177"/>
      <c r="AC143" s="179"/>
      <c r="AD143" s="179">
        <f>SUM(AD144:AD147)</f>
        <v>460000</v>
      </c>
      <c r="AE143" s="178" t="s">
        <v>25</v>
      </c>
      <c r="AF143" s="1"/>
    </row>
    <row r="144" spans="1:32" s="14" customFormat="1" ht="21" customHeight="1">
      <c r="A144" s="46"/>
      <c r="B144" s="46"/>
      <c r="C144" s="46"/>
      <c r="D144" s="159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72" t="s">
        <v>361</v>
      </c>
      <c r="P144" s="471"/>
      <c r="Q144" s="470"/>
      <c r="R144" s="470"/>
      <c r="S144" s="470">
        <v>40000</v>
      </c>
      <c r="T144" s="470" t="s">
        <v>311</v>
      </c>
      <c r="U144" s="471" t="s">
        <v>312</v>
      </c>
      <c r="V144" s="470">
        <v>1</v>
      </c>
      <c r="W144" s="470" t="s">
        <v>316</v>
      </c>
      <c r="X144" s="471" t="s">
        <v>312</v>
      </c>
      <c r="Y144" s="470">
        <v>4</v>
      </c>
      <c r="Z144" s="470" t="s">
        <v>313</v>
      </c>
      <c r="AA144" s="470" t="s">
        <v>315</v>
      </c>
      <c r="AB144" s="470" t="s">
        <v>317</v>
      </c>
      <c r="AC144" s="136"/>
      <c r="AD144" s="136">
        <f>S144*V144*Y144</f>
        <v>160000</v>
      </c>
      <c r="AE144" s="137" t="s">
        <v>25</v>
      </c>
      <c r="AF144" s="5"/>
    </row>
    <row r="145" spans="1:32" s="14" customFormat="1" ht="21" customHeight="1">
      <c r="A145" s="46"/>
      <c r="B145" s="46"/>
      <c r="C145" s="46"/>
      <c r="D145" s="159"/>
      <c r="E145" s="109"/>
      <c r="F145" s="109"/>
      <c r="G145" s="109"/>
      <c r="H145" s="109"/>
      <c r="I145" s="109"/>
      <c r="J145" s="109"/>
      <c r="K145" s="109"/>
      <c r="L145" s="109"/>
      <c r="M145" s="109"/>
      <c r="N145" s="289"/>
      <c r="O145" s="372" t="s">
        <v>362</v>
      </c>
      <c r="P145" s="471"/>
      <c r="Q145" s="471"/>
      <c r="R145" s="471"/>
      <c r="S145" s="470"/>
      <c r="T145" s="470"/>
      <c r="U145" s="471"/>
      <c r="V145" s="470"/>
      <c r="W145" s="470"/>
      <c r="X145" s="471"/>
      <c r="Y145" s="385"/>
      <c r="Z145" s="378"/>
      <c r="AA145" s="378"/>
      <c r="AB145" s="571" t="s">
        <v>363</v>
      </c>
      <c r="AC145" s="136"/>
      <c r="AD145" s="470">
        <v>200000</v>
      </c>
      <c r="AE145" s="137" t="s">
        <v>311</v>
      </c>
      <c r="AF145" s="5"/>
    </row>
    <row r="146" spans="1:32" s="14" customFormat="1" ht="21" customHeight="1">
      <c r="A146" s="46"/>
      <c r="B146" s="46"/>
      <c r="C146" s="46"/>
      <c r="D146" s="159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572" t="s">
        <v>364</v>
      </c>
      <c r="P146" s="572"/>
      <c r="Q146" s="572"/>
      <c r="R146" s="572"/>
      <c r="S146" s="571">
        <v>20000</v>
      </c>
      <c r="T146" s="571" t="s">
        <v>57</v>
      </c>
      <c r="U146" s="572" t="s">
        <v>58</v>
      </c>
      <c r="V146" s="571">
        <v>0</v>
      </c>
      <c r="W146" s="571" t="s">
        <v>56</v>
      </c>
      <c r="X146" s="572" t="s">
        <v>58</v>
      </c>
      <c r="Y146" s="385">
        <v>1</v>
      </c>
      <c r="Z146" s="378" t="s">
        <v>70</v>
      </c>
      <c r="AA146" s="378" t="s">
        <v>53</v>
      </c>
      <c r="AB146" s="571" t="s">
        <v>363</v>
      </c>
      <c r="AC146" s="136"/>
      <c r="AD146" s="571">
        <f>S146*V146*Y146</f>
        <v>0</v>
      </c>
      <c r="AE146" s="137" t="s">
        <v>57</v>
      </c>
      <c r="AF146" s="5"/>
    </row>
    <row r="147" spans="1:32" s="14" customFormat="1" ht="21" customHeight="1">
      <c r="A147" s="46"/>
      <c r="B147" s="46"/>
      <c r="C147" s="46"/>
      <c r="D147" s="159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572" t="s">
        <v>365</v>
      </c>
      <c r="P147" s="471"/>
      <c r="Q147" s="471"/>
      <c r="R147" s="471"/>
      <c r="S147" s="470"/>
      <c r="T147" s="470"/>
      <c r="U147" s="471"/>
      <c r="V147" s="470"/>
      <c r="W147" s="470"/>
      <c r="X147" s="471"/>
      <c r="Y147" s="497"/>
      <c r="Z147" s="485"/>
      <c r="AA147" s="499"/>
      <c r="AB147" s="571" t="s">
        <v>363</v>
      </c>
      <c r="AC147" s="470"/>
      <c r="AD147" s="470">
        <v>100000</v>
      </c>
      <c r="AE147" s="137" t="s">
        <v>308</v>
      </c>
      <c r="AF147" s="5"/>
    </row>
    <row r="148" spans="1:32" s="11" customFormat="1" ht="21" customHeight="1">
      <c r="A148" s="46"/>
      <c r="B148" s="46"/>
      <c r="C148" s="59"/>
      <c r="D148" s="160"/>
      <c r="E148" s="166"/>
      <c r="F148" s="166"/>
      <c r="G148" s="166"/>
      <c r="H148" s="166"/>
      <c r="I148" s="166"/>
      <c r="J148" s="166"/>
      <c r="K148" s="166"/>
      <c r="L148" s="166"/>
      <c r="M148" s="133"/>
      <c r="N148" s="84"/>
      <c r="O148" s="500"/>
      <c r="P148" s="500"/>
      <c r="Q148" s="500"/>
      <c r="R148" s="500"/>
      <c r="S148" s="500"/>
      <c r="T148" s="134"/>
      <c r="U148" s="470"/>
      <c r="V148" s="378"/>
      <c r="W148" s="470"/>
      <c r="X148" s="470"/>
      <c r="Y148" s="470"/>
      <c r="Z148" s="470"/>
      <c r="AA148" s="470"/>
      <c r="AB148" s="470"/>
      <c r="AC148" s="470"/>
      <c r="AD148" s="470"/>
      <c r="AE148" s="137"/>
      <c r="AF148" s="1"/>
    </row>
    <row r="149" spans="1:32" s="11" customFormat="1" ht="21" customHeight="1">
      <c r="A149" s="46"/>
      <c r="B149" s="46"/>
      <c r="C149" s="46" t="s">
        <v>89</v>
      </c>
      <c r="D149" s="130">
        <v>200</v>
      </c>
      <c r="E149" s="114">
        <f>SUM(F149:L149)</f>
        <v>210</v>
      </c>
      <c r="F149" s="109">
        <f>AD150/1000</f>
        <v>10</v>
      </c>
      <c r="G149" s="109">
        <v>0</v>
      </c>
      <c r="H149" s="109">
        <v>0</v>
      </c>
      <c r="I149" s="109">
        <v>0</v>
      </c>
      <c r="J149" s="109">
        <f>AD151/1000</f>
        <v>200</v>
      </c>
      <c r="K149" s="109">
        <v>0</v>
      </c>
      <c r="L149" s="109">
        <v>0</v>
      </c>
      <c r="M149" s="109">
        <f>E149-D149</f>
        <v>10</v>
      </c>
      <c r="N149" s="70">
        <f>IF(D149=0,0,M149/D149)</f>
        <v>0.05</v>
      </c>
      <c r="O149" s="97" t="s">
        <v>94</v>
      </c>
      <c r="P149" s="93"/>
      <c r="Q149" s="93"/>
      <c r="R149" s="93"/>
      <c r="S149" s="93"/>
      <c r="T149" s="89"/>
      <c r="U149" s="89"/>
      <c r="V149" s="89"/>
      <c r="W149" s="89"/>
      <c r="X149" s="89"/>
      <c r="Y149" s="177" t="s">
        <v>141</v>
      </c>
      <c r="Z149" s="177"/>
      <c r="AA149" s="177"/>
      <c r="AB149" s="177"/>
      <c r="AC149" s="179"/>
      <c r="AD149" s="179">
        <f>ROUND(SUM(AD150:AD151),-3)</f>
        <v>210000</v>
      </c>
      <c r="AE149" s="178" t="s">
        <v>25</v>
      </c>
      <c r="AF149" s="1"/>
    </row>
    <row r="150" spans="1:32" s="11" customFormat="1" ht="21" customHeight="1">
      <c r="A150" s="46"/>
      <c r="B150" s="46"/>
      <c r="C150" s="46"/>
      <c r="D150" s="159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580" t="s">
        <v>398</v>
      </c>
      <c r="P150" s="471"/>
      <c r="Q150" s="471"/>
      <c r="R150" s="471"/>
      <c r="S150" s="470">
        <v>10000</v>
      </c>
      <c r="T150" s="384" t="s">
        <v>311</v>
      </c>
      <c r="U150" s="384" t="s">
        <v>26</v>
      </c>
      <c r="V150" s="470">
        <v>1</v>
      </c>
      <c r="W150" s="470" t="s">
        <v>314</v>
      </c>
      <c r="X150" s="378"/>
      <c r="Y150" s="497"/>
      <c r="Z150" s="485"/>
      <c r="AA150" s="498" t="s">
        <v>315</v>
      </c>
      <c r="AB150" s="470" t="s">
        <v>317</v>
      </c>
      <c r="AC150" s="470"/>
      <c r="AD150" s="470">
        <f>S150*V150</f>
        <v>10000</v>
      </c>
      <c r="AE150" s="137" t="s">
        <v>25</v>
      </c>
      <c r="AF150" s="1"/>
    </row>
    <row r="151" spans="1:32" s="11" customFormat="1" ht="21" customHeight="1">
      <c r="A151" s="46"/>
      <c r="B151" s="46"/>
      <c r="C151" s="46"/>
      <c r="D151" s="159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527"/>
      <c r="P151" s="527"/>
      <c r="Q151" s="527"/>
      <c r="R151" s="527"/>
      <c r="S151" s="526"/>
      <c r="T151" s="384"/>
      <c r="U151" s="384"/>
      <c r="V151" s="526"/>
      <c r="W151" s="526"/>
      <c r="X151" s="378"/>
      <c r="Y151" s="497"/>
      <c r="Z151" s="485"/>
      <c r="AA151" s="498" t="s">
        <v>230</v>
      </c>
      <c r="AB151" s="579" t="s">
        <v>373</v>
      </c>
      <c r="AC151" s="526"/>
      <c r="AD151" s="526">
        <v>200000</v>
      </c>
      <c r="AE151" s="137" t="s">
        <v>25</v>
      </c>
      <c r="AF151" s="1"/>
    </row>
    <row r="152" spans="1:32" s="11" customFormat="1" ht="21" customHeight="1">
      <c r="A152" s="46"/>
      <c r="B152" s="46"/>
      <c r="C152" s="46"/>
      <c r="D152" s="159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471"/>
      <c r="P152" s="471"/>
      <c r="Q152" s="471"/>
      <c r="R152" s="471"/>
      <c r="S152" s="470"/>
      <c r="T152" s="384"/>
      <c r="U152" s="471"/>
      <c r="V152" s="470"/>
      <c r="W152" s="471"/>
      <c r="X152" s="470"/>
      <c r="Y152" s="470"/>
      <c r="Z152" s="470"/>
      <c r="AA152" s="470"/>
      <c r="AB152" s="470"/>
      <c r="AC152" s="470"/>
      <c r="AD152" s="470"/>
      <c r="AE152" s="137"/>
      <c r="AF152" s="1"/>
    </row>
    <row r="153" spans="1:32" s="11" customFormat="1" ht="21" customHeight="1">
      <c r="A153" s="46"/>
      <c r="B153" s="36" t="s">
        <v>95</v>
      </c>
      <c r="C153" s="173" t="s">
        <v>146</v>
      </c>
      <c r="D153" s="174">
        <f t="shared" ref="D153:L153" si="18">SUM(D154,D160,D167,D170,D176,D180,D186,D190)</f>
        <v>5750</v>
      </c>
      <c r="E153" s="174">
        <f t="shared" si="18"/>
        <v>5750</v>
      </c>
      <c r="F153" s="174">
        <f t="shared" si="18"/>
        <v>0</v>
      </c>
      <c r="G153" s="174">
        <f t="shared" si="18"/>
        <v>0</v>
      </c>
      <c r="H153" s="174">
        <f t="shared" si="18"/>
        <v>0</v>
      </c>
      <c r="I153" s="174">
        <f t="shared" si="18"/>
        <v>600</v>
      </c>
      <c r="J153" s="174">
        <f t="shared" si="18"/>
        <v>5150</v>
      </c>
      <c r="K153" s="174">
        <f t="shared" si="18"/>
        <v>0</v>
      </c>
      <c r="L153" s="174">
        <f t="shared" si="18"/>
        <v>0</v>
      </c>
      <c r="M153" s="174">
        <f>E153-D153</f>
        <v>0</v>
      </c>
      <c r="N153" s="175">
        <f>IF(D153=0,0,M153/D153)</f>
        <v>0</v>
      </c>
      <c r="O153" s="176"/>
      <c r="P153" s="176"/>
      <c r="Q153" s="176"/>
      <c r="R153" s="176"/>
      <c r="S153" s="176"/>
      <c r="T153" s="177"/>
      <c r="U153" s="177"/>
      <c r="V153" s="177"/>
      <c r="W153" s="177"/>
      <c r="X153" s="177"/>
      <c r="Y153" s="177" t="s">
        <v>28</v>
      </c>
      <c r="Z153" s="177"/>
      <c r="AA153" s="177"/>
      <c r="AB153" s="177"/>
      <c r="AC153" s="179"/>
      <c r="AD153" s="179">
        <f>SUM(AD154,AD160,AD167,AD170,AD176,AD180,AD186,AD190)</f>
        <v>5750000</v>
      </c>
      <c r="AE153" s="178" t="s">
        <v>25</v>
      </c>
      <c r="AF153" s="1"/>
    </row>
    <row r="154" spans="1:32" s="15" customFormat="1" ht="24" customHeight="1">
      <c r="A154" s="46"/>
      <c r="B154" s="46" t="s">
        <v>326</v>
      </c>
      <c r="C154" s="36" t="s">
        <v>399</v>
      </c>
      <c r="D154" s="548">
        <v>850</v>
      </c>
      <c r="E154" s="114">
        <f>SUM(F154:L154)</f>
        <v>850</v>
      </c>
      <c r="F154" s="109">
        <v>0</v>
      </c>
      <c r="G154" s="109">
        <v>0</v>
      </c>
      <c r="H154" s="109">
        <v>0</v>
      </c>
      <c r="I154" s="109">
        <v>0</v>
      </c>
      <c r="J154" s="109">
        <f>SUM(AD155:AD158)/1000</f>
        <v>850</v>
      </c>
      <c r="K154" s="109">
        <v>0</v>
      </c>
      <c r="L154" s="109">
        <v>0</v>
      </c>
      <c r="M154" s="109">
        <f>E154-D154</f>
        <v>0</v>
      </c>
      <c r="N154" s="70">
        <f>IF(D154=0,0,M154/D154)</f>
        <v>0</v>
      </c>
      <c r="O154" s="536"/>
      <c r="P154" s="165"/>
      <c r="Q154" s="165"/>
      <c r="R154" s="165"/>
      <c r="S154" s="165"/>
      <c r="T154" s="88"/>
      <c r="U154" s="88"/>
      <c r="V154" s="88"/>
      <c r="W154" s="148" t="s">
        <v>135</v>
      </c>
      <c r="X154" s="148"/>
      <c r="Y154" s="148"/>
      <c r="Z154" s="148"/>
      <c r="AA154" s="148"/>
      <c r="AB154" s="148"/>
      <c r="AC154" s="149"/>
      <c r="AD154" s="149">
        <f>SUM(AD155:AD158)</f>
        <v>850000</v>
      </c>
      <c r="AE154" s="150" t="s">
        <v>25</v>
      </c>
      <c r="AF154" s="16"/>
    </row>
    <row r="155" spans="1:32" s="15" customFormat="1" ht="24" customHeight="1">
      <c r="A155" s="46"/>
      <c r="B155" s="46"/>
      <c r="C155" s="46" t="s">
        <v>400</v>
      </c>
      <c r="D155" s="162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80" t="s">
        <v>401</v>
      </c>
      <c r="P155" s="533"/>
      <c r="Q155" s="533"/>
      <c r="R155" s="533"/>
      <c r="S155" s="579">
        <v>50000</v>
      </c>
      <c r="T155" s="384" t="s">
        <v>57</v>
      </c>
      <c r="U155" s="384" t="s">
        <v>26</v>
      </c>
      <c r="V155" s="579">
        <v>4</v>
      </c>
      <c r="W155" s="579" t="s">
        <v>402</v>
      </c>
      <c r="X155" s="378"/>
      <c r="Y155" s="497"/>
      <c r="Z155" s="485"/>
      <c r="AA155" s="498" t="s">
        <v>53</v>
      </c>
      <c r="AB155" s="579" t="s">
        <v>373</v>
      </c>
      <c r="AC155" s="579"/>
      <c r="AD155" s="579">
        <f>S155*V155</f>
        <v>200000</v>
      </c>
      <c r="AE155" s="137" t="s">
        <v>25</v>
      </c>
      <c r="AF155" s="16"/>
    </row>
    <row r="156" spans="1:32" s="15" customFormat="1" ht="24" customHeight="1">
      <c r="A156" s="46"/>
      <c r="B156" s="46"/>
      <c r="C156" s="46"/>
      <c r="D156" s="162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580" t="s">
        <v>403</v>
      </c>
      <c r="P156" s="533"/>
      <c r="Q156" s="533"/>
      <c r="R156" s="533"/>
      <c r="S156" s="579">
        <v>50000</v>
      </c>
      <c r="T156" s="384" t="s">
        <v>57</v>
      </c>
      <c r="U156" s="384" t="s">
        <v>26</v>
      </c>
      <c r="V156" s="579">
        <v>2</v>
      </c>
      <c r="W156" s="579" t="s">
        <v>404</v>
      </c>
      <c r="X156" s="378"/>
      <c r="Y156" s="497"/>
      <c r="Z156" s="485"/>
      <c r="AA156" s="498" t="s">
        <v>53</v>
      </c>
      <c r="AB156" s="579" t="s">
        <v>373</v>
      </c>
      <c r="AC156" s="579"/>
      <c r="AD156" s="579">
        <f>S156*V156</f>
        <v>100000</v>
      </c>
      <c r="AE156" s="137" t="s">
        <v>25</v>
      </c>
      <c r="AF156" s="16"/>
    </row>
    <row r="157" spans="1:32" s="15" customFormat="1" ht="24" customHeight="1">
      <c r="A157" s="46"/>
      <c r="B157" s="46"/>
      <c r="C157" s="46"/>
      <c r="D157" s="162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580" t="s">
        <v>405</v>
      </c>
      <c r="P157" s="533"/>
      <c r="Q157" s="533"/>
      <c r="R157" s="533"/>
      <c r="S157" s="579">
        <v>50000</v>
      </c>
      <c r="T157" s="384" t="s">
        <v>57</v>
      </c>
      <c r="U157" s="384" t="s">
        <v>26</v>
      </c>
      <c r="V157" s="579">
        <v>6</v>
      </c>
      <c r="W157" s="579" t="s">
        <v>404</v>
      </c>
      <c r="X157" s="378"/>
      <c r="Y157" s="497"/>
      <c r="Z157" s="485"/>
      <c r="AA157" s="498" t="s">
        <v>53</v>
      </c>
      <c r="AB157" s="579" t="s">
        <v>373</v>
      </c>
      <c r="AC157" s="579"/>
      <c r="AD157" s="579">
        <f>S157*V157</f>
        <v>300000</v>
      </c>
      <c r="AE157" s="137" t="s">
        <v>25</v>
      </c>
      <c r="AF157" s="16"/>
    </row>
    <row r="158" spans="1:32" s="15" customFormat="1" ht="24" customHeight="1">
      <c r="A158" s="46"/>
      <c r="B158" s="46"/>
      <c r="C158" s="46"/>
      <c r="D158" s="159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580" t="s">
        <v>406</v>
      </c>
      <c r="P158" s="533"/>
      <c r="Q158" s="533"/>
      <c r="R158" s="533"/>
      <c r="S158" s="579">
        <v>50000</v>
      </c>
      <c r="T158" s="384" t="s">
        <v>57</v>
      </c>
      <c r="U158" s="384" t="s">
        <v>26</v>
      </c>
      <c r="V158" s="579">
        <v>5</v>
      </c>
      <c r="W158" s="579" t="s">
        <v>404</v>
      </c>
      <c r="X158" s="378"/>
      <c r="Y158" s="497"/>
      <c r="Z158" s="485"/>
      <c r="AA158" s="498" t="s">
        <v>53</v>
      </c>
      <c r="AB158" s="579" t="s">
        <v>373</v>
      </c>
      <c r="AC158" s="579"/>
      <c r="AD158" s="579">
        <f>S158*V158</f>
        <v>250000</v>
      </c>
      <c r="AE158" s="137" t="s">
        <v>25</v>
      </c>
      <c r="AF158" s="16"/>
    </row>
    <row r="159" spans="1:32" s="15" customFormat="1" ht="24" customHeight="1">
      <c r="A159" s="46"/>
      <c r="B159" s="46"/>
      <c r="C159" s="59"/>
      <c r="D159" s="160"/>
      <c r="E159" s="111"/>
      <c r="F159" s="111"/>
      <c r="G159" s="111"/>
      <c r="H159" s="111"/>
      <c r="I159" s="111"/>
      <c r="J159" s="111"/>
      <c r="K159" s="111"/>
      <c r="L159" s="111"/>
      <c r="M159" s="111"/>
      <c r="N159" s="84"/>
      <c r="O159" s="531"/>
      <c r="P159" s="531"/>
      <c r="Q159" s="531"/>
      <c r="R159" s="531"/>
      <c r="S159" s="530"/>
      <c r="T159" s="530"/>
      <c r="U159" s="531"/>
      <c r="V159" s="530"/>
      <c r="W159" s="530"/>
      <c r="X159" s="530"/>
      <c r="Y159" s="530"/>
      <c r="Z159" s="530"/>
      <c r="AA159" s="530"/>
      <c r="AB159" s="530"/>
      <c r="AC159" s="530"/>
      <c r="AD159" s="530"/>
      <c r="AE159" s="495"/>
      <c r="AF159" s="16"/>
    </row>
    <row r="160" spans="1:32" s="15" customFormat="1" ht="24" customHeight="1">
      <c r="A160" s="46"/>
      <c r="B160" s="46"/>
      <c r="C160" s="36" t="s">
        <v>407</v>
      </c>
      <c r="D160" s="161">
        <v>900</v>
      </c>
      <c r="E160" s="114">
        <f>SUM(F160:L160)</f>
        <v>900</v>
      </c>
      <c r="F160" s="109">
        <v>0</v>
      </c>
      <c r="G160" s="109">
        <v>0</v>
      </c>
      <c r="H160" s="109">
        <v>0</v>
      </c>
      <c r="I160" s="109">
        <v>0</v>
      </c>
      <c r="J160" s="109">
        <f>SUM(AD161:AD165)/1000</f>
        <v>900</v>
      </c>
      <c r="K160" s="109">
        <v>0</v>
      </c>
      <c r="L160" s="109">
        <v>0</v>
      </c>
      <c r="M160" s="109">
        <f>E160-D160</f>
        <v>0</v>
      </c>
      <c r="N160" s="70">
        <f>IF(D160=0,0,M160/D160)</f>
        <v>0</v>
      </c>
      <c r="O160" s="375"/>
      <c r="P160" s="392"/>
      <c r="Q160" s="392"/>
      <c r="R160" s="541"/>
      <c r="S160" s="541"/>
      <c r="T160" s="541"/>
      <c r="U160" s="541"/>
      <c r="V160" s="541"/>
      <c r="W160" s="542" t="s">
        <v>135</v>
      </c>
      <c r="X160" s="542"/>
      <c r="Y160" s="542"/>
      <c r="Z160" s="542"/>
      <c r="AA160" s="542"/>
      <c r="AB160" s="542"/>
      <c r="AC160" s="543"/>
      <c r="AD160" s="543">
        <f>SUM(AD161:AD165)</f>
        <v>900000</v>
      </c>
      <c r="AE160" s="544" t="s">
        <v>25</v>
      </c>
      <c r="AF160" s="16"/>
    </row>
    <row r="161" spans="1:33" s="15" customFormat="1" ht="24" customHeight="1">
      <c r="A161" s="46"/>
      <c r="B161" s="46"/>
      <c r="C161" s="46" t="s">
        <v>326</v>
      </c>
      <c r="D161" s="162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580" t="s">
        <v>408</v>
      </c>
      <c r="P161" s="533"/>
      <c r="Q161" s="533"/>
      <c r="R161" s="533"/>
      <c r="S161" s="579">
        <v>150000</v>
      </c>
      <c r="T161" s="384" t="s">
        <v>57</v>
      </c>
      <c r="U161" s="384" t="s">
        <v>26</v>
      </c>
      <c r="V161" s="579">
        <v>2</v>
      </c>
      <c r="W161" s="580" t="s">
        <v>70</v>
      </c>
      <c r="X161" s="579"/>
      <c r="Y161" s="501"/>
      <c r="Z161" s="501" t="s">
        <v>53</v>
      </c>
      <c r="AA161" s="501"/>
      <c r="AB161" s="501" t="s">
        <v>278</v>
      </c>
      <c r="AC161" s="501"/>
      <c r="AD161" s="502">
        <f>S161*V161</f>
        <v>300000</v>
      </c>
      <c r="AE161" s="503" t="s">
        <v>57</v>
      </c>
      <c r="AF161" s="16"/>
    </row>
    <row r="162" spans="1:33" s="15" customFormat="1" ht="24" customHeight="1">
      <c r="A162" s="46"/>
      <c r="B162" s="46"/>
      <c r="C162" s="46"/>
      <c r="D162" s="162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580" t="s">
        <v>409</v>
      </c>
      <c r="P162" s="496"/>
      <c r="Q162" s="496"/>
      <c r="R162" s="492"/>
      <c r="S162" s="534">
        <v>100000</v>
      </c>
      <c r="T162" s="384" t="s">
        <v>57</v>
      </c>
      <c r="U162" s="384" t="s">
        <v>26</v>
      </c>
      <c r="V162" s="534">
        <v>2</v>
      </c>
      <c r="W162" s="535" t="s">
        <v>329</v>
      </c>
      <c r="X162" s="534"/>
      <c r="Y162" s="501"/>
      <c r="Z162" s="501" t="s">
        <v>53</v>
      </c>
      <c r="AA162" s="501"/>
      <c r="AB162" s="501" t="s">
        <v>278</v>
      </c>
      <c r="AC162" s="501"/>
      <c r="AD162" s="502">
        <f>S162*V162</f>
        <v>200000</v>
      </c>
      <c r="AE162" s="503" t="s">
        <v>57</v>
      </c>
      <c r="AF162" s="16"/>
    </row>
    <row r="163" spans="1:33" s="15" customFormat="1" ht="24" customHeight="1">
      <c r="A163" s="46"/>
      <c r="B163" s="46"/>
      <c r="C163" s="46"/>
      <c r="D163" s="162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80" t="s">
        <v>410</v>
      </c>
      <c r="P163" s="496"/>
      <c r="Q163" s="496"/>
      <c r="R163" s="492"/>
      <c r="S163" s="579">
        <v>100000</v>
      </c>
      <c r="T163" s="384" t="s">
        <v>57</v>
      </c>
      <c r="U163" s="384" t="s">
        <v>26</v>
      </c>
      <c r="V163" s="579">
        <v>2</v>
      </c>
      <c r="W163" s="580" t="s">
        <v>70</v>
      </c>
      <c r="X163" s="579"/>
      <c r="Y163" s="501"/>
      <c r="Z163" s="501" t="s">
        <v>53</v>
      </c>
      <c r="AA163" s="501"/>
      <c r="AB163" s="501" t="s">
        <v>278</v>
      </c>
      <c r="AC163" s="501"/>
      <c r="AD163" s="502">
        <f>S163*V163</f>
        <v>200000</v>
      </c>
      <c r="AE163" s="503" t="s">
        <v>57</v>
      </c>
      <c r="AF163" s="16"/>
    </row>
    <row r="164" spans="1:33" s="15" customFormat="1" ht="24" customHeight="1">
      <c r="A164" s="46"/>
      <c r="B164" s="46"/>
      <c r="C164" s="46"/>
      <c r="D164" s="162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80" t="s">
        <v>411</v>
      </c>
      <c r="P164" s="496"/>
      <c r="Q164" s="496"/>
      <c r="R164" s="492"/>
      <c r="S164" s="579">
        <v>100000</v>
      </c>
      <c r="T164" s="384" t="s">
        <v>57</v>
      </c>
      <c r="U164" s="384" t="s">
        <v>26</v>
      </c>
      <c r="V164" s="579">
        <v>2</v>
      </c>
      <c r="W164" s="580" t="s">
        <v>70</v>
      </c>
      <c r="X164" s="579"/>
      <c r="Y164" s="501"/>
      <c r="Z164" s="501" t="s">
        <v>53</v>
      </c>
      <c r="AA164" s="501"/>
      <c r="AB164" s="501" t="s">
        <v>278</v>
      </c>
      <c r="AC164" s="501"/>
      <c r="AD164" s="502">
        <f>S164*V164</f>
        <v>200000</v>
      </c>
      <c r="AE164" s="503" t="s">
        <v>57</v>
      </c>
      <c r="AF164" s="16"/>
    </row>
    <row r="165" spans="1:33" s="15" customFormat="1" ht="24" customHeight="1">
      <c r="A165" s="46"/>
      <c r="B165" s="46"/>
      <c r="C165" s="46"/>
      <c r="D165" s="162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80" t="s">
        <v>412</v>
      </c>
      <c r="P165" s="496"/>
      <c r="Q165" s="496"/>
      <c r="R165" s="492"/>
      <c r="S165" s="579">
        <v>30000</v>
      </c>
      <c r="T165" s="384" t="s">
        <v>57</v>
      </c>
      <c r="U165" s="384" t="s">
        <v>26</v>
      </c>
      <c r="V165" s="579">
        <v>0</v>
      </c>
      <c r="W165" s="580" t="s">
        <v>402</v>
      </c>
      <c r="X165" s="579"/>
      <c r="Y165" s="501"/>
      <c r="Z165" s="501" t="s">
        <v>53</v>
      </c>
      <c r="AA165" s="501"/>
      <c r="AB165" s="501" t="s">
        <v>278</v>
      </c>
      <c r="AC165" s="501"/>
      <c r="AD165" s="502">
        <f>S165*V165</f>
        <v>0</v>
      </c>
      <c r="AE165" s="503" t="s">
        <v>57</v>
      </c>
      <c r="AF165" s="16"/>
    </row>
    <row r="166" spans="1:33" s="15" customFormat="1" ht="24" customHeight="1">
      <c r="A166" s="46"/>
      <c r="B166" s="46"/>
      <c r="C166" s="59"/>
      <c r="D166" s="163"/>
      <c r="E166" s="111"/>
      <c r="F166" s="111"/>
      <c r="G166" s="111"/>
      <c r="H166" s="111"/>
      <c r="I166" s="111"/>
      <c r="J166" s="111"/>
      <c r="K166" s="111"/>
      <c r="L166" s="111"/>
      <c r="M166" s="111"/>
      <c r="N166" s="84"/>
      <c r="O166" s="531"/>
      <c r="P166" s="531"/>
      <c r="Q166" s="531"/>
      <c r="R166" s="531"/>
      <c r="S166" s="531"/>
      <c r="T166" s="530"/>
      <c r="U166" s="530"/>
      <c r="V166" s="530"/>
      <c r="W166" s="530"/>
      <c r="X166" s="530"/>
      <c r="Y166" s="530"/>
      <c r="Z166" s="530"/>
      <c r="AA166" s="530"/>
      <c r="AB166" s="530"/>
      <c r="AC166" s="504"/>
      <c r="AD166" s="504"/>
      <c r="AE166" s="495"/>
      <c r="AF166" s="16"/>
      <c r="AG166" s="16"/>
    </row>
    <row r="167" spans="1:33" s="15" customFormat="1" ht="24" customHeight="1">
      <c r="A167" s="46"/>
      <c r="B167" s="46"/>
      <c r="C167" s="36" t="s">
        <v>413</v>
      </c>
      <c r="D167" s="548">
        <v>240</v>
      </c>
      <c r="E167" s="114">
        <f>SUM(F167:L167)</f>
        <v>240</v>
      </c>
      <c r="F167" s="113">
        <v>0</v>
      </c>
      <c r="G167" s="113">
        <v>0</v>
      </c>
      <c r="H167" s="113">
        <v>0</v>
      </c>
      <c r="I167" s="113">
        <v>0</v>
      </c>
      <c r="J167" s="113">
        <f>SUM(AD168:AD168)/1000</f>
        <v>240</v>
      </c>
      <c r="K167" s="113">
        <v>0</v>
      </c>
      <c r="L167" s="113">
        <v>0</v>
      </c>
      <c r="M167" s="113">
        <f>E167-D167</f>
        <v>0</v>
      </c>
      <c r="N167" s="121">
        <f>IF(D167=0,0,M167/D167)</f>
        <v>0</v>
      </c>
      <c r="O167" s="375"/>
      <c r="P167" s="392"/>
      <c r="Q167" s="392"/>
      <c r="R167" s="541"/>
      <c r="S167" s="541"/>
      <c r="T167" s="541"/>
      <c r="U167" s="541"/>
      <c r="V167" s="541"/>
      <c r="W167" s="542" t="s">
        <v>135</v>
      </c>
      <c r="X167" s="542"/>
      <c r="Y167" s="542"/>
      <c r="Z167" s="542"/>
      <c r="AA167" s="542"/>
      <c r="AB167" s="542"/>
      <c r="AC167" s="543"/>
      <c r="AD167" s="543">
        <f>SUM(AD168:AD168)</f>
        <v>240000</v>
      </c>
      <c r="AE167" s="544" t="s">
        <v>25</v>
      </c>
      <c r="AF167" s="16"/>
      <c r="AG167" s="16"/>
    </row>
    <row r="168" spans="1:33" s="15" customFormat="1" ht="24" customHeight="1">
      <c r="A168" s="46"/>
      <c r="B168" s="46"/>
      <c r="C168" s="46" t="s">
        <v>400</v>
      </c>
      <c r="D168" s="162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580" t="s">
        <v>414</v>
      </c>
      <c r="P168" s="496"/>
      <c r="Q168" s="496"/>
      <c r="R168" s="492"/>
      <c r="S168" s="579">
        <v>10000</v>
      </c>
      <c r="T168" s="579" t="s">
        <v>57</v>
      </c>
      <c r="U168" s="580" t="s">
        <v>58</v>
      </c>
      <c r="V168" s="579">
        <v>4</v>
      </c>
      <c r="W168" s="579" t="s">
        <v>56</v>
      </c>
      <c r="X168" s="580" t="s">
        <v>58</v>
      </c>
      <c r="Y168" s="385">
        <v>6</v>
      </c>
      <c r="Z168" s="378" t="s">
        <v>70</v>
      </c>
      <c r="AA168" s="378" t="s">
        <v>53</v>
      </c>
      <c r="AB168" s="579" t="s">
        <v>278</v>
      </c>
      <c r="AC168" s="136"/>
      <c r="AD168" s="579">
        <f>S168*V168*Y168</f>
        <v>240000</v>
      </c>
      <c r="AE168" s="137" t="s">
        <v>57</v>
      </c>
      <c r="AF168" s="16"/>
      <c r="AG168" s="16"/>
    </row>
    <row r="169" spans="1:33" s="15" customFormat="1" ht="24" customHeight="1">
      <c r="A169" s="46"/>
      <c r="B169" s="46"/>
      <c r="C169" s="59"/>
      <c r="D169" s="160"/>
      <c r="E169" s="111"/>
      <c r="F169" s="111"/>
      <c r="G169" s="111"/>
      <c r="H169" s="111"/>
      <c r="I169" s="111"/>
      <c r="J169" s="111"/>
      <c r="K169" s="111"/>
      <c r="L169" s="111"/>
      <c r="M169" s="111"/>
      <c r="N169" s="84"/>
      <c r="O169" s="531"/>
      <c r="P169" s="531"/>
      <c r="Q169" s="531"/>
      <c r="R169" s="531"/>
      <c r="S169" s="531"/>
      <c r="T169" s="530"/>
      <c r="U169" s="530"/>
      <c r="V169" s="530"/>
      <c r="W169" s="530"/>
      <c r="X169" s="530"/>
      <c r="Y169" s="530"/>
      <c r="Z169" s="530"/>
      <c r="AA169" s="530"/>
      <c r="AB169" s="530"/>
      <c r="AC169" s="504"/>
      <c r="AD169" s="545"/>
      <c r="AE169" s="495"/>
      <c r="AF169" s="16"/>
    </row>
    <row r="170" spans="1:33" s="15" customFormat="1" ht="24" customHeight="1">
      <c r="A170" s="46"/>
      <c r="B170" s="46"/>
      <c r="C170" s="36" t="s">
        <v>419</v>
      </c>
      <c r="D170" s="161">
        <v>2100</v>
      </c>
      <c r="E170" s="114">
        <f>SUM(F170:L170)</f>
        <v>2100</v>
      </c>
      <c r="F170" s="113">
        <v>0</v>
      </c>
      <c r="G170" s="113">
        <v>0</v>
      </c>
      <c r="H170" s="113">
        <v>0</v>
      </c>
      <c r="I170" s="113">
        <v>0</v>
      </c>
      <c r="J170" s="113">
        <f>SUM(AD171:AD174)/1000</f>
        <v>2100</v>
      </c>
      <c r="K170" s="113">
        <v>0</v>
      </c>
      <c r="L170" s="113">
        <v>0</v>
      </c>
      <c r="M170" s="113">
        <f>E170-D170</f>
        <v>0</v>
      </c>
      <c r="N170" s="121">
        <f>IF(D170=0,0,M170/D170)</f>
        <v>0</v>
      </c>
      <c r="O170" s="375"/>
      <c r="P170" s="392"/>
      <c r="Q170" s="392"/>
      <c r="R170" s="541"/>
      <c r="S170" s="541"/>
      <c r="T170" s="541"/>
      <c r="U170" s="541"/>
      <c r="V170" s="541"/>
      <c r="W170" s="542" t="s">
        <v>135</v>
      </c>
      <c r="X170" s="542"/>
      <c r="Y170" s="542"/>
      <c r="Z170" s="542"/>
      <c r="AA170" s="542"/>
      <c r="AB170" s="542"/>
      <c r="AC170" s="543"/>
      <c r="AD170" s="543">
        <f>SUM(AD171:AD174)</f>
        <v>2100000</v>
      </c>
      <c r="AE170" s="544" t="s">
        <v>25</v>
      </c>
      <c r="AF170" s="16"/>
    </row>
    <row r="171" spans="1:33" s="15" customFormat="1" ht="24" customHeight="1">
      <c r="A171" s="46"/>
      <c r="B171" s="46"/>
      <c r="C171" s="46" t="s">
        <v>420</v>
      </c>
      <c r="D171" s="159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00" t="s">
        <v>415</v>
      </c>
      <c r="P171" s="500"/>
      <c r="Q171" s="500"/>
      <c r="R171" s="500"/>
      <c r="S171" s="579">
        <v>50000</v>
      </c>
      <c r="T171" s="384" t="s">
        <v>57</v>
      </c>
      <c r="U171" s="384" t="s">
        <v>26</v>
      </c>
      <c r="V171" s="579">
        <v>4</v>
      </c>
      <c r="W171" s="580" t="s">
        <v>402</v>
      </c>
      <c r="X171" s="579"/>
      <c r="Y171" s="501"/>
      <c r="Z171" s="501" t="s">
        <v>53</v>
      </c>
      <c r="AA171" s="501"/>
      <c r="AB171" s="501" t="s">
        <v>278</v>
      </c>
      <c r="AC171" s="501"/>
      <c r="AD171" s="502">
        <f t="shared" ref="AD171:AD174" si="19">S171*V171</f>
        <v>200000</v>
      </c>
      <c r="AE171" s="503" t="s">
        <v>57</v>
      </c>
      <c r="AF171" s="16"/>
    </row>
    <row r="172" spans="1:33" s="15" customFormat="1" ht="24" customHeight="1">
      <c r="A172" s="46"/>
      <c r="B172" s="46"/>
      <c r="C172" s="46"/>
      <c r="D172" s="159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00" t="s">
        <v>416</v>
      </c>
      <c r="P172" s="500"/>
      <c r="Q172" s="500"/>
      <c r="R172" s="500"/>
      <c r="S172" s="579">
        <v>200000</v>
      </c>
      <c r="T172" s="384" t="s">
        <v>57</v>
      </c>
      <c r="U172" s="384" t="s">
        <v>26</v>
      </c>
      <c r="V172" s="579">
        <v>5</v>
      </c>
      <c r="W172" s="580" t="s">
        <v>402</v>
      </c>
      <c r="X172" s="579"/>
      <c r="Y172" s="501"/>
      <c r="Z172" s="501" t="s">
        <v>53</v>
      </c>
      <c r="AA172" s="501"/>
      <c r="AB172" s="501" t="s">
        <v>278</v>
      </c>
      <c r="AC172" s="501"/>
      <c r="AD172" s="502">
        <f t="shared" si="19"/>
        <v>1000000</v>
      </c>
      <c r="AE172" s="503" t="s">
        <v>57</v>
      </c>
      <c r="AF172" s="16"/>
    </row>
    <row r="173" spans="1:33" s="15" customFormat="1" ht="24" customHeight="1">
      <c r="A173" s="46"/>
      <c r="B173" s="46"/>
      <c r="C173" s="46"/>
      <c r="D173" s="159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00" t="s">
        <v>417</v>
      </c>
      <c r="P173" s="500"/>
      <c r="Q173" s="500"/>
      <c r="R173" s="500"/>
      <c r="S173" s="579">
        <v>150000</v>
      </c>
      <c r="T173" s="384" t="s">
        <v>57</v>
      </c>
      <c r="U173" s="384" t="s">
        <v>26</v>
      </c>
      <c r="V173" s="579">
        <v>4</v>
      </c>
      <c r="W173" s="580" t="s">
        <v>402</v>
      </c>
      <c r="X173" s="579"/>
      <c r="Y173" s="501"/>
      <c r="Z173" s="501" t="s">
        <v>53</v>
      </c>
      <c r="AA173" s="501"/>
      <c r="AB173" s="501" t="s">
        <v>278</v>
      </c>
      <c r="AC173" s="501"/>
      <c r="AD173" s="502">
        <f t="shared" si="19"/>
        <v>600000</v>
      </c>
      <c r="AE173" s="503" t="s">
        <v>57</v>
      </c>
      <c r="AF173" s="16"/>
    </row>
    <row r="174" spans="1:33" s="15" customFormat="1" ht="24" customHeight="1">
      <c r="A174" s="46"/>
      <c r="B174" s="46"/>
      <c r="C174" s="46"/>
      <c r="D174" s="159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500" t="s">
        <v>418</v>
      </c>
      <c r="P174" s="500"/>
      <c r="Q174" s="500"/>
      <c r="R174" s="500"/>
      <c r="S174" s="579">
        <v>75000</v>
      </c>
      <c r="T174" s="384" t="s">
        <v>57</v>
      </c>
      <c r="U174" s="384" t="s">
        <v>26</v>
      </c>
      <c r="V174" s="579">
        <v>4</v>
      </c>
      <c r="W174" s="580" t="s">
        <v>402</v>
      </c>
      <c r="X174" s="579"/>
      <c r="Y174" s="501"/>
      <c r="Z174" s="501" t="s">
        <v>53</v>
      </c>
      <c r="AA174" s="501"/>
      <c r="AB174" s="501" t="s">
        <v>278</v>
      </c>
      <c r="AC174" s="501"/>
      <c r="AD174" s="502">
        <f t="shared" si="19"/>
        <v>300000</v>
      </c>
      <c r="AE174" s="503" t="s">
        <v>57</v>
      </c>
      <c r="AF174" s="16"/>
    </row>
    <row r="175" spans="1:33" s="15" customFormat="1" ht="24" customHeight="1">
      <c r="A175" s="46"/>
      <c r="B175" s="46"/>
      <c r="C175" s="59"/>
      <c r="D175" s="160"/>
      <c r="E175" s="111"/>
      <c r="F175" s="111"/>
      <c r="G175" s="111"/>
      <c r="H175" s="111"/>
      <c r="I175" s="111"/>
      <c r="J175" s="111"/>
      <c r="K175" s="111"/>
      <c r="L175" s="111"/>
      <c r="M175" s="111"/>
      <c r="N175" s="84"/>
      <c r="O175" s="538"/>
      <c r="P175" s="538"/>
      <c r="Q175" s="538"/>
      <c r="R175" s="538"/>
      <c r="S175" s="530"/>
      <c r="T175" s="494"/>
      <c r="U175" s="494"/>
      <c r="V175" s="530"/>
      <c r="W175" s="531"/>
      <c r="X175" s="530"/>
      <c r="Y175" s="538"/>
      <c r="Z175" s="538"/>
      <c r="AA175" s="538"/>
      <c r="AB175" s="538"/>
      <c r="AC175" s="538"/>
      <c r="AD175" s="539"/>
      <c r="AE175" s="540"/>
      <c r="AF175" s="16"/>
    </row>
    <row r="176" spans="1:33" s="15" customFormat="1" ht="24" customHeight="1">
      <c r="A176" s="46"/>
      <c r="B176" s="46"/>
      <c r="C176" s="36" t="s">
        <v>421</v>
      </c>
      <c r="D176" s="161">
        <v>400</v>
      </c>
      <c r="E176" s="114">
        <f>SUM(F176:L176)</f>
        <v>400</v>
      </c>
      <c r="F176" s="113">
        <v>0</v>
      </c>
      <c r="G176" s="113">
        <v>0</v>
      </c>
      <c r="H176" s="113">
        <v>0</v>
      </c>
      <c r="I176" s="113">
        <v>0</v>
      </c>
      <c r="J176" s="113">
        <f>SUM(AD177:AD178)/1000</f>
        <v>400</v>
      </c>
      <c r="K176" s="113">
        <v>0</v>
      </c>
      <c r="L176" s="113">
        <v>0</v>
      </c>
      <c r="M176" s="113">
        <f>E176-D176</f>
        <v>0</v>
      </c>
      <c r="N176" s="121">
        <f>IF(D176=0,0,M176/D176)</f>
        <v>0</v>
      </c>
      <c r="O176" s="375"/>
      <c r="P176" s="392"/>
      <c r="Q176" s="392"/>
      <c r="R176" s="541"/>
      <c r="S176" s="541"/>
      <c r="T176" s="541"/>
      <c r="U176" s="541"/>
      <c r="V176" s="541"/>
      <c r="W176" s="542" t="s">
        <v>135</v>
      </c>
      <c r="X176" s="542"/>
      <c r="Y176" s="542"/>
      <c r="Z176" s="542"/>
      <c r="AA176" s="542"/>
      <c r="AB176" s="542"/>
      <c r="AC176" s="543"/>
      <c r="AD176" s="543">
        <f>SUM(AD177:AD178)</f>
        <v>400000</v>
      </c>
      <c r="AE176" s="544" t="s">
        <v>25</v>
      </c>
      <c r="AF176" s="16"/>
    </row>
    <row r="177" spans="1:32" s="15" customFormat="1" ht="24" customHeight="1">
      <c r="A177" s="46"/>
      <c r="B177" s="46"/>
      <c r="C177" s="46" t="s">
        <v>400</v>
      </c>
      <c r="D177" s="159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580" t="s">
        <v>422</v>
      </c>
      <c r="P177" s="500"/>
      <c r="Q177" s="500"/>
      <c r="R177" s="500"/>
      <c r="S177" s="579">
        <v>0</v>
      </c>
      <c r="T177" s="384" t="s">
        <v>57</v>
      </c>
      <c r="U177" s="384" t="s">
        <v>26</v>
      </c>
      <c r="V177" s="579">
        <v>4</v>
      </c>
      <c r="W177" s="580" t="s">
        <v>402</v>
      </c>
      <c r="X177" s="579"/>
      <c r="Y177" s="501"/>
      <c r="Z177" s="501" t="s">
        <v>53</v>
      </c>
      <c r="AA177" s="501"/>
      <c r="AB177" s="501" t="s">
        <v>278</v>
      </c>
      <c r="AC177" s="501"/>
      <c r="AD177" s="502">
        <f t="shared" ref="AD177" si="20">S177*V177</f>
        <v>0</v>
      </c>
      <c r="AE177" s="503" t="s">
        <v>57</v>
      </c>
      <c r="AF177" s="16"/>
    </row>
    <row r="178" spans="1:32" s="15" customFormat="1" ht="24" customHeight="1">
      <c r="A178" s="46"/>
      <c r="B178" s="46"/>
      <c r="C178" s="46"/>
      <c r="D178" s="159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580" t="s">
        <v>423</v>
      </c>
      <c r="P178" s="546"/>
      <c r="Q178" s="546"/>
      <c r="R178" s="546"/>
      <c r="S178" s="579">
        <v>100000</v>
      </c>
      <c r="T178" s="384" t="s">
        <v>57</v>
      </c>
      <c r="U178" s="384" t="s">
        <v>26</v>
      </c>
      <c r="V178" s="579">
        <v>4</v>
      </c>
      <c r="W178" s="580" t="s">
        <v>402</v>
      </c>
      <c r="X178" s="580" t="s">
        <v>58</v>
      </c>
      <c r="Y178" s="385"/>
      <c r="Z178" s="599" t="s">
        <v>552</v>
      </c>
      <c r="AA178" s="378"/>
      <c r="AB178" s="501" t="s">
        <v>278</v>
      </c>
      <c r="AC178" s="501"/>
      <c r="AD178" s="579">
        <f>S178*V178</f>
        <v>400000</v>
      </c>
      <c r="AE178" s="503" t="s">
        <v>57</v>
      </c>
      <c r="AF178" s="16"/>
    </row>
    <row r="179" spans="1:32" s="15" customFormat="1" ht="24" customHeight="1">
      <c r="A179" s="46"/>
      <c r="B179" s="46"/>
      <c r="C179" s="59"/>
      <c r="D179" s="160"/>
      <c r="E179" s="111"/>
      <c r="F179" s="111"/>
      <c r="G179" s="111"/>
      <c r="H179" s="111"/>
      <c r="I179" s="111"/>
      <c r="J179" s="111"/>
      <c r="K179" s="111"/>
      <c r="L179" s="111"/>
      <c r="M179" s="111"/>
      <c r="N179" s="84"/>
      <c r="O179" s="531"/>
      <c r="P179" s="531"/>
      <c r="Q179" s="531"/>
      <c r="R179" s="531"/>
      <c r="S179" s="531"/>
      <c r="T179" s="530"/>
      <c r="U179" s="530"/>
      <c r="V179" s="530"/>
      <c r="W179" s="530"/>
      <c r="X179" s="530"/>
      <c r="Y179" s="530"/>
      <c r="Z179" s="530"/>
      <c r="AA179" s="530"/>
      <c r="AB179" s="530"/>
      <c r="AC179" s="504"/>
      <c r="AD179" s="545"/>
      <c r="AE179" s="495"/>
      <c r="AF179" s="16"/>
    </row>
    <row r="180" spans="1:32" s="15" customFormat="1" ht="24" customHeight="1">
      <c r="A180" s="46"/>
      <c r="B180" s="46"/>
      <c r="C180" s="36" t="s">
        <v>424</v>
      </c>
      <c r="D180" s="161">
        <v>560</v>
      </c>
      <c r="E180" s="114">
        <f>SUM(F180:L180)</f>
        <v>560</v>
      </c>
      <c r="F180" s="113">
        <v>0</v>
      </c>
      <c r="G180" s="113">
        <v>0</v>
      </c>
      <c r="H180" s="113">
        <v>0</v>
      </c>
      <c r="I180" s="113">
        <v>0</v>
      </c>
      <c r="J180" s="113">
        <f>SUM(AD181:AD184)/1000</f>
        <v>560</v>
      </c>
      <c r="K180" s="113">
        <v>0</v>
      </c>
      <c r="L180" s="113">
        <v>0</v>
      </c>
      <c r="M180" s="113">
        <f>E180-D180</f>
        <v>0</v>
      </c>
      <c r="N180" s="121">
        <f>IF(D180=0,0,M180/D180)</f>
        <v>0</v>
      </c>
      <c r="O180" s="396"/>
      <c r="P180" s="396"/>
      <c r="Q180" s="396"/>
      <c r="R180" s="396"/>
      <c r="S180" s="396"/>
      <c r="T180" s="380"/>
      <c r="U180" s="380"/>
      <c r="V180" s="380"/>
      <c r="W180" s="542" t="s">
        <v>135</v>
      </c>
      <c r="X180" s="542"/>
      <c r="Y180" s="542"/>
      <c r="Z180" s="542"/>
      <c r="AA180" s="542"/>
      <c r="AB180" s="542"/>
      <c r="AC180" s="543"/>
      <c r="AD180" s="543">
        <f>SUM(AD181:AD184)</f>
        <v>560000</v>
      </c>
      <c r="AE180" s="544" t="s">
        <v>25</v>
      </c>
      <c r="AF180" s="16"/>
    </row>
    <row r="181" spans="1:32" s="15" customFormat="1" ht="24" customHeight="1">
      <c r="A181" s="46"/>
      <c r="B181" s="46"/>
      <c r="C181" s="46" t="s">
        <v>326</v>
      </c>
      <c r="D181" s="159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580" t="s">
        <v>425</v>
      </c>
      <c r="P181" s="533"/>
      <c r="Q181" s="533"/>
      <c r="R181" s="533"/>
      <c r="S181" s="579">
        <v>10000</v>
      </c>
      <c r="T181" s="579" t="s">
        <v>57</v>
      </c>
      <c r="U181" s="580" t="s">
        <v>58</v>
      </c>
      <c r="V181" s="579">
        <v>4</v>
      </c>
      <c r="W181" s="579" t="s">
        <v>56</v>
      </c>
      <c r="X181" s="580" t="s">
        <v>58</v>
      </c>
      <c r="Y181" s="385">
        <v>4</v>
      </c>
      <c r="Z181" s="378" t="s">
        <v>70</v>
      </c>
      <c r="AA181" s="378" t="s">
        <v>53</v>
      </c>
      <c r="AB181" s="579" t="s">
        <v>278</v>
      </c>
      <c r="AC181" s="136"/>
      <c r="AD181" s="579">
        <f>S181*V181*Y181</f>
        <v>160000</v>
      </c>
      <c r="AE181" s="137" t="s">
        <v>57</v>
      </c>
      <c r="AF181" s="16"/>
    </row>
    <row r="182" spans="1:32" s="15" customFormat="1" ht="24" customHeight="1">
      <c r="A182" s="46"/>
      <c r="B182" s="46"/>
      <c r="C182" s="46"/>
      <c r="D182" s="159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00" t="s">
        <v>426</v>
      </c>
      <c r="P182" s="496"/>
      <c r="Q182" s="496"/>
      <c r="R182" s="492"/>
      <c r="S182" s="579">
        <v>10000</v>
      </c>
      <c r="T182" s="579" t="s">
        <v>57</v>
      </c>
      <c r="U182" s="580" t="s">
        <v>58</v>
      </c>
      <c r="V182" s="579">
        <v>4</v>
      </c>
      <c r="W182" s="579" t="s">
        <v>56</v>
      </c>
      <c r="X182" s="580" t="s">
        <v>58</v>
      </c>
      <c r="Y182" s="385">
        <v>5</v>
      </c>
      <c r="Z182" s="378" t="s">
        <v>70</v>
      </c>
      <c r="AA182" s="378" t="s">
        <v>53</v>
      </c>
      <c r="AB182" s="579" t="s">
        <v>278</v>
      </c>
      <c r="AC182" s="136"/>
      <c r="AD182" s="579">
        <f>S182*V182*Y182</f>
        <v>200000</v>
      </c>
      <c r="AE182" s="137" t="s">
        <v>57</v>
      </c>
      <c r="AF182" s="16"/>
    </row>
    <row r="183" spans="1:32" s="15" customFormat="1" ht="24" customHeight="1">
      <c r="A183" s="46"/>
      <c r="B183" s="46"/>
      <c r="C183" s="46"/>
      <c r="D183" s="159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500" t="s">
        <v>428</v>
      </c>
      <c r="P183" s="496"/>
      <c r="Q183" s="496"/>
      <c r="R183" s="492"/>
      <c r="S183" s="492"/>
      <c r="T183" s="492"/>
      <c r="U183" s="492"/>
      <c r="V183" s="492"/>
      <c r="W183" s="579"/>
      <c r="X183" s="579"/>
      <c r="Y183" s="579"/>
      <c r="Z183" s="579"/>
      <c r="AA183" s="579"/>
      <c r="AB183" s="579" t="s">
        <v>394</v>
      </c>
      <c r="AC183" s="136"/>
      <c r="AD183" s="136">
        <v>0</v>
      </c>
      <c r="AE183" s="137" t="s">
        <v>391</v>
      </c>
      <c r="AF183" s="16"/>
    </row>
    <row r="184" spans="1:32" s="15" customFormat="1" ht="24" customHeight="1">
      <c r="A184" s="46"/>
      <c r="B184" s="46"/>
      <c r="C184" s="46"/>
      <c r="D184" s="159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500" t="s">
        <v>427</v>
      </c>
      <c r="P184" s="500"/>
      <c r="Q184" s="500"/>
      <c r="R184" s="500"/>
      <c r="S184" s="579">
        <v>20000</v>
      </c>
      <c r="T184" s="579" t="s">
        <v>57</v>
      </c>
      <c r="U184" s="580" t="s">
        <v>58</v>
      </c>
      <c r="V184" s="579">
        <v>2</v>
      </c>
      <c r="W184" s="579" t="s">
        <v>56</v>
      </c>
      <c r="X184" s="580" t="s">
        <v>58</v>
      </c>
      <c r="Y184" s="385">
        <v>5</v>
      </c>
      <c r="Z184" s="378" t="s">
        <v>429</v>
      </c>
      <c r="AA184" s="378" t="s">
        <v>53</v>
      </c>
      <c r="AB184" s="579" t="s">
        <v>278</v>
      </c>
      <c r="AC184" s="136"/>
      <c r="AD184" s="579">
        <f>S184*V184*Y184</f>
        <v>200000</v>
      </c>
      <c r="AE184" s="137" t="s">
        <v>57</v>
      </c>
      <c r="AF184" s="16"/>
    </row>
    <row r="185" spans="1:32" s="15" customFormat="1" ht="24" customHeight="1">
      <c r="A185" s="46"/>
      <c r="B185" s="46"/>
      <c r="C185" s="59"/>
      <c r="D185" s="160"/>
      <c r="E185" s="111"/>
      <c r="F185" s="111"/>
      <c r="G185" s="111"/>
      <c r="H185" s="111"/>
      <c r="I185" s="111"/>
      <c r="J185" s="111"/>
      <c r="K185" s="111"/>
      <c r="L185" s="111"/>
      <c r="M185" s="111"/>
      <c r="N185" s="84"/>
      <c r="O185" s="538"/>
      <c r="P185" s="538"/>
      <c r="Q185" s="538"/>
      <c r="R185" s="538"/>
      <c r="S185" s="538"/>
      <c r="T185" s="538"/>
      <c r="U185" s="538"/>
      <c r="V185" s="538"/>
      <c r="W185" s="538"/>
      <c r="X185" s="538"/>
      <c r="Y185" s="538"/>
      <c r="Z185" s="538"/>
      <c r="AA185" s="538"/>
      <c r="AB185" s="538"/>
      <c r="AC185" s="538"/>
      <c r="AD185" s="539"/>
      <c r="AE185" s="540"/>
      <c r="AF185" s="16"/>
    </row>
    <row r="186" spans="1:32" s="15" customFormat="1" ht="24" customHeight="1">
      <c r="A186" s="46"/>
      <c r="B186" s="46"/>
      <c r="C186" s="36" t="s">
        <v>328</v>
      </c>
      <c r="D186" s="161">
        <v>100</v>
      </c>
      <c r="E186" s="114">
        <f>SUM(F186:L186)</f>
        <v>100</v>
      </c>
      <c r="F186" s="113">
        <v>0</v>
      </c>
      <c r="G186" s="113">
        <v>0</v>
      </c>
      <c r="H186" s="113">
        <v>0</v>
      </c>
      <c r="I186" s="113">
        <v>0</v>
      </c>
      <c r="J186" s="113">
        <f>SUM(AD187:AD188)/1000</f>
        <v>100</v>
      </c>
      <c r="K186" s="113">
        <v>0</v>
      </c>
      <c r="L186" s="113">
        <v>0</v>
      </c>
      <c r="M186" s="113">
        <f>E186-D186</f>
        <v>0</v>
      </c>
      <c r="N186" s="121">
        <f>IF(D186=0,0,M186/D186)</f>
        <v>0</v>
      </c>
      <c r="O186" s="375"/>
      <c r="P186" s="392"/>
      <c r="Q186" s="392"/>
      <c r="R186" s="541"/>
      <c r="S186" s="541"/>
      <c r="T186" s="541"/>
      <c r="U186" s="541"/>
      <c r="V186" s="541"/>
      <c r="W186" s="542" t="s">
        <v>135</v>
      </c>
      <c r="X186" s="542"/>
      <c r="Y186" s="542"/>
      <c r="Z186" s="542"/>
      <c r="AA186" s="542"/>
      <c r="AB186" s="542"/>
      <c r="AC186" s="543"/>
      <c r="AD186" s="543">
        <f>SUM(AD187:AD188)</f>
        <v>100000</v>
      </c>
      <c r="AE186" s="544" t="s">
        <v>25</v>
      </c>
      <c r="AF186" s="16"/>
    </row>
    <row r="187" spans="1:32" s="15" customFormat="1" ht="24" customHeight="1">
      <c r="A187" s="46"/>
      <c r="B187" s="46"/>
      <c r="C187" s="46" t="s">
        <v>327</v>
      </c>
      <c r="D187" s="159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580" t="s">
        <v>430</v>
      </c>
      <c r="P187" s="496"/>
      <c r="Q187" s="496"/>
      <c r="R187" s="492"/>
      <c r="S187" s="579">
        <v>100000</v>
      </c>
      <c r="T187" s="384" t="s">
        <v>57</v>
      </c>
      <c r="U187" s="384" t="s">
        <v>26</v>
      </c>
      <c r="V187" s="579">
        <v>1</v>
      </c>
      <c r="W187" s="580" t="s">
        <v>70</v>
      </c>
      <c r="X187" s="579"/>
      <c r="Y187" s="500"/>
      <c r="Z187" s="500" t="s">
        <v>53</v>
      </c>
      <c r="AA187" s="500"/>
      <c r="AB187" s="500" t="s">
        <v>278</v>
      </c>
      <c r="AC187" s="500"/>
      <c r="AD187" s="537">
        <f>S187*V187</f>
        <v>100000</v>
      </c>
      <c r="AE187" s="503" t="s">
        <v>57</v>
      </c>
      <c r="AF187" s="16"/>
    </row>
    <row r="188" spans="1:32" s="15" customFormat="1" ht="24" customHeight="1">
      <c r="A188" s="46"/>
      <c r="B188" s="46"/>
      <c r="C188" s="46" t="s">
        <v>326</v>
      </c>
      <c r="D188" s="159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580" t="s">
        <v>431</v>
      </c>
      <c r="P188" s="496"/>
      <c r="Q188" s="496"/>
      <c r="R188" s="492"/>
      <c r="S188" s="532">
        <v>0</v>
      </c>
      <c r="T188" s="384" t="s">
        <v>57</v>
      </c>
      <c r="U188" s="384" t="s">
        <v>26</v>
      </c>
      <c r="V188" s="532">
        <v>0</v>
      </c>
      <c r="W188" s="533" t="s">
        <v>70</v>
      </c>
      <c r="X188" s="532"/>
      <c r="Y188" s="500"/>
      <c r="Z188" s="500" t="s">
        <v>53</v>
      </c>
      <c r="AA188" s="500"/>
      <c r="AB188" s="500" t="s">
        <v>278</v>
      </c>
      <c r="AC188" s="500"/>
      <c r="AD188" s="537">
        <f>S188*V188</f>
        <v>0</v>
      </c>
      <c r="AE188" s="503" t="s">
        <v>57</v>
      </c>
      <c r="AF188" s="16"/>
    </row>
    <row r="189" spans="1:32" s="15" customFormat="1" ht="24" customHeight="1">
      <c r="A189" s="46"/>
      <c r="B189" s="46"/>
      <c r="C189" s="46"/>
      <c r="D189" s="159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580"/>
      <c r="P189" s="496"/>
      <c r="Q189" s="496"/>
      <c r="R189" s="492"/>
      <c r="S189" s="579"/>
      <c r="T189" s="384"/>
      <c r="U189" s="384"/>
      <c r="V189" s="579"/>
      <c r="W189" s="580"/>
      <c r="X189" s="579"/>
      <c r="Y189" s="500"/>
      <c r="Z189" s="500"/>
      <c r="AA189" s="500"/>
      <c r="AB189" s="500"/>
      <c r="AC189" s="500"/>
      <c r="AD189" s="537"/>
      <c r="AE189" s="503"/>
      <c r="AF189" s="16"/>
    </row>
    <row r="190" spans="1:32" s="15" customFormat="1" ht="24" customHeight="1">
      <c r="A190" s="46"/>
      <c r="B190" s="46"/>
      <c r="C190" s="36" t="s">
        <v>446</v>
      </c>
      <c r="D190" s="161">
        <v>600</v>
      </c>
      <c r="E190" s="114">
        <f>SUM(F190:L190)</f>
        <v>600</v>
      </c>
      <c r="F190" s="113">
        <v>0</v>
      </c>
      <c r="G190" s="113">
        <v>0</v>
      </c>
      <c r="H190" s="113">
        <v>0</v>
      </c>
      <c r="I190" s="113">
        <f>AD191/1000</f>
        <v>600</v>
      </c>
      <c r="J190" s="113">
        <v>0</v>
      </c>
      <c r="K190" s="113">
        <v>0</v>
      </c>
      <c r="L190" s="113">
        <v>0</v>
      </c>
      <c r="M190" s="113">
        <f>E190-D190</f>
        <v>0</v>
      </c>
      <c r="N190" s="121">
        <f>IF(D190=0,0,M190/D190)</f>
        <v>0</v>
      </c>
      <c r="O190" s="375"/>
      <c r="P190" s="392"/>
      <c r="Q190" s="392"/>
      <c r="R190" s="541"/>
      <c r="S190" s="541"/>
      <c r="T190" s="541"/>
      <c r="U190" s="541"/>
      <c r="V190" s="541"/>
      <c r="W190" s="542" t="s">
        <v>135</v>
      </c>
      <c r="X190" s="542"/>
      <c r="Y190" s="542"/>
      <c r="Z190" s="542"/>
      <c r="AA190" s="542"/>
      <c r="AB190" s="542"/>
      <c r="AC190" s="543"/>
      <c r="AD190" s="543">
        <f>SUM(AD191:AD191)</f>
        <v>600000</v>
      </c>
      <c r="AE190" s="544" t="s">
        <v>25</v>
      </c>
      <c r="AF190" s="16"/>
    </row>
    <row r="191" spans="1:32" s="15" customFormat="1" ht="24" customHeight="1">
      <c r="A191" s="46"/>
      <c r="B191" s="46"/>
      <c r="C191" s="46" t="s">
        <v>133</v>
      </c>
      <c r="D191" s="159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80" t="s">
        <v>447</v>
      </c>
      <c r="P191" s="496"/>
      <c r="Q191" s="496"/>
      <c r="R191" s="492"/>
      <c r="S191" s="579">
        <v>50000</v>
      </c>
      <c r="T191" s="384" t="s">
        <v>57</v>
      </c>
      <c r="U191" s="384" t="s">
        <v>26</v>
      </c>
      <c r="V191" s="579">
        <v>12</v>
      </c>
      <c r="W191" s="580" t="s">
        <v>448</v>
      </c>
      <c r="X191" s="579"/>
      <c r="Y191" s="500"/>
      <c r="Z191" s="500" t="s">
        <v>53</v>
      </c>
      <c r="AA191" s="500"/>
      <c r="AB191" s="500" t="s">
        <v>449</v>
      </c>
      <c r="AC191" s="500"/>
      <c r="AD191" s="537">
        <f>S191*V191</f>
        <v>600000</v>
      </c>
      <c r="AE191" s="503" t="s">
        <v>57</v>
      </c>
      <c r="AF191" s="16"/>
    </row>
    <row r="192" spans="1:32" s="15" customFormat="1" ht="24" customHeight="1">
      <c r="A192" s="46"/>
      <c r="B192" s="46"/>
      <c r="C192" s="59"/>
      <c r="D192" s="160"/>
      <c r="E192" s="111"/>
      <c r="F192" s="111"/>
      <c r="G192" s="111"/>
      <c r="H192" s="111"/>
      <c r="I192" s="111"/>
      <c r="J192" s="111"/>
      <c r="K192" s="111"/>
      <c r="L192" s="111"/>
      <c r="M192" s="111"/>
      <c r="N192" s="84"/>
      <c r="O192" s="531"/>
      <c r="P192" s="379"/>
      <c r="Q192" s="379"/>
      <c r="R192" s="547"/>
      <c r="S192" s="547"/>
      <c r="T192" s="547"/>
      <c r="U192" s="547"/>
      <c r="V192" s="547"/>
      <c r="W192" s="530"/>
      <c r="X192" s="530"/>
      <c r="Y192" s="530"/>
      <c r="Z192" s="530"/>
      <c r="AA192" s="530"/>
      <c r="AB192" s="530"/>
      <c r="AC192" s="504"/>
      <c r="AD192" s="504"/>
      <c r="AE192" s="495"/>
      <c r="AF192" s="16"/>
    </row>
    <row r="193" spans="1:32" s="11" customFormat="1" ht="21" customHeight="1">
      <c r="A193" s="112" t="s">
        <v>153</v>
      </c>
      <c r="B193" s="673" t="s">
        <v>20</v>
      </c>
      <c r="C193" s="674"/>
      <c r="D193" s="174">
        <f>SUM(D194)</f>
        <v>5</v>
      </c>
      <c r="E193" s="174">
        <f>SUM(E194)</f>
        <v>5</v>
      </c>
      <c r="F193" s="174">
        <f t="shared" ref="F193:L193" si="21">SUM(F194)</f>
        <v>5</v>
      </c>
      <c r="G193" s="174">
        <f t="shared" si="21"/>
        <v>0</v>
      </c>
      <c r="H193" s="174">
        <f t="shared" si="21"/>
        <v>0</v>
      </c>
      <c r="I193" s="174">
        <f t="shared" si="21"/>
        <v>0</v>
      </c>
      <c r="J193" s="174">
        <f t="shared" si="21"/>
        <v>0</v>
      </c>
      <c r="K193" s="174">
        <f t="shared" si="21"/>
        <v>0</v>
      </c>
      <c r="L193" s="174">
        <f t="shared" si="21"/>
        <v>0</v>
      </c>
      <c r="M193" s="174">
        <f>E193-D193</f>
        <v>0</v>
      </c>
      <c r="N193" s="175">
        <f>IF(D193=0,0,M193/D193)</f>
        <v>0</v>
      </c>
      <c r="O193" s="97" t="s">
        <v>156</v>
      </c>
      <c r="P193" s="176"/>
      <c r="Q193" s="176"/>
      <c r="R193" s="176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>
        <f>SUM(AD194)</f>
        <v>5000</v>
      </c>
      <c r="AE193" s="178" t="s">
        <v>25</v>
      </c>
      <c r="AF193" s="1"/>
    </row>
    <row r="194" spans="1:32" s="11" customFormat="1" ht="21" customHeight="1">
      <c r="A194" s="194" t="s">
        <v>155</v>
      </c>
      <c r="B194" s="46" t="s">
        <v>153</v>
      </c>
      <c r="C194" s="46" t="s">
        <v>153</v>
      </c>
      <c r="D194" s="159">
        <v>5</v>
      </c>
      <c r="E194" s="114">
        <f>SUM(F194:L194)</f>
        <v>5</v>
      </c>
      <c r="F194" s="109">
        <f>ROUND(SUM(AD195:AD199)/1000,0)</f>
        <v>5</v>
      </c>
      <c r="G194" s="109">
        <v>0</v>
      </c>
      <c r="H194" s="109">
        <f>ROUND(SUM(AD200:AD200)/1000,0)</f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f>E194-D194</f>
        <v>0</v>
      </c>
      <c r="N194" s="70">
        <f>IF(D194=0,0,M194/D194)</f>
        <v>0</v>
      </c>
      <c r="O194" s="379" t="s">
        <v>271</v>
      </c>
      <c r="P194" s="32"/>
      <c r="Q194" s="32"/>
      <c r="R194" s="32"/>
      <c r="S194" s="32"/>
      <c r="T194" s="33"/>
      <c r="U194" s="33"/>
      <c r="V194" s="33"/>
      <c r="W194" s="33"/>
      <c r="X194" s="33"/>
      <c r="Y194" s="177" t="s">
        <v>141</v>
      </c>
      <c r="Z194" s="99"/>
      <c r="AA194" s="99"/>
      <c r="AB194" s="99"/>
      <c r="AC194" s="118"/>
      <c r="AD194" s="118">
        <f>ROUNDUP(SUM(AD195:AD200),-3)</f>
        <v>5000</v>
      </c>
      <c r="AE194" s="119" t="s">
        <v>25</v>
      </c>
      <c r="AF194" s="1"/>
    </row>
    <row r="195" spans="1:32" ht="21" customHeight="1">
      <c r="A195" s="45"/>
      <c r="B195" s="46" t="s">
        <v>154</v>
      </c>
      <c r="C195" s="46" t="s">
        <v>154</v>
      </c>
      <c r="D195" s="159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580" t="s">
        <v>432</v>
      </c>
      <c r="P195" s="471"/>
      <c r="Q195" s="471"/>
      <c r="R195" s="471"/>
      <c r="S195" s="470"/>
      <c r="T195" s="470"/>
      <c r="U195" s="470"/>
      <c r="V195" s="470"/>
      <c r="W195" s="470"/>
      <c r="X195" s="470"/>
      <c r="Y195" s="470"/>
      <c r="Z195" s="470"/>
      <c r="AA195" s="470"/>
      <c r="AB195" s="579" t="s">
        <v>439</v>
      </c>
      <c r="AC195" s="470"/>
      <c r="AD195" s="68">
        <v>0</v>
      </c>
      <c r="AE195" s="137" t="s">
        <v>25</v>
      </c>
    </row>
    <row r="196" spans="1:32" ht="21" customHeight="1">
      <c r="A196" s="45"/>
      <c r="B196" s="46"/>
      <c r="C196" s="46"/>
      <c r="D196" s="159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80" t="s">
        <v>433</v>
      </c>
      <c r="P196" s="471"/>
      <c r="Q196" s="471"/>
      <c r="R196" s="471"/>
      <c r="S196" s="470"/>
      <c r="T196" s="470"/>
      <c r="U196" s="470"/>
      <c r="V196" s="470"/>
      <c r="W196" s="470"/>
      <c r="X196" s="470"/>
      <c r="Y196" s="470"/>
      <c r="Z196" s="470"/>
      <c r="AA196" s="470"/>
      <c r="AB196" s="579" t="s">
        <v>439</v>
      </c>
      <c r="AC196" s="470"/>
      <c r="AD196" s="68">
        <v>5000</v>
      </c>
      <c r="AE196" s="137" t="s">
        <v>311</v>
      </c>
    </row>
    <row r="197" spans="1:32" ht="21" customHeight="1">
      <c r="A197" s="45"/>
      <c r="B197" s="46"/>
      <c r="C197" s="46"/>
      <c r="D197" s="159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80" t="s">
        <v>438</v>
      </c>
      <c r="P197" s="580"/>
      <c r="Q197" s="580"/>
      <c r="R197" s="580"/>
      <c r="S197" s="579"/>
      <c r="T197" s="579"/>
      <c r="U197" s="579"/>
      <c r="V197" s="579"/>
      <c r="W197" s="579"/>
      <c r="X197" s="579"/>
      <c r="Y197" s="579"/>
      <c r="Z197" s="579"/>
      <c r="AA197" s="579"/>
      <c r="AB197" s="579" t="s">
        <v>439</v>
      </c>
      <c r="AC197" s="579"/>
      <c r="AD197" s="68">
        <v>0</v>
      </c>
      <c r="AE197" s="137" t="s">
        <v>391</v>
      </c>
    </row>
    <row r="198" spans="1:32" ht="21" customHeight="1">
      <c r="A198" s="45"/>
      <c r="B198" s="46"/>
      <c r="C198" s="46"/>
      <c r="D198" s="159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580" t="s">
        <v>434</v>
      </c>
      <c r="P198" s="471"/>
      <c r="Q198" s="471"/>
      <c r="R198" s="471"/>
      <c r="S198" s="470"/>
      <c r="T198" s="470"/>
      <c r="U198" s="470"/>
      <c r="V198" s="470"/>
      <c r="W198" s="470"/>
      <c r="X198" s="470"/>
      <c r="Y198" s="470"/>
      <c r="Z198" s="470"/>
      <c r="AA198" s="470"/>
      <c r="AB198" s="579" t="s">
        <v>439</v>
      </c>
      <c r="AC198" s="470"/>
      <c r="AD198" s="68">
        <v>0</v>
      </c>
      <c r="AE198" s="137" t="s">
        <v>311</v>
      </c>
    </row>
    <row r="199" spans="1:32" ht="21" customHeight="1">
      <c r="A199" s="45"/>
      <c r="B199" s="46"/>
      <c r="C199" s="46"/>
      <c r="D199" s="159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80" t="s">
        <v>435</v>
      </c>
      <c r="P199" s="471"/>
      <c r="Q199" s="471"/>
      <c r="R199" s="471"/>
      <c r="S199" s="470"/>
      <c r="T199" s="470"/>
      <c r="U199" s="470"/>
      <c r="V199" s="470"/>
      <c r="W199" s="470"/>
      <c r="X199" s="470"/>
      <c r="Y199" s="470"/>
      <c r="Z199" s="470"/>
      <c r="AA199" s="470"/>
      <c r="AB199" s="579" t="s">
        <v>439</v>
      </c>
      <c r="AC199" s="470"/>
      <c r="AD199" s="68">
        <v>0</v>
      </c>
      <c r="AE199" s="137" t="s">
        <v>311</v>
      </c>
    </row>
    <row r="200" spans="1:32" ht="21" customHeight="1">
      <c r="A200" s="45"/>
      <c r="B200" s="46"/>
      <c r="C200" s="46"/>
      <c r="D200" s="159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80" t="s">
        <v>436</v>
      </c>
      <c r="P200" s="471"/>
      <c r="Q200" s="471"/>
      <c r="R200" s="471"/>
      <c r="S200" s="470"/>
      <c r="T200" s="470"/>
      <c r="U200" s="470"/>
      <c r="V200" s="470"/>
      <c r="W200" s="470"/>
      <c r="X200" s="470"/>
      <c r="Y200" s="470"/>
      <c r="Z200" s="470"/>
      <c r="AA200" s="470"/>
      <c r="AB200" s="579" t="s">
        <v>439</v>
      </c>
      <c r="AC200" s="470"/>
      <c r="AD200" s="68">
        <v>0</v>
      </c>
      <c r="AE200" s="137" t="s">
        <v>25</v>
      </c>
    </row>
    <row r="201" spans="1:32" ht="21" customHeight="1">
      <c r="A201" s="45"/>
      <c r="B201" s="46"/>
      <c r="C201" s="47"/>
      <c r="D201" s="159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80" t="s">
        <v>437</v>
      </c>
      <c r="P201" s="580"/>
      <c r="Q201" s="580"/>
      <c r="R201" s="580"/>
      <c r="S201" s="579"/>
      <c r="T201" s="579"/>
      <c r="U201" s="579"/>
      <c r="V201" s="579"/>
      <c r="W201" s="579"/>
      <c r="X201" s="579"/>
      <c r="Y201" s="579"/>
      <c r="Z201" s="579"/>
      <c r="AA201" s="579"/>
      <c r="AB201" s="579" t="s">
        <v>439</v>
      </c>
      <c r="AC201" s="579"/>
      <c r="AD201" s="68"/>
      <c r="AE201" s="137"/>
    </row>
    <row r="202" spans="1:32" s="14" customFormat="1" ht="21" customHeight="1">
      <c r="A202" s="45"/>
      <c r="B202" s="59"/>
      <c r="C202" s="47"/>
      <c r="D202" s="159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1"/>
      <c r="AE202" s="57"/>
      <c r="AF202" s="4"/>
    </row>
    <row r="203" spans="1:32" s="11" customFormat="1" ht="21" customHeight="1">
      <c r="A203" s="35" t="s">
        <v>96</v>
      </c>
      <c r="B203" s="673" t="s">
        <v>20</v>
      </c>
      <c r="C203" s="674"/>
      <c r="D203" s="174">
        <f>D204</f>
        <v>0</v>
      </c>
      <c r="E203" s="174">
        <f>E204</f>
        <v>0</v>
      </c>
      <c r="F203" s="174">
        <f t="shared" ref="F203:L203" si="22">F204</f>
        <v>0</v>
      </c>
      <c r="G203" s="174">
        <f t="shared" si="22"/>
        <v>0</v>
      </c>
      <c r="H203" s="174">
        <f t="shared" si="22"/>
        <v>0</v>
      </c>
      <c r="I203" s="174">
        <f t="shared" si="22"/>
        <v>0</v>
      </c>
      <c r="J203" s="174">
        <f t="shared" si="22"/>
        <v>0</v>
      </c>
      <c r="K203" s="174">
        <f t="shared" si="22"/>
        <v>0</v>
      </c>
      <c r="L203" s="174">
        <f t="shared" si="22"/>
        <v>0</v>
      </c>
      <c r="M203" s="174">
        <f>E203-D203</f>
        <v>0</v>
      </c>
      <c r="N203" s="175">
        <f>IF(D203=0,0,M203/D203)</f>
        <v>0</v>
      </c>
      <c r="O203" s="176" t="s">
        <v>96</v>
      </c>
      <c r="P203" s="176"/>
      <c r="Q203" s="176"/>
      <c r="R203" s="176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>
        <f>SUM(AD204)</f>
        <v>0</v>
      </c>
      <c r="AE203" s="178" t="s">
        <v>25</v>
      </c>
      <c r="AF203" s="1"/>
    </row>
    <row r="204" spans="1:32" s="11" customFormat="1" ht="21" customHeight="1">
      <c r="A204" s="45"/>
      <c r="B204" s="46" t="s">
        <v>96</v>
      </c>
      <c r="C204" s="46" t="s">
        <v>96</v>
      </c>
      <c r="D204" s="159">
        <v>0</v>
      </c>
      <c r="E204" s="114">
        <f>SUM(F204:L204)</f>
        <v>0</v>
      </c>
      <c r="F204" s="109">
        <v>0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09">
        <v>0</v>
      </c>
      <c r="M204" s="109">
        <f>E204-D204</f>
        <v>0</v>
      </c>
      <c r="N204" s="70">
        <f>IF(D204=0,0,M204/D204)</f>
        <v>0</v>
      </c>
      <c r="O204" s="116" t="s">
        <v>97</v>
      </c>
      <c r="P204" s="32"/>
      <c r="Q204" s="32"/>
      <c r="R204" s="32"/>
      <c r="S204" s="32"/>
      <c r="T204" s="33"/>
      <c r="U204" s="33"/>
      <c r="V204" s="33"/>
      <c r="W204" s="33"/>
      <c r="X204" s="33"/>
      <c r="Y204" s="177" t="s">
        <v>141</v>
      </c>
      <c r="Z204" s="99"/>
      <c r="AA204" s="99"/>
      <c r="AB204" s="99"/>
      <c r="AC204" s="118"/>
      <c r="AD204" s="118">
        <v>0</v>
      </c>
      <c r="AE204" s="119" t="s">
        <v>25</v>
      </c>
      <c r="AF204" s="1"/>
    </row>
    <row r="205" spans="1:32" s="1" customFormat="1" ht="21" customHeight="1" thickBot="1">
      <c r="A205" s="138"/>
      <c r="B205" s="46"/>
      <c r="C205" s="46"/>
      <c r="D205" s="159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141"/>
    </row>
    <row r="206" spans="1:32" s="11" customFormat="1" ht="21" customHeight="1">
      <c r="A206" s="35" t="s">
        <v>21</v>
      </c>
      <c r="B206" s="671" t="s">
        <v>20</v>
      </c>
      <c r="C206" s="672"/>
      <c r="D206" s="199">
        <f>SUM(D207)</f>
        <v>8</v>
      </c>
      <c r="E206" s="199">
        <f>SUM(E207)</f>
        <v>8</v>
      </c>
      <c r="F206" s="199">
        <f t="shared" ref="F206:L206" si="23">SUM(F207)</f>
        <v>0</v>
      </c>
      <c r="G206" s="199">
        <f t="shared" si="23"/>
        <v>0</v>
      </c>
      <c r="H206" s="199">
        <f t="shared" si="23"/>
        <v>0</v>
      </c>
      <c r="I206" s="199">
        <f t="shared" si="23"/>
        <v>2</v>
      </c>
      <c r="J206" s="199">
        <f t="shared" si="23"/>
        <v>4</v>
      </c>
      <c r="K206" s="199">
        <f t="shared" si="23"/>
        <v>1</v>
      </c>
      <c r="L206" s="199">
        <f t="shared" si="23"/>
        <v>1</v>
      </c>
      <c r="M206" s="199">
        <f>E206-D206</f>
        <v>0</v>
      </c>
      <c r="N206" s="200">
        <f>IF(D206=0,0,M206/D206)</f>
        <v>0</v>
      </c>
      <c r="O206" s="167" t="s">
        <v>21</v>
      </c>
      <c r="P206" s="168"/>
      <c r="Q206" s="168"/>
      <c r="R206" s="168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>
        <f>AD207</f>
        <v>8000</v>
      </c>
      <c r="AE206" s="170" t="s">
        <v>25</v>
      </c>
      <c r="AF206" s="1"/>
    </row>
    <row r="207" spans="1:32" s="11" customFormat="1" ht="21" customHeight="1">
      <c r="A207" s="45"/>
      <c r="B207" s="46" t="s">
        <v>21</v>
      </c>
      <c r="C207" s="46" t="s">
        <v>21</v>
      </c>
      <c r="D207" s="109">
        <v>8</v>
      </c>
      <c r="E207" s="114">
        <f>SUM(F207:L207)</f>
        <v>8</v>
      </c>
      <c r="F207" s="109">
        <v>0</v>
      </c>
      <c r="G207" s="109">
        <v>0</v>
      </c>
      <c r="H207" s="109">
        <v>0</v>
      </c>
      <c r="I207" s="109">
        <f>SUM(AD214:AD215)/1000</f>
        <v>2</v>
      </c>
      <c r="J207" s="109">
        <f>SUM(AD210:AD211)/1000</f>
        <v>4</v>
      </c>
      <c r="K207" s="109">
        <f>SUM(AD208:AD209)/1000</f>
        <v>1</v>
      </c>
      <c r="L207" s="109">
        <f>SUM(AD212:AD213)/1000</f>
        <v>1</v>
      </c>
      <c r="M207" s="109">
        <f>E207-D207</f>
        <v>0</v>
      </c>
      <c r="N207" s="70">
        <f>IF(D207=0,0,M207/D207)</f>
        <v>0</v>
      </c>
      <c r="O207" s="116" t="s">
        <v>52</v>
      </c>
      <c r="P207" s="32"/>
      <c r="Q207" s="32"/>
      <c r="R207" s="32"/>
      <c r="S207" s="32"/>
      <c r="T207" s="33"/>
      <c r="U207" s="33"/>
      <c r="V207" s="33"/>
      <c r="W207" s="33"/>
      <c r="X207" s="33"/>
      <c r="Y207" s="177" t="s">
        <v>141</v>
      </c>
      <c r="Z207" s="99"/>
      <c r="AA207" s="99"/>
      <c r="AB207" s="99"/>
      <c r="AC207" s="118"/>
      <c r="AD207" s="118">
        <f>SUM(AD208:AD215)</f>
        <v>8000</v>
      </c>
      <c r="AE207" s="119" t="s">
        <v>25</v>
      </c>
      <c r="AF207" s="1"/>
    </row>
    <row r="208" spans="1:32" s="11" customFormat="1" ht="21" customHeight="1">
      <c r="A208" s="45"/>
      <c r="B208" s="46"/>
      <c r="C208" s="46"/>
      <c r="D208" s="159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580" t="s">
        <v>537</v>
      </c>
      <c r="P208" s="580"/>
      <c r="Q208" s="580"/>
      <c r="R208" s="580"/>
      <c r="S208" s="580"/>
      <c r="T208" s="579"/>
      <c r="U208" s="579"/>
      <c r="V208" s="579"/>
      <c r="W208" s="579"/>
      <c r="X208" s="579"/>
      <c r="Y208" s="579"/>
      <c r="Z208" s="579"/>
      <c r="AA208" s="579"/>
      <c r="AB208" s="579"/>
      <c r="AC208" s="136"/>
      <c r="AD208" s="68">
        <v>1000</v>
      </c>
      <c r="AE208" s="137" t="s">
        <v>533</v>
      </c>
      <c r="AF208" s="2"/>
    </row>
    <row r="209" spans="1:32" s="11" customFormat="1" ht="21" customHeight="1">
      <c r="A209" s="45"/>
      <c r="B209" s="46"/>
      <c r="C209" s="46"/>
      <c r="D209" s="159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80" t="s">
        <v>538</v>
      </c>
      <c r="P209" s="580"/>
      <c r="Q209" s="580"/>
      <c r="R209" s="580"/>
      <c r="S209" s="580"/>
      <c r="T209" s="579"/>
      <c r="U209" s="579"/>
      <c r="V209" s="579"/>
      <c r="W209" s="579"/>
      <c r="X209" s="579"/>
      <c r="Y209" s="579"/>
      <c r="Z209" s="579"/>
      <c r="AA209" s="579"/>
      <c r="AB209" s="579"/>
      <c r="AC209" s="136"/>
      <c r="AD209" s="68">
        <v>0</v>
      </c>
      <c r="AE209" s="137" t="s">
        <v>533</v>
      </c>
      <c r="AF209" s="2"/>
    </row>
    <row r="210" spans="1:32" s="11" customFormat="1" ht="21" customHeight="1">
      <c r="A210" s="45"/>
      <c r="B210" s="46"/>
      <c r="C210" s="46"/>
      <c r="D210" s="159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80" t="s">
        <v>539</v>
      </c>
      <c r="P210" s="580"/>
      <c r="Q210" s="580"/>
      <c r="R210" s="580"/>
      <c r="S210" s="580"/>
      <c r="T210" s="579"/>
      <c r="U210" s="579"/>
      <c r="V210" s="579"/>
      <c r="W210" s="579"/>
      <c r="X210" s="579"/>
      <c r="Y210" s="579"/>
      <c r="Z210" s="579"/>
      <c r="AA210" s="579"/>
      <c r="AB210" s="579"/>
      <c r="AC210" s="136"/>
      <c r="AD210" s="68">
        <v>4000</v>
      </c>
      <c r="AE210" s="137" t="s">
        <v>533</v>
      </c>
      <c r="AF210" s="2"/>
    </row>
    <row r="211" spans="1:32" s="11" customFormat="1" ht="21" customHeight="1">
      <c r="A211" s="45"/>
      <c r="B211" s="46"/>
      <c r="C211" s="46"/>
      <c r="D211" s="159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580" t="s">
        <v>540</v>
      </c>
      <c r="P211" s="580"/>
      <c r="Q211" s="580"/>
      <c r="R211" s="580"/>
      <c r="S211" s="580"/>
      <c r="T211" s="579"/>
      <c r="U211" s="579"/>
      <c r="V211" s="579"/>
      <c r="W211" s="579"/>
      <c r="X211" s="579"/>
      <c r="Y211" s="579"/>
      <c r="Z211" s="579"/>
      <c r="AA211" s="579"/>
      <c r="AB211" s="579"/>
      <c r="AC211" s="136"/>
      <c r="AD211" s="68">
        <v>0</v>
      </c>
      <c r="AE211" s="137" t="s">
        <v>533</v>
      </c>
      <c r="AF211" s="2"/>
    </row>
    <row r="212" spans="1:32" s="11" customFormat="1" ht="21" customHeight="1">
      <c r="A212" s="45"/>
      <c r="B212" s="46"/>
      <c r="C212" s="46"/>
      <c r="D212" s="159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580" t="s">
        <v>541</v>
      </c>
      <c r="P212" s="580"/>
      <c r="Q212" s="580"/>
      <c r="R212" s="580"/>
      <c r="S212" s="580"/>
      <c r="T212" s="579"/>
      <c r="U212" s="579"/>
      <c r="V212" s="579"/>
      <c r="W212" s="579"/>
      <c r="X212" s="579"/>
      <c r="Y212" s="579"/>
      <c r="Z212" s="579"/>
      <c r="AA212" s="579"/>
      <c r="AB212" s="579"/>
      <c r="AC212" s="136"/>
      <c r="AD212" s="68">
        <v>1000</v>
      </c>
      <c r="AE212" s="137" t="s">
        <v>533</v>
      </c>
      <c r="AF212" s="2"/>
    </row>
    <row r="213" spans="1:32" s="11" customFormat="1" ht="21" customHeight="1">
      <c r="A213" s="45"/>
      <c r="B213" s="46"/>
      <c r="C213" s="46"/>
      <c r="D213" s="159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80" t="s">
        <v>542</v>
      </c>
      <c r="P213" s="580"/>
      <c r="Q213" s="580"/>
      <c r="R213" s="580"/>
      <c r="S213" s="580"/>
      <c r="T213" s="579"/>
      <c r="U213" s="579"/>
      <c r="V213" s="579"/>
      <c r="W213" s="579"/>
      <c r="X213" s="579"/>
      <c r="Y213" s="579"/>
      <c r="Z213" s="579"/>
      <c r="AA213" s="579"/>
      <c r="AB213" s="579"/>
      <c r="AC213" s="136"/>
      <c r="AD213" s="68">
        <v>0</v>
      </c>
      <c r="AE213" s="137" t="s">
        <v>533</v>
      </c>
      <c r="AF213" s="2"/>
    </row>
    <row r="214" spans="1:32" s="11" customFormat="1" ht="21" customHeight="1">
      <c r="A214" s="45"/>
      <c r="B214" s="46"/>
      <c r="C214" s="46"/>
      <c r="D214" s="159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80" t="s">
        <v>543</v>
      </c>
      <c r="P214" s="580"/>
      <c r="Q214" s="580"/>
      <c r="R214" s="580"/>
      <c r="S214" s="580"/>
      <c r="T214" s="579"/>
      <c r="U214" s="579"/>
      <c r="V214" s="579"/>
      <c r="W214" s="579"/>
      <c r="X214" s="579"/>
      <c r="Y214" s="579"/>
      <c r="Z214" s="579"/>
      <c r="AA214" s="579"/>
      <c r="AB214" s="579"/>
      <c r="AC214" s="136"/>
      <c r="AD214" s="68">
        <v>2000</v>
      </c>
      <c r="AE214" s="137" t="s">
        <v>533</v>
      </c>
      <c r="AF214" s="2"/>
    </row>
    <row r="215" spans="1:32" s="11" customFormat="1" ht="21" customHeight="1">
      <c r="A215" s="45"/>
      <c r="B215" s="46"/>
      <c r="C215" s="46"/>
      <c r="D215" s="159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580" t="s">
        <v>544</v>
      </c>
      <c r="P215" s="580"/>
      <c r="Q215" s="580"/>
      <c r="R215" s="580"/>
      <c r="S215" s="580"/>
      <c r="T215" s="579"/>
      <c r="U215" s="579"/>
      <c r="V215" s="579"/>
      <c r="W215" s="579"/>
      <c r="X215" s="579"/>
      <c r="Y215" s="579"/>
      <c r="Z215" s="579"/>
      <c r="AA215" s="579"/>
      <c r="AB215" s="579"/>
      <c r="AC215" s="136"/>
      <c r="AD215" s="68">
        <v>0</v>
      </c>
      <c r="AE215" s="137" t="s">
        <v>533</v>
      </c>
      <c r="AF215" s="2"/>
    </row>
    <row r="216" spans="1:32" s="1" customFormat="1" ht="21" customHeight="1" thickBot="1">
      <c r="A216" s="138"/>
      <c r="B216" s="102"/>
      <c r="C216" s="102"/>
      <c r="D216" s="164"/>
      <c r="E216" s="139"/>
      <c r="F216" s="139"/>
      <c r="G216" s="139"/>
      <c r="H216" s="139"/>
      <c r="I216" s="139"/>
      <c r="J216" s="139"/>
      <c r="K216" s="139"/>
      <c r="L216" s="139"/>
      <c r="M216" s="139"/>
      <c r="N216" s="140"/>
      <c r="O216" s="505"/>
      <c r="P216" s="505"/>
      <c r="Q216" s="505"/>
      <c r="R216" s="505"/>
      <c r="S216" s="506"/>
      <c r="T216" s="506"/>
      <c r="U216" s="506"/>
      <c r="V216" s="506"/>
      <c r="W216" s="506"/>
      <c r="X216" s="506"/>
      <c r="Y216" s="506"/>
      <c r="Z216" s="506"/>
      <c r="AA216" s="506"/>
      <c r="AB216" s="506"/>
      <c r="AC216" s="506"/>
      <c r="AD216" s="506"/>
      <c r="AE216" s="507"/>
    </row>
    <row r="218" spans="1:32" ht="21" customHeight="1">
      <c r="E218" s="381"/>
      <c r="F218" s="381"/>
    </row>
    <row r="219" spans="1:32" ht="21" customHeight="1">
      <c r="E219" s="381"/>
      <c r="F219" s="381"/>
    </row>
    <row r="220" spans="1:32" ht="21" customHeight="1">
      <c r="F220" s="381"/>
    </row>
    <row r="221" spans="1:32" ht="21" customHeight="1">
      <c r="E221" s="381"/>
      <c r="F221" s="381"/>
    </row>
    <row r="222" spans="1:32" ht="21" customHeight="1">
      <c r="E222" s="381"/>
      <c r="F222" s="381"/>
    </row>
    <row r="223" spans="1:32" ht="21" customHeight="1">
      <c r="E223" s="381"/>
      <c r="F223" s="381"/>
    </row>
  </sheetData>
  <mergeCells count="15">
    <mergeCell ref="B206:C206"/>
    <mergeCell ref="B203:C203"/>
    <mergeCell ref="B193:C193"/>
    <mergeCell ref="B124:C124"/>
    <mergeCell ref="B111:C111"/>
    <mergeCell ref="A1:E1"/>
    <mergeCell ref="O2:AE3"/>
    <mergeCell ref="V106:W106"/>
    <mergeCell ref="V79:W79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바르나바의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K24" sqref="K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1" t="s">
        <v>633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14" ht="34.5" customHeight="1">
      <c r="A2" s="682" t="s">
        <v>455</v>
      </c>
      <c r="B2" s="683"/>
      <c r="C2" s="684"/>
      <c r="D2" s="685" t="s">
        <v>456</v>
      </c>
      <c r="E2" s="684"/>
      <c r="F2" s="686" t="s">
        <v>457</v>
      </c>
      <c r="G2" s="688" t="s">
        <v>458</v>
      </c>
      <c r="H2" s="689"/>
      <c r="I2" s="689"/>
      <c r="J2" s="689"/>
      <c r="K2" s="692" t="s">
        <v>459</v>
      </c>
      <c r="L2" s="296"/>
      <c r="M2" s="296"/>
      <c r="N2" s="296"/>
    </row>
    <row r="3" spans="1:14" ht="35.25" customHeight="1" thickBot="1">
      <c r="A3" s="303" t="s">
        <v>460</v>
      </c>
      <c r="B3" s="304" t="s">
        <v>461</v>
      </c>
      <c r="C3" s="323" t="s">
        <v>462</v>
      </c>
      <c r="D3" s="444" t="s">
        <v>630</v>
      </c>
      <c r="E3" s="444" t="s">
        <v>631</v>
      </c>
      <c r="F3" s="687"/>
      <c r="G3" s="690"/>
      <c r="H3" s="691"/>
      <c r="I3" s="691"/>
      <c r="J3" s="691"/>
      <c r="K3" s="693"/>
      <c r="L3" s="296"/>
      <c r="M3" s="296"/>
      <c r="N3" s="296"/>
    </row>
    <row r="4" spans="1:14" ht="36.75" customHeight="1" thickBot="1">
      <c r="A4" s="678" t="s">
        <v>463</v>
      </c>
      <c r="B4" s="679"/>
      <c r="C4" s="680"/>
      <c r="D4" s="334">
        <f>SUM(D5:D24)</f>
        <v>71518000</v>
      </c>
      <c r="E4" s="335">
        <f>SUM(E5:E24)</f>
        <v>73585000</v>
      </c>
      <c r="F4" s="330">
        <f t="shared" ref="F4:F24" si="0">E4-D4</f>
        <v>2067000</v>
      </c>
      <c r="G4" s="581"/>
      <c r="H4" s="581"/>
      <c r="I4" s="581"/>
      <c r="J4" s="581"/>
      <c r="K4" s="343"/>
      <c r="L4" s="296"/>
      <c r="M4" s="296"/>
      <c r="N4" s="296"/>
    </row>
    <row r="5" spans="1:14" ht="46.5" customHeight="1" thickBot="1">
      <c r="A5" s="311" t="s">
        <v>464</v>
      </c>
      <c r="B5" s="312" t="s">
        <v>464</v>
      </c>
      <c r="C5" s="324" t="s">
        <v>464</v>
      </c>
      <c r="D5" s="336">
        <v>7200000</v>
      </c>
      <c r="E5" s="336">
        <v>7200000</v>
      </c>
      <c r="F5" s="316">
        <f t="shared" si="0"/>
        <v>0</v>
      </c>
      <c r="G5" s="313">
        <v>250000</v>
      </c>
      <c r="H5" s="314">
        <v>25</v>
      </c>
      <c r="I5" s="315">
        <v>12</v>
      </c>
      <c r="J5" s="342">
        <f>G5*H5*I5</f>
        <v>75000000</v>
      </c>
      <c r="K5" s="344"/>
    </row>
    <row r="6" spans="1:14" ht="27">
      <c r="A6" s="319" t="s">
        <v>465</v>
      </c>
      <c r="B6" s="351" t="s">
        <v>466</v>
      </c>
      <c r="C6" s="325" t="s">
        <v>467</v>
      </c>
      <c r="D6" s="337">
        <v>0</v>
      </c>
      <c r="E6" s="337">
        <v>0</v>
      </c>
      <c r="F6" s="452">
        <f t="shared" si="0"/>
        <v>0</v>
      </c>
      <c r="G6" s="320"/>
      <c r="H6" s="320"/>
      <c r="I6" s="320"/>
      <c r="J6" s="320"/>
      <c r="K6" s="345" t="s">
        <v>468</v>
      </c>
    </row>
    <row r="7" spans="1:14" ht="24.75" customHeight="1">
      <c r="A7" s="445"/>
      <c r="B7" s="446"/>
      <c r="C7" s="447" t="s">
        <v>469</v>
      </c>
      <c r="D7" s="341">
        <v>0</v>
      </c>
      <c r="E7" s="341">
        <v>0</v>
      </c>
      <c r="F7" s="333">
        <f t="shared" si="0"/>
        <v>0</v>
      </c>
      <c r="G7" s="305"/>
      <c r="H7" s="305"/>
      <c r="I7" s="305"/>
      <c r="J7" s="305"/>
      <c r="K7" s="519" t="s">
        <v>468</v>
      </c>
    </row>
    <row r="8" spans="1:14" ht="27">
      <c r="A8" s="306"/>
      <c r="B8" s="300" t="s">
        <v>470</v>
      </c>
      <c r="C8" s="326" t="s">
        <v>469</v>
      </c>
      <c r="D8" s="338">
        <v>54505000</v>
      </c>
      <c r="E8" s="338">
        <v>54505000</v>
      </c>
      <c r="F8" s="297">
        <f t="shared" si="0"/>
        <v>0</v>
      </c>
      <c r="G8" s="305"/>
      <c r="H8" s="305"/>
      <c r="I8" s="305"/>
      <c r="J8" s="305"/>
      <c r="K8" s="346" t="s">
        <v>553</v>
      </c>
    </row>
    <row r="9" spans="1:14" ht="33" customHeight="1">
      <c r="A9" s="306"/>
      <c r="B9" s="446"/>
      <c r="C9" s="327" t="s">
        <v>471</v>
      </c>
      <c r="D9" s="341">
        <v>1000000</v>
      </c>
      <c r="E9" s="341">
        <v>1000000</v>
      </c>
      <c r="F9" s="333">
        <f t="shared" si="0"/>
        <v>0</v>
      </c>
      <c r="G9" s="305"/>
      <c r="H9" s="305"/>
      <c r="I9" s="305"/>
      <c r="J9" s="305"/>
      <c r="K9" s="519" t="s">
        <v>634</v>
      </c>
    </row>
    <row r="10" spans="1:14" ht="40.5">
      <c r="A10" s="306"/>
      <c r="B10" s="301"/>
      <c r="C10" s="327" t="s">
        <v>472</v>
      </c>
      <c r="D10" s="338">
        <v>1200000</v>
      </c>
      <c r="E10" s="338">
        <v>1200000</v>
      </c>
      <c r="F10" s="297">
        <f t="shared" si="0"/>
        <v>0</v>
      </c>
      <c r="G10" s="305"/>
      <c r="H10" s="305"/>
      <c r="I10" s="305"/>
      <c r="J10" s="305"/>
      <c r="K10" s="346" t="s">
        <v>468</v>
      </c>
    </row>
    <row r="11" spans="1:14" ht="36" customHeight="1">
      <c r="A11" s="306"/>
      <c r="B11" s="302"/>
      <c r="C11" s="327" t="s">
        <v>473</v>
      </c>
      <c r="D11" s="338">
        <v>0</v>
      </c>
      <c r="E11" s="338">
        <v>600000</v>
      </c>
      <c r="F11" s="297">
        <f t="shared" si="0"/>
        <v>600000</v>
      </c>
      <c r="G11" s="305"/>
      <c r="H11" s="305"/>
      <c r="I11" s="305"/>
      <c r="J11" s="305"/>
      <c r="K11" s="346" t="s">
        <v>635</v>
      </c>
    </row>
    <row r="12" spans="1:14" ht="36" customHeight="1">
      <c r="A12" s="306"/>
      <c r="B12" s="307" t="s">
        <v>474</v>
      </c>
      <c r="C12" s="327" t="s">
        <v>475</v>
      </c>
      <c r="D12" s="338">
        <v>300000</v>
      </c>
      <c r="E12" s="338">
        <v>300000</v>
      </c>
      <c r="F12" s="297">
        <f t="shared" si="0"/>
        <v>0</v>
      </c>
      <c r="G12" s="305"/>
      <c r="H12" s="305"/>
      <c r="I12" s="305"/>
      <c r="J12" s="305"/>
      <c r="K12" s="448" t="s">
        <v>636</v>
      </c>
    </row>
    <row r="13" spans="1:14" ht="36" customHeight="1">
      <c r="A13" s="306"/>
      <c r="B13" s="305"/>
      <c r="C13" s="327" t="s">
        <v>473</v>
      </c>
      <c r="D13" s="338">
        <v>0</v>
      </c>
      <c r="E13" s="338">
        <v>0</v>
      </c>
      <c r="F13" s="297">
        <f t="shared" si="0"/>
        <v>0</v>
      </c>
      <c r="G13" s="305"/>
      <c r="H13" s="305"/>
      <c r="I13" s="305"/>
      <c r="J13" s="305"/>
      <c r="K13" s="346" t="s">
        <v>468</v>
      </c>
    </row>
    <row r="14" spans="1:14" ht="34.5" customHeight="1">
      <c r="A14" s="306"/>
      <c r="B14" s="455" t="s">
        <v>476</v>
      </c>
      <c r="C14" s="327" t="s">
        <v>477</v>
      </c>
      <c r="D14" s="338">
        <v>1600000</v>
      </c>
      <c r="E14" s="338">
        <v>1600000</v>
      </c>
      <c r="F14" s="297">
        <f t="shared" si="0"/>
        <v>0</v>
      </c>
      <c r="G14" s="305"/>
      <c r="H14" s="305"/>
      <c r="I14" s="305"/>
      <c r="J14" s="305"/>
      <c r="K14" s="448" t="s">
        <v>636</v>
      </c>
    </row>
    <row r="15" spans="1:14" ht="33" customHeight="1" thickBot="1">
      <c r="A15" s="308"/>
      <c r="B15" s="310"/>
      <c r="C15" s="327"/>
      <c r="D15" s="339">
        <v>0</v>
      </c>
      <c r="E15" s="339">
        <v>0</v>
      </c>
      <c r="F15" s="332">
        <f t="shared" si="0"/>
        <v>0</v>
      </c>
      <c r="G15" s="310"/>
      <c r="H15" s="310"/>
      <c r="I15" s="310"/>
      <c r="J15" s="310"/>
      <c r="K15" s="346" t="s">
        <v>468</v>
      </c>
    </row>
    <row r="16" spans="1:14" ht="36" customHeight="1">
      <c r="A16" s="367" t="s">
        <v>478</v>
      </c>
      <c r="B16" s="368" t="s">
        <v>478</v>
      </c>
      <c r="C16" s="363" t="s">
        <v>479</v>
      </c>
      <c r="D16" s="364">
        <v>600000</v>
      </c>
      <c r="E16" s="364">
        <v>600000</v>
      </c>
      <c r="F16" s="331">
        <f t="shared" si="0"/>
        <v>0</v>
      </c>
      <c r="G16" s="365"/>
      <c r="H16" s="365"/>
      <c r="I16" s="365"/>
      <c r="J16" s="365"/>
      <c r="K16" s="345" t="s">
        <v>636</v>
      </c>
    </row>
    <row r="17" spans="1:11" ht="35.25" customHeight="1" thickBot="1">
      <c r="A17" s="308"/>
      <c r="B17" s="449"/>
      <c r="C17" s="328" t="s">
        <v>480</v>
      </c>
      <c r="D17" s="450">
        <v>300000</v>
      </c>
      <c r="E17" s="450">
        <v>300000</v>
      </c>
      <c r="F17" s="332">
        <f t="shared" si="0"/>
        <v>0</v>
      </c>
      <c r="G17" s="451"/>
      <c r="H17" s="451"/>
      <c r="I17" s="451"/>
      <c r="J17" s="451"/>
      <c r="K17" s="520" t="s">
        <v>524</v>
      </c>
    </row>
    <row r="18" spans="1:11" ht="51" customHeight="1" thickBot="1">
      <c r="A18" s="321" t="s">
        <v>481</v>
      </c>
      <c r="B18" s="312" t="s">
        <v>482</v>
      </c>
      <c r="C18" s="324" t="s">
        <v>483</v>
      </c>
      <c r="D18" s="340">
        <v>0</v>
      </c>
      <c r="E18" s="340">
        <v>0</v>
      </c>
      <c r="F18" s="316">
        <f t="shared" si="0"/>
        <v>0</v>
      </c>
      <c r="G18" s="322"/>
      <c r="H18" s="322"/>
      <c r="I18" s="322"/>
      <c r="J18" s="322"/>
      <c r="K18" s="344" t="s">
        <v>468</v>
      </c>
    </row>
    <row r="19" spans="1:11" ht="40.5" customHeight="1">
      <c r="A19" s="317" t="s">
        <v>484</v>
      </c>
      <c r="B19" s="318" t="s">
        <v>485</v>
      </c>
      <c r="C19" s="329" t="s">
        <v>486</v>
      </c>
      <c r="D19" s="341">
        <v>3500000</v>
      </c>
      <c r="E19" s="341">
        <v>4728000</v>
      </c>
      <c r="F19" s="333">
        <f t="shared" si="0"/>
        <v>1228000</v>
      </c>
      <c r="G19" s="305"/>
      <c r="H19" s="305"/>
      <c r="I19" s="305"/>
      <c r="J19" s="305"/>
      <c r="K19" s="349" t="s">
        <v>637</v>
      </c>
    </row>
    <row r="20" spans="1:11" ht="40.5" customHeight="1">
      <c r="A20" s="306"/>
      <c r="B20" s="298"/>
      <c r="C20" s="327" t="s">
        <v>487</v>
      </c>
      <c r="D20" s="338">
        <v>0</v>
      </c>
      <c r="E20" s="338">
        <v>0</v>
      </c>
      <c r="F20" s="297">
        <f t="shared" si="0"/>
        <v>0</v>
      </c>
      <c r="G20" s="305"/>
      <c r="H20" s="305"/>
      <c r="I20" s="305"/>
      <c r="J20" s="305"/>
      <c r="K20" s="347" t="s">
        <v>554</v>
      </c>
    </row>
    <row r="21" spans="1:11" ht="40.5" customHeight="1" thickBot="1">
      <c r="A21" s="306"/>
      <c r="B21" s="298"/>
      <c r="C21" s="327" t="s">
        <v>488</v>
      </c>
      <c r="D21" s="338">
        <v>400000</v>
      </c>
      <c r="E21" s="338">
        <v>485000</v>
      </c>
      <c r="F21" s="297">
        <f t="shared" si="0"/>
        <v>85000</v>
      </c>
      <c r="G21" s="305"/>
      <c r="H21" s="305"/>
      <c r="I21" s="305"/>
      <c r="J21" s="305"/>
      <c r="K21" s="348" t="s">
        <v>638</v>
      </c>
    </row>
    <row r="22" spans="1:11" ht="40.5" customHeight="1">
      <c r="A22" s="306"/>
      <c r="B22" s="299"/>
      <c r="C22" s="327" t="s">
        <v>489</v>
      </c>
      <c r="D22" s="338">
        <v>0</v>
      </c>
      <c r="E22" s="338">
        <v>0</v>
      </c>
      <c r="F22" s="297">
        <f t="shared" si="0"/>
        <v>0</v>
      </c>
      <c r="G22" s="305"/>
      <c r="H22" s="305"/>
      <c r="I22" s="305"/>
      <c r="J22" s="305"/>
      <c r="K22" s="347" t="s">
        <v>554</v>
      </c>
    </row>
    <row r="23" spans="1:11" ht="44.25" customHeight="1" thickBot="1">
      <c r="A23" s="308"/>
      <c r="B23" s="309" t="s">
        <v>490</v>
      </c>
      <c r="C23" s="328" t="s">
        <v>491</v>
      </c>
      <c r="D23" s="339">
        <v>900000</v>
      </c>
      <c r="E23" s="339">
        <v>1054000</v>
      </c>
      <c r="F23" s="332">
        <f t="shared" si="0"/>
        <v>154000</v>
      </c>
      <c r="G23" s="310"/>
      <c r="H23" s="310"/>
      <c r="I23" s="310"/>
      <c r="J23" s="310"/>
      <c r="K23" s="348" t="s">
        <v>638</v>
      </c>
    </row>
    <row r="24" spans="1:11" ht="53.25" customHeight="1" thickBot="1">
      <c r="A24" s="311" t="s">
        <v>492</v>
      </c>
      <c r="B24" s="312" t="s">
        <v>492</v>
      </c>
      <c r="C24" s="324" t="s">
        <v>492</v>
      </c>
      <c r="D24" s="336">
        <v>13000</v>
      </c>
      <c r="E24" s="336">
        <v>13000</v>
      </c>
      <c r="F24" s="316">
        <f t="shared" si="0"/>
        <v>0</v>
      </c>
      <c r="G24" s="313">
        <v>250000</v>
      </c>
      <c r="H24" s="314">
        <v>25</v>
      </c>
      <c r="I24" s="315">
        <v>12</v>
      </c>
      <c r="J24" s="342">
        <f>G24*H24*I24</f>
        <v>75000000</v>
      </c>
      <c r="K24" s="344" t="s">
        <v>554</v>
      </c>
    </row>
    <row r="25" spans="1:11" ht="46.5" customHeight="1">
      <c r="D25" s="295"/>
      <c r="E25" s="295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D4" sqref="D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1" t="s">
        <v>632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14" ht="46.5" customHeight="1">
      <c r="A2" s="682" t="s">
        <v>455</v>
      </c>
      <c r="B2" s="683"/>
      <c r="C2" s="684"/>
      <c r="D2" s="685" t="s">
        <v>493</v>
      </c>
      <c r="E2" s="684"/>
      <c r="F2" s="686" t="s">
        <v>457</v>
      </c>
      <c r="G2" s="688" t="s">
        <v>458</v>
      </c>
      <c r="H2" s="689"/>
      <c r="I2" s="689"/>
      <c r="J2" s="689"/>
      <c r="K2" s="692" t="s">
        <v>459</v>
      </c>
      <c r="L2" s="296"/>
      <c r="M2" s="296"/>
      <c r="N2" s="296"/>
    </row>
    <row r="3" spans="1:14" ht="46.5" customHeight="1" thickBot="1">
      <c r="A3" s="303" t="s">
        <v>460</v>
      </c>
      <c r="B3" s="304" t="s">
        <v>461</v>
      </c>
      <c r="C3" s="323" t="s">
        <v>462</v>
      </c>
      <c r="D3" s="444" t="s">
        <v>630</v>
      </c>
      <c r="E3" s="444" t="s">
        <v>631</v>
      </c>
      <c r="F3" s="687"/>
      <c r="G3" s="690"/>
      <c r="H3" s="691"/>
      <c r="I3" s="691"/>
      <c r="J3" s="691"/>
      <c r="K3" s="693"/>
      <c r="L3" s="296"/>
      <c r="M3" s="296"/>
      <c r="N3" s="296"/>
    </row>
    <row r="4" spans="1:14" ht="46.5" customHeight="1" thickBot="1">
      <c r="A4" s="678" t="s">
        <v>463</v>
      </c>
      <c r="B4" s="679"/>
      <c r="C4" s="680"/>
      <c r="D4" s="335">
        <f>SUM(D5:D30)</f>
        <v>71518000</v>
      </c>
      <c r="E4" s="335">
        <f>SUM(E5:E30)</f>
        <v>73585000</v>
      </c>
      <c r="F4" s="330">
        <f t="shared" ref="F4:F30" si="0">E4-D4</f>
        <v>2067000</v>
      </c>
      <c r="G4" s="581"/>
      <c r="H4" s="581"/>
      <c r="I4" s="581"/>
      <c r="J4" s="581"/>
      <c r="K4" s="343"/>
      <c r="L4" s="296"/>
      <c r="M4" s="296"/>
      <c r="N4" s="296"/>
    </row>
    <row r="5" spans="1:14" ht="50.1" customHeight="1">
      <c r="A5" s="350" t="s">
        <v>494</v>
      </c>
      <c r="B5" s="351" t="s">
        <v>495</v>
      </c>
      <c r="C5" s="325" t="s">
        <v>496</v>
      </c>
      <c r="D5" s="337">
        <v>25466000</v>
      </c>
      <c r="E5" s="337">
        <v>26526000</v>
      </c>
      <c r="F5" s="331">
        <f t="shared" si="0"/>
        <v>1060000</v>
      </c>
      <c r="G5" s="320"/>
      <c r="H5" s="320"/>
      <c r="I5" s="320"/>
      <c r="J5" s="320"/>
      <c r="K5" s="345" t="s">
        <v>639</v>
      </c>
    </row>
    <row r="6" spans="1:14" ht="34.5" customHeight="1">
      <c r="A6" s="453"/>
      <c r="B6" s="318"/>
      <c r="C6" s="447" t="s">
        <v>497</v>
      </c>
      <c r="D6" s="341">
        <v>1600000</v>
      </c>
      <c r="E6" s="341">
        <v>1600000</v>
      </c>
      <c r="F6" s="297">
        <f t="shared" si="0"/>
        <v>0</v>
      </c>
      <c r="G6" s="305"/>
      <c r="H6" s="305"/>
      <c r="I6" s="305"/>
      <c r="J6" s="305"/>
      <c r="K6" s="346" t="s">
        <v>636</v>
      </c>
    </row>
    <row r="7" spans="1:14" ht="50.1" customHeight="1">
      <c r="A7" s="306"/>
      <c r="B7" s="318"/>
      <c r="C7" s="326" t="s">
        <v>498</v>
      </c>
      <c r="D7" s="338">
        <v>8340000</v>
      </c>
      <c r="E7" s="338">
        <v>9172000</v>
      </c>
      <c r="F7" s="297">
        <f t="shared" si="0"/>
        <v>832000</v>
      </c>
      <c r="G7" s="305"/>
      <c r="H7" s="305"/>
      <c r="I7" s="305"/>
      <c r="J7" s="305"/>
      <c r="K7" s="346" t="s">
        <v>640</v>
      </c>
    </row>
    <row r="8" spans="1:14" ht="50.1" customHeight="1">
      <c r="A8" s="306"/>
      <c r="B8" s="298"/>
      <c r="C8" s="327" t="s">
        <v>499</v>
      </c>
      <c r="D8" s="338">
        <v>2820000</v>
      </c>
      <c r="E8" s="338">
        <v>2976000</v>
      </c>
      <c r="F8" s="297">
        <f t="shared" si="0"/>
        <v>156000</v>
      </c>
      <c r="G8" s="305"/>
      <c r="H8" s="305"/>
      <c r="I8" s="305"/>
      <c r="J8" s="305"/>
      <c r="K8" s="346" t="s">
        <v>641</v>
      </c>
    </row>
    <row r="9" spans="1:14" ht="50.1" customHeight="1">
      <c r="A9" s="306"/>
      <c r="B9" s="298"/>
      <c r="C9" s="327" t="s">
        <v>500</v>
      </c>
      <c r="D9" s="338">
        <v>3413000</v>
      </c>
      <c r="E9" s="338">
        <v>3571000</v>
      </c>
      <c r="F9" s="297">
        <f t="shared" si="0"/>
        <v>158000</v>
      </c>
      <c r="G9" s="305"/>
      <c r="H9" s="305"/>
      <c r="I9" s="305"/>
      <c r="J9" s="305"/>
      <c r="K9" s="346" t="s">
        <v>642</v>
      </c>
    </row>
    <row r="10" spans="1:14" ht="49.5" customHeight="1">
      <c r="A10" s="306"/>
      <c r="B10" s="307"/>
      <c r="C10" s="327" t="s">
        <v>501</v>
      </c>
      <c r="D10" s="338">
        <v>370000</v>
      </c>
      <c r="E10" s="338">
        <v>370000</v>
      </c>
      <c r="F10" s="297">
        <f t="shared" si="0"/>
        <v>0</v>
      </c>
      <c r="G10" s="305"/>
      <c r="H10" s="305"/>
      <c r="I10" s="305"/>
      <c r="J10" s="305"/>
      <c r="K10" s="346" t="s">
        <v>636</v>
      </c>
    </row>
    <row r="11" spans="1:14" ht="38.25" customHeight="1">
      <c r="A11" s="306"/>
      <c r="B11" s="455" t="s">
        <v>502</v>
      </c>
      <c r="C11" s="327" t="s">
        <v>503</v>
      </c>
      <c r="D11" s="338">
        <v>50000</v>
      </c>
      <c r="E11" s="338">
        <v>50000</v>
      </c>
      <c r="F11" s="297">
        <f t="shared" si="0"/>
        <v>0</v>
      </c>
      <c r="G11" s="305"/>
      <c r="H11" s="305"/>
      <c r="I11" s="305"/>
      <c r="J11" s="305"/>
      <c r="K11" s="346" t="s">
        <v>636</v>
      </c>
    </row>
    <row r="12" spans="1:14" ht="38.25" customHeight="1">
      <c r="A12" s="306"/>
      <c r="B12" s="318"/>
      <c r="C12" s="352" t="s">
        <v>504</v>
      </c>
      <c r="D12" s="338">
        <v>0</v>
      </c>
      <c r="E12" s="338">
        <v>0</v>
      </c>
      <c r="F12" s="297">
        <f t="shared" si="0"/>
        <v>0</v>
      </c>
      <c r="G12" s="305"/>
      <c r="H12" s="305"/>
      <c r="I12" s="305"/>
      <c r="J12" s="305"/>
      <c r="K12" s="346"/>
    </row>
    <row r="13" spans="1:14" ht="34.5" customHeight="1">
      <c r="A13" s="306"/>
      <c r="B13" s="454"/>
      <c r="C13" s="352" t="s">
        <v>505</v>
      </c>
      <c r="D13" s="353">
        <v>100000</v>
      </c>
      <c r="E13" s="353">
        <v>300000</v>
      </c>
      <c r="F13" s="354">
        <f t="shared" si="0"/>
        <v>200000</v>
      </c>
      <c r="G13" s="305"/>
      <c r="H13" s="305"/>
      <c r="I13" s="305"/>
      <c r="J13" s="305"/>
      <c r="K13" s="355" t="s">
        <v>643</v>
      </c>
    </row>
    <row r="14" spans="1:14" ht="38.25" customHeight="1">
      <c r="A14" s="306"/>
      <c r="B14" s="455" t="s">
        <v>469</v>
      </c>
      <c r="C14" s="352" t="s">
        <v>506</v>
      </c>
      <c r="D14" s="353">
        <v>100000</v>
      </c>
      <c r="E14" s="353">
        <v>100000</v>
      </c>
      <c r="F14" s="354">
        <f t="shared" si="0"/>
        <v>0</v>
      </c>
      <c r="G14" s="305"/>
      <c r="H14" s="305"/>
      <c r="I14" s="305"/>
      <c r="J14" s="305"/>
      <c r="K14" s="355" t="s">
        <v>636</v>
      </c>
    </row>
    <row r="15" spans="1:14" ht="36" customHeight="1">
      <c r="A15" s="306"/>
      <c r="B15" s="307"/>
      <c r="C15" s="352" t="s">
        <v>507</v>
      </c>
      <c r="D15" s="353">
        <v>2040000</v>
      </c>
      <c r="E15" s="353">
        <v>2784000</v>
      </c>
      <c r="F15" s="354">
        <f t="shared" si="0"/>
        <v>744000</v>
      </c>
      <c r="G15" s="305"/>
      <c r="H15" s="305"/>
      <c r="I15" s="305"/>
      <c r="J15" s="305"/>
      <c r="K15" s="355" t="s">
        <v>644</v>
      </c>
    </row>
    <row r="16" spans="1:14" ht="37.5" customHeight="1">
      <c r="A16" s="306"/>
      <c r="B16" s="307"/>
      <c r="C16" s="352" t="s">
        <v>508</v>
      </c>
      <c r="D16" s="353">
        <v>3610000</v>
      </c>
      <c r="E16" s="353">
        <v>3610000</v>
      </c>
      <c r="F16" s="354">
        <f t="shared" si="0"/>
        <v>0</v>
      </c>
      <c r="G16" s="305"/>
      <c r="H16" s="305"/>
      <c r="I16" s="305"/>
      <c r="J16" s="305"/>
      <c r="K16" s="355" t="s">
        <v>636</v>
      </c>
    </row>
    <row r="17" spans="1:11" ht="36.75" customHeight="1">
      <c r="A17" s="306"/>
      <c r="B17" s="307"/>
      <c r="C17" s="352" t="s">
        <v>509</v>
      </c>
      <c r="D17" s="353">
        <v>600000</v>
      </c>
      <c r="E17" s="353">
        <v>678000</v>
      </c>
      <c r="F17" s="354">
        <f t="shared" si="0"/>
        <v>78000</v>
      </c>
      <c r="G17" s="305"/>
      <c r="H17" s="305"/>
      <c r="I17" s="305"/>
      <c r="J17" s="305"/>
      <c r="K17" s="355" t="s">
        <v>645</v>
      </c>
    </row>
    <row r="18" spans="1:11" ht="36.75" customHeight="1">
      <c r="A18" s="306"/>
      <c r="B18" s="307"/>
      <c r="C18" s="352" t="s">
        <v>510</v>
      </c>
      <c r="D18" s="353">
        <v>840000</v>
      </c>
      <c r="E18" s="353">
        <v>600000</v>
      </c>
      <c r="F18" s="354">
        <f t="shared" si="0"/>
        <v>-240000</v>
      </c>
      <c r="G18" s="305"/>
      <c r="H18" s="305"/>
      <c r="I18" s="305"/>
      <c r="J18" s="305"/>
      <c r="K18" s="355" t="s">
        <v>646</v>
      </c>
    </row>
    <row r="19" spans="1:11" ht="38.25" customHeight="1" thickBot="1">
      <c r="A19" s="308"/>
      <c r="B19" s="310"/>
      <c r="C19" s="328" t="s">
        <v>511</v>
      </c>
      <c r="D19" s="339">
        <v>150000</v>
      </c>
      <c r="E19" s="339">
        <v>100000</v>
      </c>
      <c r="F19" s="332">
        <f t="shared" si="0"/>
        <v>-50000</v>
      </c>
      <c r="G19" s="310"/>
      <c r="H19" s="310"/>
      <c r="I19" s="310"/>
      <c r="J19" s="310"/>
      <c r="K19" s="356" t="s">
        <v>647</v>
      </c>
    </row>
    <row r="20" spans="1:11" ht="48" customHeight="1">
      <c r="A20" s="350" t="s">
        <v>512</v>
      </c>
      <c r="B20" s="351" t="s">
        <v>513</v>
      </c>
      <c r="C20" s="593" t="s">
        <v>513</v>
      </c>
      <c r="D20" s="594">
        <v>0</v>
      </c>
      <c r="E20" s="594">
        <v>0</v>
      </c>
      <c r="F20" s="595">
        <f t="shared" si="0"/>
        <v>0</v>
      </c>
      <c r="G20" s="320"/>
      <c r="H20" s="320"/>
      <c r="I20" s="320"/>
      <c r="J20" s="320"/>
      <c r="K20" s="596" t="s">
        <v>468</v>
      </c>
    </row>
    <row r="21" spans="1:11" ht="48" customHeight="1">
      <c r="A21" s="453"/>
      <c r="B21" s="318"/>
      <c r="C21" s="327" t="s">
        <v>514</v>
      </c>
      <c r="D21" s="597">
        <v>0</v>
      </c>
      <c r="E21" s="597">
        <v>1100000</v>
      </c>
      <c r="F21" s="297">
        <f t="shared" si="0"/>
        <v>1100000</v>
      </c>
      <c r="G21" s="598"/>
      <c r="H21" s="598"/>
      <c r="I21" s="598"/>
      <c r="J21" s="598"/>
      <c r="K21" s="346" t="s">
        <v>648</v>
      </c>
    </row>
    <row r="22" spans="1:11" ht="45" customHeight="1" thickBot="1">
      <c r="A22" s="357"/>
      <c r="B22" s="358"/>
      <c r="C22" s="359" t="s">
        <v>515</v>
      </c>
      <c r="D22" s="360">
        <v>1500000</v>
      </c>
      <c r="E22" s="360">
        <v>400000</v>
      </c>
      <c r="F22" s="361">
        <f t="shared" si="0"/>
        <v>-1100000</v>
      </c>
      <c r="G22" s="310"/>
      <c r="H22" s="310"/>
      <c r="I22" s="310"/>
      <c r="J22" s="310"/>
      <c r="K22" s="362" t="s">
        <v>649</v>
      </c>
    </row>
    <row r="23" spans="1:11" ht="46.5" customHeight="1">
      <c r="A23" s="367" t="s">
        <v>516</v>
      </c>
      <c r="B23" s="368" t="s">
        <v>469</v>
      </c>
      <c r="C23" s="363" t="s">
        <v>467</v>
      </c>
      <c r="D23" s="337">
        <v>10487000</v>
      </c>
      <c r="E23" s="337">
        <v>10763000</v>
      </c>
      <c r="F23" s="331">
        <f t="shared" si="0"/>
        <v>276000</v>
      </c>
      <c r="G23" s="320"/>
      <c r="H23" s="320"/>
      <c r="I23" s="320"/>
      <c r="J23" s="320"/>
      <c r="K23" s="345" t="s">
        <v>645</v>
      </c>
    </row>
    <row r="24" spans="1:11" ht="34.5" customHeight="1">
      <c r="A24" s="306"/>
      <c r="B24" s="298"/>
      <c r="C24" s="327" t="s">
        <v>517</v>
      </c>
      <c r="D24" s="338">
        <v>2409000</v>
      </c>
      <c r="E24" s="338">
        <v>1252000</v>
      </c>
      <c r="F24" s="297">
        <f t="shared" si="0"/>
        <v>-1157000</v>
      </c>
      <c r="G24" s="305"/>
      <c r="H24" s="305"/>
      <c r="I24" s="305"/>
      <c r="J24" s="305"/>
      <c r="K24" s="355" t="s">
        <v>644</v>
      </c>
    </row>
    <row r="25" spans="1:11" ht="35.25" customHeight="1">
      <c r="A25" s="306"/>
      <c r="B25" s="298"/>
      <c r="C25" s="327" t="s">
        <v>518</v>
      </c>
      <c r="D25" s="338">
        <v>1200000</v>
      </c>
      <c r="E25" s="338">
        <v>1200000</v>
      </c>
      <c r="F25" s="297">
        <f t="shared" si="0"/>
        <v>0</v>
      </c>
      <c r="G25" s="305"/>
      <c r="H25" s="305"/>
      <c r="I25" s="305"/>
      <c r="J25" s="305"/>
      <c r="K25" s="347" t="s">
        <v>636</v>
      </c>
    </row>
    <row r="26" spans="1:11" ht="38.25" customHeight="1">
      <c r="A26" s="306"/>
      <c r="B26" s="298"/>
      <c r="C26" s="327" t="s">
        <v>519</v>
      </c>
      <c r="D26" s="338">
        <v>460000</v>
      </c>
      <c r="E26" s="338">
        <v>460000</v>
      </c>
      <c r="F26" s="297">
        <f t="shared" si="0"/>
        <v>0</v>
      </c>
      <c r="G26" s="305"/>
      <c r="H26" s="305"/>
      <c r="I26" s="305"/>
      <c r="J26" s="305"/>
      <c r="K26" s="347" t="s">
        <v>636</v>
      </c>
    </row>
    <row r="27" spans="1:11" ht="32.25" customHeight="1">
      <c r="A27" s="306"/>
      <c r="B27" s="298"/>
      <c r="C27" s="327" t="s">
        <v>520</v>
      </c>
      <c r="D27" s="338">
        <v>200000</v>
      </c>
      <c r="E27" s="338">
        <v>210000</v>
      </c>
      <c r="F27" s="297">
        <f t="shared" si="0"/>
        <v>10000</v>
      </c>
      <c r="G27" s="305"/>
      <c r="H27" s="305"/>
      <c r="I27" s="305"/>
      <c r="J27" s="305"/>
      <c r="K27" s="347" t="s">
        <v>645</v>
      </c>
    </row>
    <row r="28" spans="1:11" ht="39.75" customHeight="1" thickBot="1">
      <c r="A28" s="308"/>
      <c r="B28" s="309" t="s">
        <v>521</v>
      </c>
      <c r="C28" s="370" t="s">
        <v>521</v>
      </c>
      <c r="D28" s="339">
        <v>5750000</v>
      </c>
      <c r="E28" s="339">
        <v>5750000</v>
      </c>
      <c r="F28" s="332">
        <f t="shared" si="0"/>
        <v>0</v>
      </c>
      <c r="G28" s="310"/>
      <c r="H28" s="310"/>
      <c r="I28" s="310"/>
      <c r="J28" s="310"/>
      <c r="K28" s="356" t="s">
        <v>636</v>
      </c>
    </row>
    <row r="29" spans="1:11" ht="39" customHeight="1" thickBot="1">
      <c r="A29" s="311" t="s">
        <v>522</v>
      </c>
      <c r="B29" s="312" t="s">
        <v>522</v>
      </c>
      <c r="C29" s="324" t="s">
        <v>522</v>
      </c>
      <c r="D29" s="336">
        <v>5000</v>
      </c>
      <c r="E29" s="336">
        <v>5000</v>
      </c>
      <c r="F29" s="316">
        <f t="shared" si="0"/>
        <v>0</v>
      </c>
      <c r="G29" s="322"/>
      <c r="H29" s="322"/>
      <c r="I29" s="322"/>
      <c r="J29" s="322"/>
      <c r="K29" s="369" t="s">
        <v>468</v>
      </c>
    </row>
    <row r="30" spans="1:11" ht="34.5" customHeight="1" thickBot="1">
      <c r="A30" s="311" t="s">
        <v>523</v>
      </c>
      <c r="B30" s="312" t="s">
        <v>523</v>
      </c>
      <c r="C30" s="324" t="s">
        <v>523</v>
      </c>
      <c r="D30" s="336">
        <v>8000</v>
      </c>
      <c r="E30" s="336">
        <v>8000</v>
      </c>
      <c r="F30" s="316">
        <f t="shared" si="0"/>
        <v>0</v>
      </c>
      <c r="G30" s="322"/>
      <c r="H30" s="322"/>
      <c r="I30" s="322"/>
      <c r="J30" s="322"/>
      <c r="K30" s="369" t="s">
        <v>468</v>
      </c>
    </row>
    <row r="31" spans="1:11" ht="46.5" customHeight="1">
      <c r="D31" s="295"/>
      <c r="E31" s="295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D3" sqref="D3:D14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23"/>
      <c r="B2" s="523" t="s">
        <v>610</v>
      </c>
      <c r="C2" s="523" t="s">
        <v>609</v>
      </c>
      <c r="D2" s="523" t="s">
        <v>608</v>
      </c>
      <c r="F2" s="523"/>
      <c r="G2" s="523" t="s">
        <v>610</v>
      </c>
      <c r="H2" s="523" t="s">
        <v>609</v>
      </c>
      <c r="I2" s="523" t="s">
        <v>608</v>
      </c>
    </row>
    <row r="3" spans="1:9" ht="24.95" customHeight="1">
      <c r="A3" s="523" t="s">
        <v>607</v>
      </c>
      <c r="B3" s="524">
        <v>40000</v>
      </c>
      <c r="C3" s="524">
        <v>0</v>
      </c>
      <c r="D3" s="524"/>
      <c r="F3" s="523" t="s">
        <v>606</v>
      </c>
      <c r="G3" s="524">
        <v>54505000</v>
      </c>
      <c r="H3" s="524">
        <v>54505000</v>
      </c>
      <c r="I3" s="524">
        <v>54505000</v>
      </c>
    </row>
    <row r="4" spans="1:9" ht="24.95" customHeight="1">
      <c r="A4" s="523" t="s">
        <v>605</v>
      </c>
      <c r="B4" s="524">
        <v>2632000</v>
      </c>
      <c r="C4" s="524">
        <v>1500000</v>
      </c>
      <c r="D4" s="524">
        <v>1500000</v>
      </c>
      <c r="F4" s="523" t="s">
        <v>604</v>
      </c>
      <c r="G4" s="524">
        <v>1000000</v>
      </c>
      <c r="H4" s="524">
        <v>1000000</v>
      </c>
      <c r="I4" s="524">
        <v>1000000</v>
      </c>
    </row>
    <row r="5" spans="1:9" ht="24.95" customHeight="1">
      <c r="A5" s="523" t="s">
        <v>603</v>
      </c>
      <c r="B5" s="524">
        <v>3694000</v>
      </c>
      <c r="C5" s="524">
        <v>2320000</v>
      </c>
      <c r="D5" s="524">
        <v>2760000</v>
      </c>
      <c r="F5" s="523" t="s">
        <v>602</v>
      </c>
      <c r="G5" s="524">
        <v>1200000</v>
      </c>
      <c r="H5" s="524">
        <v>1200000</v>
      </c>
      <c r="I5" s="524">
        <v>1200000</v>
      </c>
    </row>
    <row r="6" spans="1:9" ht="24.95" customHeight="1">
      <c r="A6" s="523" t="s">
        <v>601</v>
      </c>
      <c r="B6" s="524">
        <v>475000</v>
      </c>
      <c r="C6" s="524">
        <v>304000</v>
      </c>
      <c r="D6" s="524">
        <v>465000</v>
      </c>
      <c r="F6" s="523" t="s">
        <v>600</v>
      </c>
      <c r="G6" s="524">
        <v>0</v>
      </c>
      <c r="H6" s="524">
        <v>0</v>
      </c>
      <c r="I6" s="524">
        <v>300000</v>
      </c>
    </row>
    <row r="7" spans="1:9" ht="24.95" customHeight="1">
      <c r="A7" s="523" t="s">
        <v>599</v>
      </c>
      <c r="B7" s="524">
        <v>300000</v>
      </c>
      <c r="C7" s="524">
        <v>100000</v>
      </c>
      <c r="D7" s="524">
        <v>100000</v>
      </c>
      <c r="F7" s="523" t="s">
        <v>598</v>
      </c>
      <c r="G7" s="524">
        <v>600000</v>
      </c>
      <c r="H7" s="524">
        <v>600000</v>
      </c>
      <c r="I7" s="524">
        <v>600000</v>
      </c>
    </row>
    <row r="8" spans="1:9" ht="24.95" customHeight="1">
      <c r="A8" s="523" t="s">
        <v>597</v>
      </c>
      <c r="B8" s="524">
        <v>50000</v>
      </c>
      <c r="C8" s="524">
        <v>0</v>
      </c>
      <c r="D8" s="524">
        <v>0</v>
      </c>
      <c r="F8" s="523" t="s">
        <v>596</v>
      </c>
      <c r="G8" s="524">
        <v>1600000</v>
      </c>
      <c r="H8" s="524">
        <v>1600000</v>
      </c>
      <c r="I8" s="524">
        <v>1600000</v>
      </c>
    </row>
    <row r="9" spans="1:9" ht="24.95" customHeight="1">
      <c r="A9" s="523" t="s">
        <v>595</v>
      </c>
      <c r="B9" s="524">
        <v>9727000</v>
      </c>
      <c r="C9" s="524">
        <v>8221000</v>
      </c>
      <c r="D9" s="524">
        <v>8811000</v>
      </c>
      <c r="F9" s="523" t="s">
        <v>589</v>
      </c>
      <c r="G9" s="524">
        <v>11000</v>
      </c>
      <c r="H9" s="524">
        <v>9000</v>
      </c>
      <c r="I9" s="524">
        <v>5000</v>
      </c>
    </row>
    <row r="10" spans="1:9" ht="24.95" customHeight="1">
      <c r="A10" s="523" t="s">
        <v>594</v>
      </c>
      <c r="B10" s="524">
        <v>600000</v>
      </c>
      <c r="C10" s="524">
        <v>600000</v>
      </c>
      <c r="D10" s="524">
        <v>600000</v>
      </c>
      <c r="F10" s="523"/>
      <c r="G10" s="524">
        <f>SUM(G3:G9)</f>
        <v>58916000</v>
      </c>
      <c r="H10" s="524">
        <f>SUM(H3:H9)</f>
        <v>58914000</v>
      </c>
      <c r="I10" s="524">
        <f>SUM(I3:I9)</f>
        <v>59210000</v>
      </c>
    </row>
    <row r="11" spans="1:9" ht="24.95" customHeight="1">
      <c r="A11" s="523" t="s">
        <v>593</v>
      </c>
      <c r="B11" s="524">
        <v>1000000</v>
      </c>
      <c r="C11" s="524">
        <v>250000</v>
      </c>
      <c r="D11" s="524">
        <v>440000</v>
      </c>
    </row>
    <row r="12" spans="1:9" ht="24.95" customHeight="1">
      <c r="A12" s="523" t="s">
        <v>592</v>
      </c>
      <c r="B12" s="524">
        <v>200000</v>
      </c>
      <c r="C12" s="524">
        <v>160000</v>
      </c>
      <c r="D12" s="524">
        <v>160000</v>
      </c>
    </row>
    <row r="13" spans="1:9" ht="24.95" customHeight="1">
      <c r="A13" s="523" t="s">
        <v>591</v>
      </c>
      <c r="B13" s="524">
        <v>90000</v>
      </c>
      <c r="C13" s="524">
        <v>10000</v>
      </c>
      <c r="D13" s="524">
        <v>10000</v>
      </c>
    </row>
    <row r="14" spans="1:9" ht="24.95" customHeight="1">
      <c r="A14" s="523" t="s">
        <v>590</v>
      </c>
      <c r="B14" s="524">
        <v>0</v>
      </c>
      <c r="C14" s="524">
        <v>0</v>
      </c>
      <c r="D14" s="524">
        <v>0</v>
      </c>
    </row>
    <row r="15" spans="1:9" ht="24.95" customHeight="1">
      <c r="A15" s="523" t="s">
        <v>589</v>
      </c>
      <c r="B15" s="524">
        <v>11000</v>
      </c>
      <c r="C15" s="524">
        <v>9000</v>
      </c>
      <c r="D15" s="524">
        <v>5000</v>
      </c>
    </row>
    <row r="16" spans="1:9" ht="24.95" customHeight="1">
      <c r="A16" s="605" t="s">
        <v>588</v>
      </c>
      <c r="B16" s="525">
        <f>SUM(B3:B15)</f>
        <v>18819000</v>
      </c>
      <c r="C16" s="525">
        <f>SUM(C3:C15)</f>
        <v>13474000</v>
      </c>
      <c r="D16" s="525">
        <f>SUM(D3:D15)</f>
        <v>14851000</v>
      </c>
    </row>
    <row r="17" spans="1:4" ht="24.95" customHeight="1">
      <c r="A17" s="605" t="s">
        <v>587</v>
      </c>
      <c r="B17" s="525">
        <v>35697000</v>
      </c>
      <c r="C17" s="525">
        <v>41040000</v>
      </c>
      <c r="D17" s="525">
        <v>39659000</v>
      </c>
    </row>
    <row r="18" spans="1:4" ht="24.95" customHeight="1">
      <c r="B18" s="295">
        <f>SUM(B16:B17)</f>
        <v>54516000</v>
      </c>
      <c r="C18" s="295">
        <f>SUM(C16:C17)</f>
        <v>54514000</v>
      </c>
      <c r="D18" s="295">
        <f>SUM(D16:D17)</f>
        <v>54510000</v>
      </c>
    </row>
    <row r="19" spans="1:4" ht="24.95" customHeight="1">
      <c r="B19" s="295">
        <v>54516000</v>
      </c>
      <c r="C19" s="295">
        <v>54514000</v>
      </c>
      <c r="D19" s="295">
        <v>54510000</v>
      </c>
    </row>
    <row r="20" spans="1:4" ht="24.95" customHeight="1">
      <c r="B20" s="295">
        <f>B19-B18</f>
        <v>0</v>
      </c>
      <c r="C20" s="295">
        <f>C19-C18</f>
        <v>0</v>
      </c>
      <c r="D20" s="295">
        <f>D19-D18</f>
        <v>0</v>
      </c>
    </row>
    <row r="21" spans="1:4" ht="24.95" customHeight="1">
      <c r="B21" s="295"/>
      <c r="C21" s="295"/>
      <c r="D21" s="295"/>
    </row>
    <row r="22" spans="1:4" ht="24.95" customHeight="1">
      <c r="B22" s="295"/>
      <c r="C22" s="295"/>
      <c r="D22" s="295"/>
    </row>
    <row r="23" spans="1:4" ht="24.95" customHeight="1">
      <c r="B23" s="295"/>
      <c r="C23" s="295"/>
      <c r="D23" s="295"/>
    </row>
    <row r="24" spans="1:4" ht="20.25" customHeight="1">
      <c r="B24" s="295"/>
      <c r="C24" s="295"/>
      <c r="D24" s="295"/>
    </row>
    <row r="25" spans="1:4" ht="20.25" customHeight="1">
      <c r="B25" s="295"/>
      <c r="C25" s="295"/>
      <c r="D25" s="295"/>
    </row>
    <row r="26" spans="1:4" ht="20.25" customHeight="1">
      <c r="B26" s="295"/>
      <c r="C26" s="295"/>
      <c r="D26" s="295"/>
    </row>
    <row r="27" spans="1:4" ht="20.25" customHeight="1">
      <c r="B27" s="295"/>
      <c r="C27" s="295"/>
      <c r="D27" s="295"/>
    </row>
    <row r="28" spans="1:4" ht="20.25" customHeight="1">
      <c r="B28" s="295"/>
      <c r="C28" s="295"/>
      <c r="D28" s="295"/>
    </row>
    <row r="29" spans="1:4" ht="20.25" customHeight="1"/>
    <row r="30" spans="1:4" ht="20.25" customHeight="1"/>
    <row r="33" ht="15.75" customHeight="1"/>
    <row r="34" ht="15.75" customHeight="1"/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7" sqref="B17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694" t="s">
        <v>623</v>
      </c>
      <c r="B1" s="694"/>
      <c r="C1" s="694"/>
      <c r="D1" s="694"/>
      <c r="E1" s="694"/>
      <c r="F1" s="694"/>
      <c r="G1" s="694"/>
      <c r="H1" s="694"/>
    </row>
    <row r="2" spans="1:8" ht="36.75" customHeight="1">
      <c r="A2" s="523"/>
      <c r="B2" s="606" t="s">
        <v>611</v>
      </c>
      <c r="C2" s="607" t="s">
        <v>612</v>
      </c>
      <c r="D2" s="607" t="s">
        <v>613</v>
      </c>
      <c r="E2" s="607" t="s">
        <v>614</v>
      </c>
      <c r="F2" s="607" t="s">
        <v>615</v>
      </c>
      <c r="G2" s="608" t="s">
        <v>611</v>
      </c>
      <c r="H2" s="609" t="s">
        <v>616</v>
      </c>
    </row>
    <row r="3" spans="1:8" ht="24.95" customHeight="1">
      <c r="A3" s="523" t="s">
        <v>617</v>
      </c>
      <c r="B3" s="610">
        <v>0</v>
      </c>
      <c r="C3" s="611">
        <v>0</v>
      </c>
      <c r="D3" s="611">
        <v>0</v>
      </c>
      <c r="E3" s="611">
        <v>0</v>
      </c>
      <c r="F3" s="611">
        <v>0</v>
      </c>
      <c r="G3" s="612">
        <f>SUM(C3:F3)</f>
        <v>0</v>
      </c>
      <c r="H3" s="609" t="str">
        <f>IF(B3=G3,"○")</f>
        <v>○</v>
      </c>
    </row>
    <row r="4" spans="1:8" ht="24.95" customHeight="1">
      <c r="A4" s="523" t="s">
        <v>505</v>
      </c>
      <c r="B4" s="610">
        <v>100000</v>
      </c>
      <c r="C4" s="614">
        <v>0</v>
      </c>
      <c r="D4" s="613">
        <v>100000</v>
      </c>
      <c r="E4" s="611">
        <v>0</v>
      </c>
      <c r="F4" s="611">
        <v>0</v>
      </c>
      <c r="G4" s="612">
        <f>SUM(C4:F4)</f>
        <v>100000</v>
      </c>
      <c r="H4" s="609" t="str">
        <f>IF(B4=G4,"○")</f>
        <v>○</v>
      </c>
    </row>
    <row r="5" spans="1:8" ht="24.95" customHeight="1">
      <c r="A5" s="523" t="s">
        <v>618</v>
      </c>
      <c r="B5" s="610">
        <v>1500000</v>
      </c>
      <c r="C5" s="524">
        <v>612000</v>
      </c>
      <c r="D5" s="613">
        <v>400000</v>
      </c>
      <c r="E5" s="613">
        <v>300000</v>
      </c>
      <c r="F5" s="613">
        <v>188000</v>
      </c>
      <c r="G5" s="612">
        <f t="shared" ref="G5:G16" si="0">SUM(C5:F5)</f>
        <v>1500000</v>
      </c>
      <c r="H5" s="609" t="str">
        <f t="shared" ref="H5:H16" si="1">IF(B5=G5,"○")</f>
        <v>○</v>
      </c>
    </row>
    <row r="6" spans="1:8" ht="24.95" customHeight="1">
      <c r="A6" s="523" t="s">
        <v>285</v>
      </c>
      <c r="B6" s="610">
        <v>2760000</v>
      </c>
      <c r="C6" s="524">
        <v>1119000</v>
      </c>
      <c r="D6" s="613">
        <v>650000</v>
      </c>
      <c r="E6" s="613">
        <v>650000</v>
      </c>
      <c r="F6" s="613">
        <v>341000</v>
      </c>
      <c r="G6" s="612">
        <f t="shared" si="0"/>
        <v>2760000</v>
      </c>
      <c r="H6" s="609" t="str">
        <f t="shared" si="1"/>
        <v>○</v>
      </c>
    </row>
    <row r="7" spans="1:8" ht="24.95" customHeight="1">
      <c r="A7" s="523" t="s">
        <v>619</v>
      </c>
      <c r="B7" s="610">
        <v>465000</v>
      </c>
      <c r="C7" s="524">
        <v>304000</v>
      </c>
      <c r="D7" s="613">
        <v>161000</v>
      </c>
      <c r="E7" s="611">
        <v>0</v>
      </c>
      <c r="F7" s="611">
        <v>0</v>
      </c>
      <c r="G7" s="612">
        <f t="shared" si="0"/>
        <v>465000</v>
      </c>
      <c r="H7" s="609" t="str">
        <f t="shared" si="1"/>
        <v>○</v>
      </c>
    </row>
    <row r="8" spans="1:8" ht="24.95" customHeight="1">
      <c r="A8" s="523" t="s">
        <v>286</v>
      </c>
      <c r="B8" s="610">
        <v>100000</v>
      </c>
      <c r="C8" s="524">
        <v>100000</v>
      </c>
      <c r="D8" s="611">
        <v>0</v>
      </c>
      <c r="E8" s="611">
        <v>0</v>
      </c>
      <c r="F8" s="611">
        <v>0</v>
      </c>
      <c r="G8" s="612">
        <f t="shared" si="0"/>
        <v>100000</v>
      </c>
      <c r="H8" s="609" t="str">
        <f t="shared" si="1"/>
        <v>○</v>
      </c>
    </row>
    <row r="9" spans="1:8" ht="24.95" customHeight="1">
      <c r="A9" s="523" t="s">
        <v>620</v>
      </c>
      <c r="B9" s="610">
        <v>0</v>
      </c>
      <c r="C9" s="611">
        <v>0</v>
      </c>
      <c r="D9" s="611">
        <v>0</v>
      </c>
      <c r="E9" s="611">
        <v>0</v>
      </c>
      <c r="F9" s="611">
        <v>0</v>
      </c>
      <c r="G9" s="612">
        <f t="shared" si="0"/>
        <v>0</v>
      </c>
      <c r="H9" s="609" t="str">
        <f t="shared" si="1"/>
        <v>○</v>
      </c>
    </row>
    <row r="10" spans="1:8" ht="24.95" customHeight="1">
      <c r="A10" s="523" t="s">
        <v>59</v>
      </c>
      <c r="B10" s="610">
        <v>8811000</v>
      </c>
      <c r="C10" s="524">
        <v>2400000</v>
      </c>
      <c r="D10" s="613">
        <v>2400000</v>
      </c>
      <c r="E10" s="613">
        <v>2400000</v>
      </c>
      <c r="F10" s="613">
        <v>1611000</v>
      </c>
      <c r="G10" s="612">
        <f t="shared" si="0"/>
        <v>8811000</v>
      </c>
      <c r="H10" s="609" t="str">
        <f t="shared" si="1"/>
        <v>○</v>
      </c>
    </row>
    <row r="11" spans="1:8" ht="24.95" customHeight="1">
      <c r="A11" s="523" t="s">
        <v>621</v>
      </c>
      <c r="B11" s="610">
        <v>500000</v>
      </c>
      <c r="C11" s="524">
        <v>150000</v>
      </c>
      <c r="D11" s="613">
        <v>150000</v>
      </c>
      <c r="E11" s="613">
        <v>100000</v>
      </c>
      <c r="F11" s="613">
        <v>100000</v>
      </c>
      <c r="G11" s="612">
        <f t="shared" si="0"/>
        <v>500000</v>
      </c>
      <c r="H11" s="609" t="str">
        <f t="shared" si="1"/>
        <v>○</v>
      </c>
    </row>
    <row r="12" spans="1:8" ht="24.95" customHeight="1">
      <c r="A12" s="523" t="s">
        <v>518</v>
      </c>
      <c r="B12" s="610">
        <v>440000</v>
      </c>
      <c r="C12" s="524">
        <v>250000</v>
      </c>
      <c r="D12" s="613">
        <v>190000</v>
      </c>
      <c r="E12" s="611">
        <v>0</v>
      </c>
      <c r="F12" s="611">
        <v>0</v>
      </c>
      <c r="G12" s="612">
        <f t="shared" si="0"/>
        <v>440000</v>
      </c>
      <c r="H12" s="609" t="str">
        <f t="shared" si="1"/>
        <v>○</v>
      </c>
    </row>
    <row r="13" spans="1:8" ht="24.95" customHeight="1">
      <c r="A13" s="523" t="s">
        <v>88</v>
      </c>
      <c r="B13" s="610">
        <v>160000</v>
      </c>
      <c r="C13" s="524">
        <v>160000</v>
      </c>
      <c r="D13" s="611">
        <v>0</v>
      </c>
      <c r="E13" s="611">
        <v>0</v>
      </c>
      <c r="F13" s="611">
        <v>0</v>
      </c>
      <c r="G13" s="612">
        <f t="shared" si="0"/>
        <v>160000</v>
      </c>
      <c r="H13" s="609" t="str">
        <f t="shared" si="1"/>
        <v>○</v>
      </c>
    </row>
    <row r="14" spans="1:8" ht="24.95" customHeight="1">
      <c r="A14" s="523" t="s">
        <v>89</v>
      </c>
      <c r="B14" s="610">
        <v>10000</v>
      </c>
      <c r="C14" s="524">
        <v>9750</v>
      </c>
      <c r="D14" s="613">
        <v>250</v>
      </c>
      <c r="E14" s="611">
        <v>0</v>
      </c>
      <c r="F14" s="611">
        <v>0</v>
      </c>
      <c r="G14" s="612">
        <f t="shared" si="0"/>
        <v>10000</v>
      </c>
      <c r="H14" s="609" t="str">
        <f t="shared" si="1"/>
        <v>○</v>
      </c>
    </row>
    <row r="15" spans="1:8" ht="24.95" customHeight="1">
      <c r="A15" s="523" t="s">
        <v>622</v>
      </c>
      <c r="B15" s="610">
        <v>0</v>
      </c>
      <c r="C15" s="611">
        <v>0</v>
      </c>
      <c r="D15" s="611">
        <v>0</v>
      </c>
      <c r="E15" s="611">
        <v>0</v>
      </c>
      <c r="F15" s="611">
        <v>0</v>
      </c>
      <c r="G15" s="612">
        <f t="shared" si="0"/>
        <v>0</v>
      </c>
      <c r="H15" s="609" t="str">
        <f t="shared" si="1"/>
        <v>○</v>
      </c>
    </row>
    <row r="16" spans="1:8" ht="24.95" customHeight="1">
      <c r="A16" s="605" t="s">
        <v>90</v>
      </c>
      <c r="B16" s="525">
        <f>SUM(B3:B15)</f>
        <v>14846000</v>
      </c>
      <c r="C16" s="525">
        <f t="shared" ref="C16:F16" si="2">SUM(C3:C15)</f>
        <v>5104750</v>
      </c>
      <c r="D16" s="525">
        <f t="shared" si="2"/>
        <v>4051250</v>
      </c>
      <c r="E16" s="525">
        <f t="shared" si="2"/>
        <v>3450000</v>
      </c>
      <c r="F16" s="525">
        <f t="shared" si="2"/>
        <v>2240000</v>
      </c>
      <c r="G16" s="612">
        <f t="shared" si="0"/>
        <v>14846000</v>
      </c>
      <c r="H16" s="609" t="str">
        <f t="shared" si="1"/>
        <v>○</v>
      </c>
    </row>
    <row r="17" spans="1:6" ht="24.95" customHeight="1">
      <c r="A17" s="605" t="s">
        <v>142</v>
      </c>
      <c r="B17" s="525">
        <v>39659000</v>
      </c>
      <c r="C17" s="525"/>
      <c r="D17" s="525"/>
      <c r="E17" s="524"/>
      <c r="F17" s="524"/>
    </row>
    <row r="18" spans="1:6" ht="24.95" customHeight="1">
      <c r="B18" s="295">
        <f>SUM(B16:B17)</f>
        <v>54505000</v>
      </c>
      <c r="C18" s="295"/>
      <c r="D18" s="295"/>
    </row>
    <row r="19" spans="1:6" ht="24.95" customHeight="1">
      <c r="B19" s="295"/>
      <c r="C19" s="295"/>
      <c r="D19" s="295"/>
    </row>
    <row r="20" spans="1:6" ht="24.95" customHeight="1">
      <c r="B20" s="295"/>
      <c r="C20" s="295"/>
      <c r="D20" s="295"/>
    </row>
    <row r="21" spans="1:6" ht="24.95" customHeight="1">
      <c r="B21" s="295"/>
      <c r="C21" s="295"/>
      <c r="D21" s="295"/>
    </row>
    <row r="22" spans="1:6" ht="20.25" customHeight="1">
      <c r="B22" s="295"/>
      <c r="C22" s="295"/>
      <c r="D22" s="295"/>
    </row>
    <row r="23" spans="1:6" ht="20.25" customHeight="1">
      <c r="B23" s="295"/>
      <c r="C23" s="295"/>
      <c r="D23" s="295"/>
    </row>
    <row r="24" spans="1:6" ht="20.25" customHeight="1">
      <c r="B24" s="295"/>
      <c r="C24" s="295"/>
      <c r="D24" s="295"/>
    </row>
    <row r="25" spans="1:6" ht="20.25" customHeight="1">
      <c r="B25" s="295"/>
      <c r="C25" s="295"/>
      <c r="D25" s="295"/>
    </row>
    <row r="26" spans="1:6" ht="20.25" customHeight="1">
      <c r="B26" s="295"/>
      <c r="C26" s="295"/>
      <c r="D26" s="295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2017-03-16T05:21:30Z</cp:lastPrinted>
  <dcterms:created xsi:type="dcterms:W3CDTF">2003-12-18T04:11:57Z</dcterms:created>
  <dcterms:modified xsi:type="dcterms:W3CDTF">2019-06-04T07:48:09Z</dcterms:modified>
</cp:coreProperties>
</file>