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공고\"/>
    </mc:Choice>
  </mc:AlternateContent>
  <bookViews>
    <workbookView xWindow="-15" yWindow="-15" windowWidth="9615" windowHeight="11745" tabRatio="656" activeTab="2"/>
  </bookViews>
  <sheets>
    <sheet name="세입세출총괄표" sheetId="18" r:id="rId1"/>
    <sheet name="세입" sheetId="4" r:id="rId2"/>
    <sheet name="세출" sheetId="5" r:id="rId3"/>
  </sheets>
  <externalReferences>
    <externalReference r:id="rId4"/>
    <externalReference r:id="rId5"/>
    <externalReference r:id="rId6"/>
  </externalReferences>
  <definedNames>
    <definedName name="_xlnm.Print_Area" localSheetId="1">세입!$A$1:$X$89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세입!#REF!</definedName>
    <definedName name="가족수당" localSheetId="2">세출!$AD$20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0">[1]세입!#REF!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>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>세입!#REF!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W88" i="4" l="1"/>
  <c r="AD90" i="5" l="1"/>
  <c r="AD85" i="5"/>
  <c r="AD110" i="5" l="1"/>
  <c r="AD109" i="5"/>
  <c r="AD106" i="5" s="1"/>
  <c r="AD54" i="5" l="1"/>
  <c r="AD53" i="5"/>
  <c r="D5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3" i="5"/>
  <c r="D104" i="5"/>
  <c r="D105" i="5"/>
  <c r="D106" i="5"/>
  <c r="D107" i="5"/>
  <c r="D108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I27" i="18" l="1"/>
  <c r="I25" i="18"/>
  <c r="I23" i="18"/>
  <c r="I16" i="18"/>
  <c r="I7" i="18" s="1"/>
  <c r="I12" i="18"/>
  <c r="I8" i="18"/>
  <c r="D22" i="18"/>
  <c r="D20" i="18"/>
  <c r="D18" i="18"/>
  <c r="D15" i="18"/>
  <c r="D7" i="18" s="1"/>
  <c r="D10" i="18"/>
  <c r="D8" i="18"/>
  <c r="W62" i="4"/>
  <c r="AD150" i="5" l="1"/>
  <c r="AD117" i="5"/>
  <c r="AD124" i="5"/>
  <c r="AD119" i="5" l="1"/>
  <c r="AD120" i="5"/>
  <c r="AD118" i="5"/>
  <c r="AD116" i="5"/>
  <c r="L30" i="5" l="1"/>
  <c r="K30" i="5"/>
  <c r="J30" i="5"/>
  <c r="I30" i="5"/>
  <c r="H30" i="5"/>
  <c r="G30" i="5"/>
  <c r="W84" i="4" l="1"/>
  <c r="AD155" i="5"/>
  <c r="AD156" i="5" l="1"/>
  <c r="AD164" i="5"/>
  <c r="AD163" i="5"/>
  <c r="AD162" i="5" s="1"/>
  <c r="J27" i="18" l="1"/>
  <c r="J25" i="18"/>
  <c r="J23" i="18"/>
  <c r="J16" i="18"/>
  <c r="J12" i="18"/>
  <c r="J8" i="18"/>
  <c r="E22" i="18"/>
  <c r="E20" i="18"/>
  <c r="E18" i="18"/>
  <c r="E15" i="18"/>
  <c r="F168" i="5"/>
  <c r="F167" i="5" s="1"/>
  <c r="AD115" i="5"/>
  <c r="F114" i="5" s="1"/>
  <c r="AD78" i="5"/>
  <c r="L61" i="5"/>
  <c r="K61" i="5"/>
  <c r="I61" i="5"/>
  <c r="H61" i="5"/>
  <c r="G61" i="5"/>
  <c r="AD24" i="5"/>
  <c r="AD25" i="5"/>
  <c r="J7" i="18" l="1"/>
  <c r="E49" i="4" l="1"/>
  <c r="E48" i="4" s="1"/>
  <c r="E46" i="4"/>
  <c r="E45" i="4" s="1"/>
  <c r="E42" i="4"/>
  <c r="E41" i="4" s="1"/>
  <c r="E22" i="4"/>
  <c r="E21" i="4" s="1"/>
  <c r="E12" i="4"/>
  <c r="W59" i="4"/>
  <c r="E59" i="4" s="1"/>
  <c r="W18" i="4"/>
  <c r="E44" i="4" l="1"/>
  <c r="G50" i="5" l="1"/>
  <c r="F113" i="5" l="1"/>
  <c r="E10" i="18" l="1"/>
  <c r="E8" i="18"/>
  <c r="E7" i="18" l="1"/>
  <c r="AD52" i="5"/>
  <c r="AD79" i="5"/>
  <c r="F77" i="5" s="1"/>
  <c r="AD80" i="5"/>
  <c r="G15" i="5" l="1"/>
  <c r="AD149" i="5" l="1"/>
  <c r="AD148" i="5"/>
  <c r="AD147" i="5" s="1"/>
  <c r="L180" i="5"/>
  <c r="K180" i="5"/>
  <c r="J180" i="5"/>
  <c r="I180" i="5"/>
  <c r="H180" i="5"/>
  <c r="G180" i="5"/>
  <c r="M180" i="5"/>
  <c r="F180" i="5"/>
  <c r="L177" i="5"/>
  <c r="K177" i="5"/>
  <c r="J177" i="5"/>
  <c r="I177" i="5"/>
  <c r="H177" i="5"/>
  <c r="G177" i="5"/>
  <c r="F177" i="5"/>
  <c r="L168" i="5"/>
  <c r="K168" i="5"/>
  <c r="J168" i="5"/>
  <c r="I168" i="5"/>
  <c r="H168" i="5"/>
  <c r="G168" i="5"/>
  <c r="L162" i="5"/>
  <c r="K162" i="5"/>
  <c r="I162" i="5"/>
  <c r="H162" i="5"/>
  <c r="G162" i="5"/>
  <c r="F162" i="5"/>
  <c r="L158" i="5"/>
  <c r="K158" i="5"/>
  <c r="I158" i="5"/>
  <c r="H158" i="5"/>
  <c r="G158" i="5"/>
  <c r="F158" i="5"/>
  <c r="L152" i="5"/>
  <c r="K152" i="5"/>
  <c r="I152" i="5"/>
  <c r="H152" i="5"/>
  <c r="G152" i="5"/>
  <c r="F152" i="5"/>
  <c r="L147" i="5"/>
  <c r="K147" i="5"/>
  <c r="I147" i="5"/>
  <c r="H147" i="5"/>
  <c r="G147" i="5"/>
  <c r="F147" i="5"/>
  <c r="L144" i="5"/>
  <c r="K144" i="5"/>
  <c r="I144" i="5"/>
  <c r="H144" i="5"/>
  <c r="G144" i="5"/>
  <c r="F144" i="5"/>
  <c r="L141" i="5"/>
  <c r="K141" i="5"/>
  <c r="I141" i="5"/>
  <c r="H141" i="5"/>
  <c r="G141" i="5"/>
  <c r="F141" i="5"/>
  <c r="L138" i="5"/>
  <c r="K138" i="5"/>
  <c r="I138" i="5"/>
  <c r="H138" i="5"/>
  <c r="G138" i="5"/>
  <c r="F138" i="5"/>
  <c r="L134" i="5"/>
  <c r="K134" i="5"/>
  <c r="I134" i="5"/>
  <c r="H134" i="5"/>
  <c r="G134" i="5"/>
  <c r="L130" i="5"/>
  <c r="K130" i="5"/>
  <c r="I130" i="5"/>
  <c r="H130" i="5"/>
  <c r="G130" i="5"/>
  <c r="L127" i="5"/>
  <c r="K127" i="5"/>
  <c r="I127" i="5"/>
  <c r="H127" i="5"/>
  <c r="G127" i="5"/>
  <c r="L123" i="5"/>
  <c r="K123" i="5"/>
  <c r="J123" i="5"/>
  <c r="H123" i="5"/>
  <c r="G123" i="5"/>
  <c r="L114" i="5"/>
  <c r="K114" i="5"/>
  <c r="J114" i="5"/>
  <c r="I114" i="5"/>
  <c r="H114" i="5"/>
  <c r="G114" i="5"/>
  <c r="L106" i="5"/>
  <c r="K106" i="5"/>
  <c r="J106" i="5"/>
  <c r="I106" i="5"/>
  <c r="H106" i="5"/>
  <c r="G106" i="5"/>
  <c r="F106" i="5"/>
  <c r="L100" i="5"/>
  <c r="K100" i="5"/>
  <c r="J100" i="5"/>
  <c r="I100" i="5"/>
  <c r="H100" i="5"/>
  <c r="G100" i="5"/>
  <c r="F100" i="5"/>
  <c r="L98" i="5"/>
  <c r="K98" i="5"/>
  <c r="J98" i="5"/>
  <c r="I98" i="5"/>
  <c r="H98" i="5"/>
  <c r="G98" i="5"/>
  <c r="F98" i="5"/>
  <c r="L93" i="5"/>
  <c r="K93" i="5"/>
  <c r="H93" i="5"/>
  <c r="G93" i="5"/>
  <c r="L89" i="5"/>
  <c r="K89" i="5"/>
  <c r="I89" i="5"/>
  <c r="H89" i="5"/>
  <c r="G89" i="5"/>
  <c r="L83" i="5"/>
  <c r="K83" i="5"/>
  <c r="I83" i="5"/>
  <c r="H83" i="5"/>
  <c r="G83" i="5"/>
  <c r="L77" i="5"/>
  <c r="K77" i="5"/>
  <c r="I77" i="5"/>
  <c r="H77" i="5"/>
  <c r="G77" i="5"/>
  <c r="L70" i="5"/>
  <c r="K70" i="5"/>
  <c r="J70" i="5"/>
  <c r="I70" i="5"/>
  <c r="H70" i="5"/>
  <c r="G70" i="5"/>
  <c r="L67" i="5"/>
  <c r="K67" i="5"/>
  <c r="J67" i="5"/>
  <c r="H67" i="5"/>
  <c r="G67" i="5"/>
  <c r="F67" i="5"/>
  <c r="L57" i="5"/>
  <c r="K57" i="5"/>
  <c r="J57" i="5"/>
  <c r="I57" i="5"/>
  <c r="H57" i="5"/>
  <c r="G57" i="5"/>
  <c r="F57" i="5"/>
  <c r="L50" i="5"/>
  <c r="K50" i="5"/>
  <c r="J50" i="5"/>
  <c r="L27" i="5"/>
  <c r="K27" i="5"/>
  <c r="J27" i="5"/>
  <c r="H27" i="5"/>
  <c r="G27" i="5"/>
  <c r="L15" i="5"/>
  <c r="K15" i="5"/>
  <c r="J15" i="5"/>
  <c r="H15" i="5"/>
  <c r="L12" i="5"/>
  <c r="K12" i="5"/>
  <c r="J12" i="5"/>
  <c r="I12" i="5"/>
  <c r="L7" i="5"/>
  <c r="K7" i="5"/>
  <c r="J7" i="5"/>
  <c r="I7" i="5"/>
  <c r="AD94" i="5"/>
  <c r="I93" i="5" s="1"/>
  <c r="AD64" i="5"/>
  <c r="AD63" i="5"/>
  <c r="AD62" i="5"/>
  <c r="F61" i="5" s="1"/>
  <c r="F56" i="5" l="1"/>
  <c r="F93" i="5"/>
  <c r="AD93" i="5"/>
  <c r="J61" i="5"/>
  <c r="AD61" i="5"/>
  <c r="J162" i="5" l="1"/>
  <c r="AD154" i="5"/>
  <c r="AD153" i="5"/>
  <c r="AD152" i="5" s="1"/>
  <c r="AD139" i="5"/>
  <c r="AD72" i="5"/>
  <c r="F70" i="5" l="1"/>
  <c r="F66" i="5" s="1"/>
  <c r="AD70" i="5"/>
  <c r="J138" i="5"/>
  <c r="J152" i="5"/>
  <c r="I15" i="5"/>
  <c r="AD23" i="5"/>
  <c r="AD18" i="5"/>
  <c r="AD17" i="5"/>
  <c r="I27" i="5" l="1"/>
  <c r="I123" i="5"/>
  <c r="J89" i="5"/>
  <c r="W35" i="4"/>
  <c r="AD100" i="5"/>
  <c r="J77" i="5" l="1"/>
  <c r="AD16" i="5"/>
  <c r="AD114" i="5"/>
  <c r="E177" i="5"/>
  <c r="E59" i="5"/>
  <c r="AD180" i="5" l="1"/>
  <c r="E180" i="5" s="1"/>
  <c r="E25" i="4" l="1"/>
  <c r="E24" i="4" s="1"/>
  <c r="F13" i="18"/>
  <c r="E62" i="4"/>
  <c r="W53" i="4"/>
  <c r="E53" i="4" s="1"/>
  <c r="E114" i="5" l="1"/>
  <c r="L137" i="5"/>
  <c r="K137" i="5"/>
  <c r="I137" i="5"/>
  <c r="H137" i="5"/>
  <c r="G137" i="5"/>
  <c r="F137" i="5"/>
  <c r="F112" i="5" s="1"/>
  <c r="AD160" i="5"/>
  <c r="AD159" i="5"/>
  <c r="J147" i="5"/>
  <c r="AD145" i="5"/>
  <c r="J144" i="5" s="1"/>
  <c r="AD142" i="5"/>
  <c r="AD135" i="5"/>
  <c r="J93" i="5"/>
  <c r="AD84" i="5"/>
  <c r="AD128" i="5"/>
  <c r="J127" i="5" s="1"/>
  <c r="I50" i="5"/>
  <c r="AD51" i="5"/>
  <c r="H50" i="5" s="1"/>
  <c r="AD21" i="5"/>
  <c r="AD9" i="5"/>
  <c r="AD8" i="5"/>
  <c r="E84" i="4"/>
  <c r="E83" i="4" s="1"/>
  <c r="W77" i="4"/>
  <c r="E77" i="4" s="1"/>
  <c r="E76" i="4" s="1"/>
  <c r="W16" i="4"/>
  <c r="E16" i="4" s="1"/>
  <c r="E15" i="4" s="1"/>
  <c r="E11" i="4" s="1"/>
  <c r="J83" i="5" l="1"/>
  <c r="J158" i="5"/>
  <c r="F15" i="5"/>
  <c r="F7" i="5"/>
  <c r="AD144" i="5"/>
  <c r="AD83" i="5"/>
  <c r="AD50" i="5"/>
  <c r="E50" i="5" s="1"/>
  <c r="AD7" i="5"/>
  <c r="J141" i="5"/>
  <c r="E162" i="5"/>
  <c r="AD158" i="5"/>
  <c r="E158" i="5" s="1"/>
  <c r="E152" i="5"/>
  <c r="E147" i="5"/>
  <c r="AD138" i="5"/>
  <c r="E138" i="5" s="1"/>
  <c r="E7" i="5" l="1"/>
  <c r="E83" i="5"/>
  <c r="AD141" i="5"/>
  <c r="E141" i="5" s="1"/>
  <c r="M158" i="5"/>
  <c r="N158" i="5" s="1"/>
  <c r="M147" i="5"/>
  <c r="N147" i="5" s="1"/>
  <c r="M162" i="5"/>
  <c r="N162" i="5" s="1"/>
  <c r="M138" i="5" l="1"/>
  <c r="N138" i="5" s="1"/>
  <c r="J137" i="5"/>
  <c r="J134" i="5" l="1"/>
  <c r="E70" i="5"/>
  <c r="AD134" i="5" l="1"/>
  <c r="E134" i="5" s="1"/>
  <c r="W34" i="4" l="1"/>
  <c r="AD168" i="5"/>
  <c r="E168" i="5" s="1"/>
  <c r="W33" i="4" l="1"/>
  <c r="E34" i="4"/>
  <c r="E33" i="4" s="1"/>
  <c r="W66" i="4"/>
  <c r="E66" i="4" s="1"/>
  <c r="E65" i="4" s="1"/>
  <c r="W56" i="4"/>
  <c r="E56" i="4" s="1"/>
  <c r="E52" i="4" s="1"/>
  <c r="K26" i="18" l="1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K16" i="18" l="1"/>
  <c r="M141" i="5" l="1"/>
  <c r="N141" i="5" s="1"/>
  <c r="M152" i="5" l="1"/>
  <c r="N152" i="5" s="1"/>
  <c r="AD137" i="5" l="1"/>
  <c r="E144" i="5"/>
  <c r="E137" i="5" s="1"/>
  <c r="M144" i="5" l="1"/>
  <c r="N144" i="5" s="1"/>
  <c r="AD68" i="5"/>
  <c r="I67" i="5" s="1"/>
  <c r="I66" i="5" s="1"/>
  <c r="G70" i="4" l="1"/>
  <c r="G69" i="4"/>
  <c r="G74" i="4" l="1"/>
  <c r="G73" i="4"/>
  <c r="G46" i="4"/>
  <c r="G45" i="4"/>
  <c r="G42" i="4"/>
  <c r="G39" i="4"/>
  <c r="W31" i="4"/>
  <c r="E31" i="4" l="1"/>
  <c r="F31" i="4" s="1"/>
  <c r="G31" i="4" s="1"/>
  <c r="F83" i="4"/>
  <c r="G83" i="4" s="1"/>
  <c r="F84" i="4" l="1"/>
  <c r="G84" i="4" s="1"/>
  <c r="W65" i="4" l="1"/>
  <c r="F62" i="4"/>
  <c r="G62" i="4" s="1"/>
  <c r="F59" i="4"/>
  <c r="G59" i="4" s="1"/>
  <c r="F56" i="4"/>
  <c r="G56" i="4" s="1"/>
  <c r="F53" i="4"/>
  <c r="G53" i="4" s="1"/>
  <c r="G41" i="4"/>
  <c r="G38" i="4"/>
  <c r="W41" i="4"/>
  <c r="W39" i="4"/>
  <c r="W38" i="4" l="1"/>
  <c r="E39" i="4"/>
  <c r="E38" i="4" s="1"/>
  <c r="E37" i="4" s="1"/>
  <c r="W21" i="4"/>
  <c r="F22" i="4"/>
  <c r="G22" i="4" s="1"/>
  <c r="F41" i="4"/>
  <c r="F42" i="4"/>
  <c r="F76" i="4"/>
  <c r="G76" i="4" s="1"/>
  <c r="F77" i="4"/>
  <c r="G77" i="4" s="1"/>
  <c r="W37" i="4"/>
  <c r="W52" i="4"/>
  <c r="W51" i="4" s="1"/>
  <c r="F52" i="4"/>
  <c r="G52" i="4" s="1"/>
  <c r="F38" i="4" l="1"/>
  <c r="F39" i="4"/>
  <c r="F16" i="4"/>
  <c r="G16" i="4" s="1"/>
  <c r="W15" i="4"/>
  <c r="F48" i="4"/>
  <c r="G48" i="4" s="1"/>
  <c r="F49" i="4"/>
  <c r="G49" i="4" s="1"/>
  <c r="F37" i="4"/>
  <c r="G37" i="4"/>
  <c r="F65" i="4"/>
  <c r="G65" i="4" s="1"/>
  <c r="F66" i="4"/>
  <c r="G66" i="4" s="1"/>
  <c r="W9" i="4" l="1"/>
  <c r="E9" i="4" s="1"/>
  <c r="W83" i="4"/>
  <c r="W76" i="4"/>
  <c r="W74" i="4"/>
  <c r="E74" i="4" s="1"/>
  <c r="E73" i="4" s="1"/>
  <c r="E72" i="4" s="1"/>
  <c r="W70" i="4"/>
  <c r="E70" i="4" s="1"/>
  <c r="E69" i="4" s="1"/>
  <c r="E51" i="4" s="1"/>
  <c r="W48" i="4"/>
  <c r="W24" i="4"/>
  <c r="F74" i="4" l="1"/>
  <c r="F24" i="4"/>
  <c r="G24" i="4" s="1"/>
  <c r="F25" i="4"/>
  <c r="G25" i="4" s="1"/>
  <c r="W45" i="4"/>
  <c r="W69" i="4"/>
  <c r="W73" i="4"/>
  <c r="W72" i="4" s="1"/>
  <c r="W44" i="4"/>
  <c r="F72" i="4" l="1"/>
  <c r="G72" i="4" s="1"/>
  <c r="F73" i="4"/>
  <c r="F70" i="4"/>
  <c r="F46" i="4"/>
  <c r="F9" i="4"/>
  <c r="G9" i="4"/>
  <c r="W7" i="4"/>
  <c r="E7" i="4" s="1"/>
  <c r="W11" i="4" l="1"/>
  <c r="F44" i="4"/>
  <c r="G44" i="4" s="1"/>
  <c r="F45" i="4"/>
  <c r="F51" i="4"/>
  <c r="G51" i="4" s="1"/>
  <c r="F69" i="4"/>
  <c r="F21" i="4"/>
  <c r="G21" i="4" s="1"/>
  <c r="F15" i="4"/>
  <c r="G15" i="4" s="1"/>
  <c r="F12" i="4"/>
  <c r="G12" i="4" s="1"/>
  <c r="F7" i="4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F11" i="4" l="1"/>
  <c r="G11" i="4" s="1"/>
  <c r="F7" i="18"/>
  <c r="AD89" i="5"/>
  <c r="E89" i="5" s="1"/>
  <c r="E100" i="5"/>
  <c r="W29" i="4"/>
  <c r="E29" i="4" s="1"/>
  <c r="E28" i="4" s="1"/>
  <c r="E27" i="4" s="1"/>
  <c r="W28" i="4" l="1"/>
  <c r="F179" i="5"/>
  <c r="G179" i="5"/>
  <c r="H179" i="5"/>
  <c r="I179" i="5"/>
  <c r="J179" i="5"/>
  <c r="K179" i="5"/>
  <c r="L179" i="5"/>
  <c r="AD179" i="5"/>
  <c r="F176" i="5"/>
  <c r="G176" i="5"/>
  <c r="H176" i="5"/>
  <c r="I176" i="5"/>
  <c r="J176" i="5"/>
  <c r="K176" i="5"/>
  <c r="L176" i="5"/>
  <c r="I167" i="5"/>
  <c r="J167" i="5"/>
  <c r="K167" i="5"/>
  <c r="L167" i="5"/>
  <c r="H167" i="5"/>
  <c r="G167" i="5"/>
  <c r="G66" i="5"/>
  <c r="H66" i="5"/>
  <c r="G113" i="5"/>
  <c r="K113" i="5"/>
  <c r="AD123" i="5"/>
  <c r="E123" i="5" s="1"/>
  <c r="G97" i="5"/>
  <c r="G96" i="5" s="1"/>
  <c r="H97" i="5"/>
  <c r="H96" i="5" s="1"/>
  <c r="I97" i="5"/>
  <c r="I96" i="5" s="1"/>
  <c r="J97" i="5"/>
  <c r="J96" i="5" s="1"/>
  <c r="K97" i="5"/>
  <c r="K96" i="5" s="1"/>
  <c r="L97" i="5"/>
  <c r="L96" i="5" s="1"/>
  <c r="AD98" i="5"/>
  <c r="AD67" i="5"/>
  <c r="E67" i="5" s="1"/>
  <c r="G56" i="5"/>
  <c r="H56" i="5"/>
  <c r="I56" i="5"/>
  <c r="J56" i="5"/>
  <c r="L56" i="5"/>
  <c r="AD57" i="5"/>
  <c r="E57" i="5" s="1"/>
  <c r="E98" i="5" l="1"/>
  <c r="M98" i="5" s="1"/>
  <c r="N98" i="5" s="1"/>
  <c r="AD77" i="5"/>
  <c r="E77" i="5" s="1"/>
  <c r="F33" i="4"/>
  <c r="G33" i="4" s="1"/>
  <c r="F34" i="4"/>
  <c r="G34" i="4" s="1"/>
  <c r="W27" i="4"/>
  <c r="K112" i="5"/>
  <c r="G112" i="5"/>
  <c r="AD97" i="5" l="1"/>
  <c r="E106" i="5"/>
  <c r="J66" i="5"/>
  <c r="F97" i="5"/>
  <c r="F96" i="5" s="1"/>
  <c r="F29" i="4"/>
  <c r="I113" i="5" l="1"/>
  <c r="F27" i="4"/>
  <c r="G27" i="4" s="1"/>
  <c r="F28" i="4"/>
  <c r="AD127" i="5"/>
  <c r="E127" i="5" s="1"/>
  <c r="I112" i="5" l="1"/>
  <c r="W6" i="4" l="1"/>
  <c r="W5" i="4" s="1"/>
  <c r="E5" i="4" s="1"/>
  <c r="E4" i="4" s="1"/>
  <c r="W4" i="4" l="1"/>
  <c r="M7" i="5"/>
  <c r="F5" i="4" l="1"/>
  <c r="F4" i="4" s="1"/>
  <c r="G4" i="4" s="1"/>
  <c r="AD167" i="5" l="1"/>
  <c r="AD20" i="5"/>
  <c r="AD15" i="5" s="1"/>
  <c r="AD13" i="5"/>
  <c r="AD131" i="5"/>
  <c r="J130" i="5" s="1"/>
  <c r="J113" i="5" s="1"/>
  <c r="J112" i="5" s="1"/>
  <c r="H12" i="5" l="1"/>
  <c r="H6" i="5" s="1"/>
  <c r="H5" i="5" s="1"/>
  <c r="F12" i="5"/>
  <c r="G12" i="5"/>
  <c r="S28" i="5"/>
  <c r="AD12" i="5"/>
  <c r="J6" i="5"/>
  <c r="J5" i="5" s="1"/>
  <c r="J4" i="5" s="1"/>
  <c r="E61" i="5"/>
  <c r="K56" i="5"/>
  <c r="L113" i="5"/>
  <c r="L112" i="5" s="1"/>
  <c r="M83" i="5"/>
  <c r="N83" i="5" s="1"/>
  <c r="AD130" i="5"/>
  <c r="E130" i="5" s="1"/>
  <c r="E113" i="5" s="1"/>
  <c r="I6" i="5"/>
  <c r="L66" i="5"/>
  <c r="L6" i="5"/>
  <c r="M100" i="5"/>
  <c r="N100" i="5" s="1"/>
  <c r="E93" i="5"/>
  <c r="N7" i="5"/>
  <c r="M123" i="5"/>
  <c r="N123" i="5" s="1"/>
  <c r="AD28" i="5" l="1"/>
  <c r="AD27" i="5" s="1"/>
  <c r="S33" i="5"/>
  <c r="F27" i="5"/>
  <c r="E12" i="5"/>
  <c r="E15" i="5"/>
  <c r="M130" i="5"/>
  <c r="N130" i="5" s="1"/>
  <c r="K66" i="5"/>
  <c r="M93" i="5"/>
  <c r="N93" i="5" s="1"/>
  <c r="AD56" i="5"/>
  <c r="M61" i="5"/>
  <c r="N61" i="5" s="1"/>
  <c r="M50" i="5"/>
  <c r="N50" i="5" s="1"/>
  <c r="I5" i="5"/>
  <c r="I4" i="5" s="1"/>
  <c r="H113" i="5"/>
  <c r="H112" i="5" s="1"/>
  <c r="H4" i="5" s="1"/>
  <c r="L5" i="5"/>
  <c r="L4" i="5" s="1"/>
  <c r="G6" i="5"/>
  <c r="G5" i="5" s="1"/>
  <c r="G4" i="5" s="1"/>
  <c r="M114" i="5"/>
  <c r="N114" i="5" s="1"/>
  <c r="AD113" i="5"/>
  <c r="AD112" i="5" s="1"/>
  <c r="M67" i="5"/>
  <c r="N67" i="5" s="1"/>
  <c r="M106" i="5"/>
  <c r="N106" i="5" s="1"/>
  <c r="E97" i="5"/>
  <c r="E96" i="5" s="1"/>
  <c r="AD96" i="5"/>
  <c r="M89" i="5"/>
  <c r="N89" i="5" s="1"/>
  <c r="K6" i="5"/>
  <c r="M57" i="5"/>
  <c r="N57" i="5" s="1"/>
  <c r="M77" i="5"/>
  <c r="N77" i="5" s="1"/>
  <c r="M127" i="5"/>
  <c r="N127" i="5" s="1"/>
  <c r="M134" i="5"/>
  <c r="N134" i="5" s="1"/>
  <c r="M168" i="5"/>
  <c r="N168" i="5" s="1"/>
  <c r="E167" i="5"/>
  <c r="M137" i="5"/>
  <c r="N137" i="5" s="1"/>
  <c r="M59" i="5"/>
  <c r="N59" i="5" s="1"/>
  <c r="G5" i="4"/>
  <c r="AD33" i="5" l="1"/>
  <c r="S36" i="5"/>
  <c r="K5" i="5"/>
  <c r="K4" i="5" s="1"/>
  <c r="AD66" i="5"/>
  <c r="M12" i="5"/>
  <c r="N12" i="5" s="1"/>
  <c r="M167" i="5"/>
  <c r="N167" i="5" s="1"/>
  <c r="AD176" i="5"/>
  <c r="E112" i="5"/>
  <c r="M96" i="5"/>
  <c r="N96" i="5" s="1"/>
  <c r="M97" i="5"/>
  <c r="N97" i="5" s="1"/>
  <c r="E56" i="5"/>
  <c r="M56" i="5" s="1"/>
  <c r="N56" i="5" s="1"/>
  <c r="M15" i="5"/>
  <c r="N15" i="5" s="1"/>
  <c r="N180" i="5"/>
  <c r="E179" i="5"/>
  <c r="M179" i="5" s="1"/>
  <c r="N179" i="5" s="1"/>
  <c r="S42" i="5" l="1"/>
  <c r="AD36" i="5"/>
  <c r="AD32" i="5"/>
  <c r="E27" i="5"/>
  <c r="M27" i="5" s="1"/>
  <c r="N27" i="5" s="1"/>
  <c r="M113" i="5"/>
  <c r="N113" i="5" s="1"/>
  <c r="M177" i="5"/>
  <c r="N177" i="5" s="1"/>
  <c r="E176" i="5"/>
  <c r="M176" i="5" s="1"/>
  <c r="N176" i="5" s="1"/>
  <c r="M70" i="5"/>
  <c r="N70" i="5" s="1"/>
  <c r="E66" i="5"/>
  <c r="M66" i="5" s="1"/>
  <c r="N66" i="5" s="1"/>
  <c r="S39" i="5" l="1"/>
  <c r="AD39" i="5" s="1"/>
  <c r="AD35" i="5"/>
  <c r="AD42" i="5"/>
  <c r="AD41" i="5" s="1"/>
  <c r="S45" i="5"/>
  <c r="AD45" i="5" s="1"/>
  <c r="AD44" i="5" s="1"/>
  <c r="M112" i="5"/>
  <c r="N112" i="5" s="1"/>
  <c r="AD38" i="5" l="1"/>
  <c r="AD30" i="5" s="1"/>
  <c r="E30" i="5" s="1"/>
  <c r="M30" i="5" s="1"/>
  <c r="N30" i="5" s="1"/>
  <c r="F30" i="5"/>
  <c r="F6" i="5" s="1"/>
  <c r="F5" i="5" s="1"/>
  <c r="F4" i="5" s="1"/>
  <c r="E6" i="5" l="1"/>
  <c r="E5" i="5" s="1"/>
  <c r="AD6" i="5"/>
  <c r="AD5" i="5" s="1"/>
  <c r="AD4" i="5" s="1"/>
  <c r="M5" i="5" l="1"/>
  <c r="N5" i="5" s="1"/>
  <c r="E4" i="5"/>
  <c r="M4" i="5" s="1"/>
  <c r="N4" i="5" s="1"/>
  <c r="M6" i="5"/>
  <c r="N6" i="5" s="1"/>
</calcChain>
</file>

<file path=xl/comments1.xml><?xml version="1.0" encoding="utf-8"?>
<comments xmlns="http://schemas.openxmlformats.org/spreadsheetml/2006/main">
  <authors>
    <author>ADMIN</author>
  </authors>
  <commentList>
    <comment ref="AB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<sst xmlns="http://schemas.openxmlformats.org/spreadsheetml/2006/main" count="1087" uniqueCount="495">
  <si>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</si>
  <si>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</si>
  <si>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</si>
  <si>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</si>
  <si>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</si>
  <si>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</si>
  <si>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</si>
  <si>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</si>
  <si>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</si>
  <si>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</si>
  <si>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</si>
  <si>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</si>
  <si>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</si>
  <si>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</si>
  <si>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</si>
  <si>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</si>
  <si>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</si>
  <si>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</si>
  <si>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</si>
  <si>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</si>
  <si>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</si>
  <si>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</si>
  <si>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</si>
  <si>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</si>
  <si>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</si>
  <si>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</si>
  <si>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</si>
  <si>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</si>
  <si>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</si>
  <si>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</si>
  <si>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</si>
  <si>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</si>
  <si>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</si>
  <si>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</si>
  <si>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</si>
  <si>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</si>
  <si>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</si>
  <si>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</si>
  <si>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</si>
  <si>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</si>
  <si>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</si>
  <si>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</si>
  <si>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</si>
  <si>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</si>
  <si>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</si>
  <si>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</si>
  <si>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</si>
  <si>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</si>
  <si>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</si>
  <si>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</si>
  <si>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</si>
  <si>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</si>
  <si>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</si>
  <si>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</si>
  <si>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</si>
  <si>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</si>
  <si>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</si>
  <si>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</si>
  <si>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</si>
  <si>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</si>
  <si>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</si>
  <si>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</si>
  <si>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</si>
  <si>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>후원금</t>
    <phoneticPr fontId="8" type="noConversion"/>
  </si>
  <si>
    <t>잡수입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</si>
  <si>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</si>
  <si>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</si>
  <si>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</si>
  <si>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</si>
  <si>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</si>
  <si>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</si>
  <si>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</si>
  <si>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</si>
  <si>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</si>
  <si>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</si>
  <si>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</si>
  <si>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</si>
  <si>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</si>
  <si>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</si>
  <si>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</si>
  <si>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</si>
  <si>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</si>
  <si>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</si>
  <si>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</si>
  <si>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</si>
  <si>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</si>
  <si>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</si>
  <si>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</si>
  <si>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</si>
  <si>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</si>
  <si>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</si>
  <si>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</si>
  <si>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</si>
  <si>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</si>
  <si>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</si>
  <si>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</si>
  <si>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</si>
  <si>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</si>
  <si>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</si>
  <si>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</si>
  <si>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</si>
  <si>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</si>
  <si>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</si>
  <si>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</si>
  <si>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</si>
  <si>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</si>
  <si>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</si>
  <si>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</si>
  <si>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</si>
  <si>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</si>
  <si>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</si>
  <si>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</si>
  <si>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</si>
  <si>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</si>
  <si>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</si>
  <si>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</si>
  <si>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</si>
  <si>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</si>
  <si>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</si>
  <si>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</si>
  <si>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</si>
  <si>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</si>
  <si>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</si>
  <si>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</si>
  <si>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</si>
  <si>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</si>
  <si>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8" type="noConversion"/>
  </si>
  <si>
    <t>입소자
부담금</t>
    <phoneticPr fontId="8" type="noConversion"/>
  </si>
  <si>
    <t>비  용</t>
  </si>
  <si>
    <t>법인
전입금</t>
    <phoneticPr fontId="8" type="noConversion"/>
  </si>
  <si>
    <t>입   소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</si>
  <si>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</si>
  <si>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</si>
  <si>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</si>
  <si>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</si>
  <si>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</si>
  <si>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</si>
  <si>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</si>
  <si>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</si>
  <si>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</si>
  <si>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</si>
  <si>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</si>
  <si>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</si>
  <si>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</si>
  <si>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</si>
  <si>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</si>
  <si>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</si>
  <si>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</si>
  <si>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</si>
  <si>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</si>
  <si>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</si>
  <si>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</si>
  <si>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</si>
  <si>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</si>
  <si>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</si>
  <si>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</si>
  <si>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</si>
  <si>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</si>
  <si>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</si>
  <si>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유지비</t>
    <phoneticPr fontId="8" type="noConversion"/>
  </si>
  <si>
    <t>보조금반환</t>
    <phoneticPr fontId="2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</si>
  <si>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</si>
  <si>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</si>
  <si>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</si>
  <si>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</si>
  <si>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</si>
  <si>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</si>
  <si>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</si>
  <si>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</si>
  <si>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</si>
  <si>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</si>
  <si>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</si>
  <si>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</si>
  <si>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</si>
  <si>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</si>
  <si>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</si>
  <si>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</si>
  <si>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</si>
  <si>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</si>
  <si>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</si>
  <si>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</si>
  <si>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</si>
  <si>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</si>
  <si>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</si>
  <si>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</si>
  <si>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</si>
  <si>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</si>
  <si>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</si>
  <si>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</si>
  <si>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</si>
  <si>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</si>
  <si>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</si>
  <si>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</si>
  <si>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</si>
  <si>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</si>
  <si>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</si>
  <si>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</si>
  <si>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</si>
  <si>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</si>
  <si>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</si>
  <si>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</si>
  <si>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</si>
  <si>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&lt;기타 차입금&gt;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</si>
  <si>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</si>
  <si>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</si>
  <si>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</si>
  <si>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</si>
  <si>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</si>
  <si>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</si>
  <si>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</si>
  <si>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</si>
  <si>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</si>
  <si>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</si>
  <si>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</si>
  <si>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</si>
  <si>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</si>
  <si>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</si>
  <si>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</si>
  <si>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</si>
  <si>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</si>
  <si>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</si>
  <si>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</si>
  <si>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</si>
  <si>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</si>
  <si>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</si>
  <si>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</si>
  <si>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</si>
  <si>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</si>
  <si>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</si>
  <si>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</si>
  <si>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</si>
  <si>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</si>
  <si>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</si>
  <si>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</si>
  <si>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</si>
  <si>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</si>
  <si>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</si>
  <si>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</si>
  <si>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</si>
  <si>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</si>
  <si>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</si>
  <si>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</si>
  <si>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</si>
  <si>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</si>
  <si>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</si>
  <si>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</si>
  <si>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</si>
  <si>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</si>
  <si>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</si>
  <si>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</si>
  <si>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</si>
  <si>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</si>
  <si>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</si>
  <si>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</si>
  <si>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</si>
  <si>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</si>
  <si>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</si>
  <si>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</si>
  <si>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</si>
  <si>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</si>
  <si>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잡수입이월액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</si>
  <si>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</si>
  <si>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</si>
  <si>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</si>
  <si>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</si>
  <si>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</si>
  <si>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</si>
  <si>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</si>
  <si>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</si>
  <si>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입소</t>
    <phoneticPr fontId="8" type="noConversion"/>
  </si>
  <si>
    <t>×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</si>
  <si>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</si>
  <si>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</si>
  <si>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</si>
  <si>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</si>
  <si>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원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</si>
  <si>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</si>
  <si>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</si>
  <si>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</si>
  <si>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</si>
  <si>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</si>
  <si>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원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</si>
  <si>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</si>
  <si>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</si>
  <si>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</si>
  <si>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</si>
  <si>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</si>
  <si>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</si>
  <si>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</si>
  <si>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소계</t>
    <phoneticPr fontId="8" type="noConversion"/>
  </si>
  <si>
    <t>(단위:원)</t>
    <phoneticPr fontId="28" type="noConversion"/>
  </si>
  <si>
    <t>&lt;비지정후원금&gt;</t>
    <phoneticPr fontId="8" type="noConversion"/>
  </si>
  <si>
    <t>후원</t>
    <phoneticPr fontId="8" type="noConversion"/>
  </si>
  <si>
    <t>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</si>
  <si>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</si>
  <si>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</si>
  <si>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</si>
  <si>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보조금</t>
    <phoneticPr fontId="8" type="noConversion"/>
  </si>
  <si>
    <t>* 환경개선사업비(7종)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</si>
  <si>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</si>
  <si>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</si>
  <si>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>(후원)</t>
    <phoneticPr fontId="8" type="noConversion"/>
  </si>
  <si>
    <t>합계:</t>
    <phoneticPr fontId="8" type="noConversion"/>
  </si>
  <si>
    <t>※ 예금이자수입</t>
    <phoneticPr fontId="8" type="noConversion"/>
  </si>
  <si>
    <t>1. 보조금 이자수입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</si>
  <si>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</si>
  <si>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</si>
  <si>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</si>
  <si>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* 사회재활교사(김민제)</t>
    <phoneticPr fontId="8" type="noConversion"/>
  </si>
  <si>
    <t>* 사회재활교사(김민제)</t>
    <phoneticPr fontId="8" type="noConversion"/>
  </si>
  <si>
    <t>보조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</si>
  <si>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</si>
  <si>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</si>
  <si>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</si>
  <si>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</si>
  <si>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</si>
  <si>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</si>
  <si>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</si>
  <si>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보조금(7종)</t>
    <phoneticPr fontId="8" type="noConversion"/>
  </si>
  <si>
    <t>보조금
(시비)</t>
    <phoneticPr fontId="8" type="noConversion"/>
  </si>
  <si>
    <t>후원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</si>
  <si>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</si>
  <si>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</si>
  <si>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</si>
  <si>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</si>
  <si>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</si>
  <si>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</si>
  <si>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</si>
  <si>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</si>
  <si>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</si>
  <si>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</si>
  <si>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</si>
  <si>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</si>
  <si>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정기검사/ 차량수리 및 정비비</t>
    <phoneticPr fontId="8" type="noConversion"/>
  </si>
  <si>
    <t>* 기타 시설물 관리유지비</t>
    <phoneticPr fontId="8" type="noConversion"/>
  </si>
  <si>
    <t>* 월동대책비(김장)</t>
    <phoneticPr fontId="8" type="noConversion"/>
  </si>
  <si>
    <t>원</t>
    <phoneticPr fontId="8" type="noConversion"/>
  </si>
  <si>
    <t>잡수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</si>
  <si>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</si>
  <si>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</si>
  <si>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</si>
  <si>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</si>
  <si>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</si>
  <si>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</si>
  <si>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</si>
  <si>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교육지원</t>
    <phoneticPr fontId="8" type="noConversion"/>
  </si>
  <si>
    <t>* 성교육</t>
    <phoneticPr fontId="8" type="noConversion"/>
  </si>
  <si>
    <t>자치회의</t>
    <phoneticPr fontId="8" type="noConversion"/>
  </si>
  <si>
    <t>* 자치회의</t>
    <phoneticPr fontId="8" type="noConversion"/>
  </si>
  <si>
    <t>* 여름캠프</t>
    <phoneticPr fontId="8" type="noConversion"/>
  </si>
  <si>
    <t>문화생활</t>
    <phoneticPr fontId="8" type="noConversion"/>
  </si>
  <si>
    <t>운동지원</t>
    <phoneticPr fontId="8" type="noConversion"/>
  </si>
  <si>
    <t>* 등산프로그램</t>
    <phoneticPr fontId="8" type="noConversion"/>
  </si>
  <si>
    <t>* 송년회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</si>
  <si>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</si>
  <si>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</si>
  <si>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</si>
  <si>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</si>
  <si>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</si>
  <si>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</si>
  <si>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보조</t>
    <phoneticPr fontId="8" type="noConversion"/>
  </si>
  <si>
    <t>* 후원금 예금이자</t>
    <phoneticPr fontId="8" type="noConversion"/>
  </si>
  <si>
    <t>* 잡수입 예금이자</t>
    <phoneticPr fontId="8" type="noConversion"/>
  </si>
  <si>
    <t>* 주민세 등 기타 공과금</t>
    <phoneticPr fontId="8" type="noConversion"/>
  </si>
  <si>
    <t>기타 보조금</t>
    <phoneticPr fontId="28" type="noConversion"/>
  </si>
  <si>
    <t xml:space="preserve"> &lt;기타 보조금 합계&gt;</t>
    <phoneticPr fontId="8" type="noConversion"/>
  </si>
  <si>
    <t>* 특수건강검진</t>
    <phoneticPr fontId="8" type="noConversion"/>
  </si>
  <si>
    <t>원</t>
    <phoneticPr fontId="8" type="noConversion"/>
  </si>
  <si>
    <t>* 후원금 체크카드 환급액</t>
    <phoneticPr fontId="8" type="noConversion"/>
  </si>
  <si>
    <t>원</t>
    <phoneticPr fontId="8" type="noConversion"/>
  </si>
  <si>
    <t>* 입소비용 예금이자</t>
    <phoneticPr fontId="8" type="noConversion"/>
  </si>
  <si>
    <t>* 입소비용 체크카드 환급액</t>
    <phoneticPr fontId="8" type="noConversion"/>
  </si>
  <si>
    <t>* 잡수입 체크카드 환급액</t>
    <phoneticPr fontId="8" type="noConversion"/>
  </si>
  <si>
    <t>2. 입소비용 이자수입</t>
    <phoneticPr fontId="8" type="noConversion"/>
  </si>
  <si>
    <t>3. 잡수입 이자수입</t>
    <phoneticPr fontId="8" type="noConversion"/>
  </si>
  <si>
    <t>4. 후원금 이자수입</t>
    <phoneticPr fontId="8" type="noConversion"/>
  </si>
  <si>
    <t>월</t>
    <phoneticPr fontId="8" type="noConversion"/>
  </si>
  <si>
    <t>* 정수기 대여료 및 수질검사 등</t>
    <phoneticPr fontId="8" type="noConversion"/>
  </si>
  <si>
    <t>회</t>
    <phoneticPr fontId="8" type="noConversion"/>
  </si>
  <si>
    <t>* 생활용품구입비(비누,치약, 화장지 등)</t>
    <phoneticPr fontId="8" type="noConversion"/>
  </si>
  <si>
    <t>* 환경개선사업(7종)</t>
    <phoneticPr fontId="8" type="noConversion"/>
  </si>
  <si>
    <t>원</t>
    <phoneticPr fontId="8" type="noConversion"/>
  </si>
  <si>
    <t>입소</t>
    <phoneticPr fontId="8" type="noConversion"/>
  </si>
  <si>
    <t>회</t>
    <phoneticPr fontId="8" type="noConversion"/>
  </si>
  <si>
    <t>* 영화관람</t>
    <phoneticPr fontId="8" type="noConversion"/>
  </si>
  <si>
    <t>* 스포츠관람</t>
    <phoneticPr fontId="8" type="noConversion"/>
  </si>
  <si>
    <t>회</t>
    <phoneticPr fontId="8" type="noConversion"/>
  </si>
  <si>
    <t>=</t>
    <phoneticPr fontId="8" type="noConversion"/>
  </si>
  <si>
    <t>입소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</si>
  <si>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</si>
  <si>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</si>
  <si>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</si>
  <si>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* 회의 다과비</t>
    <phoneticPr fontId="8" type="noConversion"/>
  </si>
  <si>
    <t>* 우편물발송료 등 기타 공공요금</t>
    <phoneticPr fontId="8" type="noConversion"/>
  </si>
  <si>
    <t>* 운영위원회 참석수당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</si>
  <si>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</si>
  <si>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</si>
  <si>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</si>
  <si>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입소</t>
    <phoneticPr fontId="8" type="noConversion"/>
  </si>
  <si>
    <t>7종</t>
    <phoneticPr fontId="8" type="noConversion"/>
  </si>
  <si>
    <t>보조</t>
    <phoneticPr fontId="8" type="noConversion"/>
  </si>
  <si>
    <t>7종</t>
    <phoneticPr fontId="8" type="noConversion"/>
  </si>
  <si>
    <t>시비</t>
    <phoneticPr fontId="8" type="noConversion"/>
  </si>
  <si>
    <t>시비</t>
    <phoneticPr fontId="8" type="noConversion"/>
  </si>
  <si>
    <t>입소</t>
    <phoneticPr fontId="8" type="noConversion"/>
  </si>
  <si>
    <t>후원</t>
    <phoneticPr fontId="8" type="noConversion"/>
  </si>
  <si>
    <t>후원</t>
    <phoneticPr fontId="8" type="noConversion"/>
  </si>
  <si>
    <t>잡수</t>
    <phoneticPr fontId="8" type="noConversion"/>
  </si>
  <si>
    <t>잡수</t>
    <phoneticPr fontId="8" type="noConversion"/>
  </si>
  <si>
    <t>입소</t>
    <phoneticPr fontId="8" type="noConversion"/>
  </si>
  <si>
    <t>5호봉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</si>
  <si>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</si>
  <si>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</si>
  <si>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</si>
  <si>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÷</t>
    <phoneticPr fontId="8" type="noConversion"/>
  </si>
  <si>
    <t>월</t>
    <phoneticPr fontId="8" type="noConversion"/>
  </si>
  <si>
    <t>=</t>
    <phoneticPr fontId="8" type="noConversion"/>
  </si>
  <si>
    <t>보조</t>
    <phoneticPr fontId="8" type="noConversion"/>
  </si>
  <si>
    <t>* 마라톤프로그램</t>
    <phoneticPr fontId="8" type="noConversion"/>
  </si>
  <si>
    <t>입소</t>
    <phoneticPr fontId="8" type="noConversion"/>
  </si>
  <si>
    <t>입소</t>
    <phoneticPr fontId="8" type="noConversion"/>
  </si>
  <si>
    <t>보조금(도비)</t>
    <phoneticPr fontId="8" type="noConversion"/>
  </si>
  <si>
    <t>* 피복비(이용인 피복, 이불, 베게 등)</t>
    <phoneticPr fontId="8" type="noConversion"/>
  </si>
  <si>
    <t>시비</t>
    <phoneticPr fontId="8" type="noConversion"/>
  </si>
  <si>
    <t>* 인건비 지원금</t>
    <phoneticPr fontId="8" type="noConversion"/>
  </si>
  <si>
    <t>명</t>
    <phoneticPr fontId="8" type="noConversion"/>
  </si>
  <si>
    <t>=</t>
    <phoneticPr fontId="8" type="noConversion"/>
  </si>
  <si>
    <t>원</t>
    <phoneticPr fontId="8" type="noConversion"/>
  </si>
  <si>
    <t>보조</t>
    <phoneticPr fontId="8" type="noConversion"/>
  </si>
  <si>
    <t>후원</t>
    <phoneticPr fontId="8" type="noConversion"/>
  </si>
  <si>
    <t>원</t>
    <phoneticPr fontId="8" type="noConversion"/>
  </si>
  <si>
    <t>5호봉</t>
    <phoneticPr fontId="8" type="noConversion"/>
  </si>
  <si>
    <t>6호봉</t>
    <phoneticPr fontId="8" type="noConversion"/>
  </si>
  <si>
    <t>6호봉</t>
    <phoneticPr fontId="8" type="noConversion"/>
  </si>
  <si>
    <t>5호봉</t>
    <phoneticPr fontId="8" type="noConversion"/>
  </si>
  <si>
    <t>6호봉</t>
    <phoneticPr fontId="8" type="noConversion"/>
  </si>
  <si>
    <t>회</t>
  </si>
  <si>
    <t>회</t>
    <phoneticPr fontId="8" type="noConversion"/>
  </si>
  <si>
    <t>* 부활나눔</t>
    <phoneticPr fontId="8" type="noConversion"/>
  </si>
  <si>
    <t>입소</t>
  </si>
  <si>
    <t>* 화성행궁</t>
    <phoneticPr fontId="8" type="noConversion"/>
  </si>
  <si>
    <t>원</t>
    <phoneticPr fontId="8" type="noConversion"/>
  </si>
  <si>
    <t>나들이</t>
    <phoneticPr fontId="8" type="noConversion"/>
  </si>
  <si>
    <t>* 월미도나들이</t>
    <phoneticPr fontId="8" type="noConversion"/>
  </si>
  <si>
    <t>1. 입소비용 체크카드환급액</t>
    <phoneticPr fontId="8" type="noConversion"/>
  </si>
  <si>
    <t>2. 잡수입 체크카드환급금</t>
    <phoneticPr fontId="8" type="noConversion"/>
  </si>
  <si>
    <t>3. 후원금 체크카드환급금</t>
    <phoneticPr fontId="8" type="noConversion"/>
  </si>
  <si>
    <t>후원</t>
    <phoneticPr fontId="8" type="noConversion"/>
  </si>
  <si>
    <t>* 찜질방</t>
    <phoneticPr fontId="8" type="noConversion"/>
  </si>
  <si>
    <t>※ 체크카드환급 및 직원급식비</t>
    <phoneticPr fontId="8" type="noConversion"/>
  </si>
  <si>
    <t>합  계 :</t>
  </si>
  <si>
    <t>1.국민연금부담금</t>
  </si>
  <si>
    <t>합    계 :</t>
  </si>
  <si>
    <t>÷</t>
  </si>
  <si>
    <t>보조</t>
  </si>
  <si>
    <t>2.국민건강보험부담금</t>
  </si>
  <si>
    <t xml:space="preserve"> </t>
  </si>
  <si>
    <t>3.장기요양보험부담금</t>
  </si>
  <si>
    <t>4.고용보험부담금</t>
  </si>
  <si>
    <t>5.산업재해보험부담금</t>
  </si>
  <si>
    <t>6. 사회보험부담금(정산보험)</t>
  </si>
  <si>
    <t>후원</t>
  </si>
  <si>
    <t>월</t>
    <phoneticPr fontId="8" type="noConversion"/>
  </si>
  <si>
    <t>월</t>
    <phoneticPr fontId="8" type="noConversion"/>
  </si>
  <si>
    <t>* 주부식비(부식)</t>
    <phoneticPr fontId="8" type="noConversion"/>
  </si>
  <si>
    <t>* 주부식비(부식)</t>
    <phoneticPr fontId="8" type="noConversion"/>
  </si>
  <si>
    <t>* 주부식비(직원급식)</t>
    <phoneticPr fontId="8" type="noConversion"/>
  </si>
  <si>
    <t>잡수</t>
    <phoneticPr fontId="8" type="noConversion"/>
  </si>
  <si>
    <t>월</t>
    <phoneticPr fontId="8" type="noConversion"/>
  </si>
  <si>
    <t>월</t>
    <phoneticPr fontId="8" type="noConversion"/>
  </si>
  <si>
    <t>법인</t>
    <phoneticPr fontId="8" type="noConversion"/>
  </si>
  <si>
    <t>입소</t>
    <phoneticPr fontId="8" type="noConversion"/>
  </si>
  <si>
    <t>월</t>
    <phoneticPr fontId="8" type="noConversion"/>
  </si>
  <si>
    <t>* 해외여행</t>
    <phoneticPr fontId="8" type="noConversion"/>
  </si>
  <si>
    <t>후원</t>
    <phoneticPr fontId="8" type="noConversion"/>
  </si>
  <si>
    <t>4. 직원 급식비</t>
    <phoneticPr fontId="8" type="noConversion"/>
  </si>
  <si>
    <t>&lt;몬띠의 집 2019년도 1차추경예산 세입내역&gt;</t>
    <phoneticPr fontId="8" type="noConversion"/>
  </si>
  <si>
    <t>2019년
본예산(A)
(단위:천원)</t>
    <phoneticPr fontId="8" type="noConversion"/>
  </si>
  <si>
    <t>2019년
1차추경예산(B)
(단위:천원)</t>
    <phoneticPr fontId="8" type="noConversion"/>
  </si>
  <si>
    <t>2019년 본예산</t>
  </si>
  <si>
    <t>2019년 1차추경예산</t>
    <phoneticPr fontId="28" type="noConversion"/>
  </si>
  <si>
    <t>□ 2019년도 1차추경예산 세 입 · 세 출 총  괄  표</t>
    <phoneticPr fontId="28" type="noConversion"/>
  </si>
  <si>
    <t>2019년 1차추경예산</t>
    <phoneticPr fontId="28" type="noConversion"/>
  </si>
  <si>
    <t>&lt;몬띠의 집 2019년도 1차추경예산 세출내역&gt;</t>
    <phoneticPr fontId="8" type="noConversion"/>
  </si>
  <si>
    <t>2019년 1차추경예산액(B)(단위:천원)</t>
    <phoneticPr fontId="8" type="noConversion"/>
  </si>
  <si>
    <t>2019년
본예산(A)
(단위:천원)</t>
    <phoneticPr fontId="8" type="noConversion"/>
  </si>
  <si>
    <t>* 직원 축일 및 생일 축하 문화상품권</t>
  </si>
  <si>
    <t>* 명절(설, 추석) 선물</t>
    <phoneticPr fontId="8" type="noConversion"/>
  </si>
  <si>
    <t>회</t>
    <phoneticPr fontId="8" type="noConversion"/>
  </si>
  <si>
    <t>* 환경개선사업(7종) 의류건조기, 김치냉장고 교체</t>
    <phoneticPr fontId="8" type="noConversion"/>
  </si>
  <si>
    <t>* 기타 시설물 관리유지비(세탁실단열공사, 주방개수대배관동파방지공사 등)</t>
    <phoneticPr fontId="8" type="noConversion"/>
  </si>
  <si>
    <t>사업</t>
    <phoneticPr fontId="8" type="noConversion"/>
  </si>
  <si>
    <t>원</t>
    <phoneticPr fontId="8" type="noConversion"/>
  </si>
  <si>
    <t>* 이용인 직장 방문</t>
    <phoneticPr fontId="8" type="noConversion"/>
  </si>
  <si>
    <t>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</si>
</sst>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%"/>
    <numFmt numFmtId="188" formatCode="#,##0_ ;[Red]\-#,##0\ "/>
    <numFmt numFmtId="189" formatCode="#,##0.0;[Red]#,##0.0"/>
    <numFmt numFmtId="190" formatCode="#,##0&quot;×&quot;;\-#,##0&quot;원×&quot;"/>
    <numFmt numFmtId="191" formatCode="#,##0&quot;월&quot;;\-#,##0&quot;월&quot;"/>
    <numFmt numFmtId="192" formatCode="#,##0&quot;h×&quot;;\-#,##0&quot;h×&quot;"/>
    <numFmt numFmtId="193" formatCode="#,##0&quot;회&quot;;[Red]#,##0"/>
    <numFmt numFmtId="194" formatCode="#,##0&quot;명&quot;;[Red]#,##0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78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horizontal="right"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2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3" xfId="3" applyFont="1" applyFill="1" applyBorder="1" applyAlignment="1">
      <alignment vertical="center"/>
    </xf>
    <xf numFmtId="176" fontId="17" fillId="0" borderId="43" xfId="3" applyNumberFormat="1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horizontal="right" vertical="center"/>
    </xf>
    <xf numFmtId="9" fontId="9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2" xfId="3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4" xfId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horizontal="center" vertical="center"/>
    </xf>
    <xf numFmtId="0" fontId="34" fillId="0" borderId="52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2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3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8" fontId="18" fillId="0" borderId="43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188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3" xfId="3" applyFont="1" applyFill="1" applyBorder="1" applyAlignment="1">
      <alignment vertical="center"/>
    </xf>
    <xf numFmtId="176" fontId="34" fillId="0" borderId="43" xfId="3" applyNumberFormat="1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horizontal="right" vertical="center"/>
    </xf>
    <xf numFmtId="176" fontId="41" fillId="0" borderId="53" xfId="3" applyNumberFormat="1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6" fontId="24" fillId="0" borderId="0" xfId="1" applyNumberFormat="1" applyFont="1" applyFill="1" applyBorder="1" applyAlignment="1">
      <alignment horizontal="center"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41" fontId="24" fillId="0" borderId="0" xfId="2" applyNumberFormat="1" applyFont="1" applyFill="1" applyBorder="1" applyAlignment="1">
      <alignment horizontal="left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182" fontId="43" fillId="0" borderId="12" xfId="8" applyNumberFormat="1" applyFont="1" applyBorder="1" applyAlignment="1">
      <alignment vertical="center"/>
    </xf>
    <xf numFmtId="0" fontId="44" fillId="0" borderId="11" xfId="7" applyFont="1" applyBorder="1" applyAlignment="1">
      <alignment horizontal="center" vertical="center"/>
    </xf>
    <xf numFmtId="41" fontId="45" fillId="0" borderId="11" xfId="8" applyFont="1" applyBorder="1" applyAlignment="1">
      <alignment vertical="center"/>
    </xf>
    <xf numFmtId="182" fontId="45" fillId="0" borderId="36" xfId="8" applyNumberFormat="1" applyFont="1" applyBorder="1" applyAlignment="1">
      <alignment vertical="center"/>
    </xf>
    <xf numFmtId="0" fontId="44" fillId="0" borderId="20" xfId="7" applyFont="1" applyBorder="1" applyAlignment="1">
      <alignment horizontal="center" vertical="center"/>
    </xf>
    <xf numFmtId="41" fontId="45" fillId="0" borderId="20" xfId="8" applyFont="1" applyBorder="1">
      <alignment vertical="center"/>
    </xf>
    <xf numFmtId="182" fontId="45" fillId="0" borderId="41" xfId="8" applyNumberFormat="1" applyFont="1" applyBorder="1">
      <alignment vertical="center"/>
    </xf>
    <xf numFmtId="182" fontId="45" fillId="0" borderId="12" xfId="8" applyNumberFormat="1" applyFont="1" applyBorder="1" applyAlignment="1">
      <alignment vertical="center"/>
    </xf>
    <xf numFmtId="182" fontId="45" fillId="0" borderId="18" xfId="8" applyNumberFormat="1" applyFont="1" applyBorder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2" xfId="3" applyNumberFormat="1" applyFont="1" applyFill="1" applyBorder="1" applyAlignment="1">
      <alignment vertical="center"/>
    </xf>
    <xf numFmtId="176" fontId="26" fillId="0" borderId="52" xfId="3" applyNumberFormat="1" applyFont="1" applyFill="1" applyBorder="1" applyAlignment="1">
      <alignment horizontal="right" vertical="center"/>
    </xf>
    <xf numFmtId="176" fontId="26" fillId="0" borderId="53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178" fontId="31" fillId="0" borderId="1" xfId="3" applyNumberFormat="1" applyFont="1" applyFill="1" applyBorder="1" applyAlignment="1">
      <alignment vertical="center"/>
    </xf>
    <xf numFmtId="177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6" fontId="32" fillId="0" borderId="31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3" fontId="24" fillId="0" borderId="0" xfId="3" applyNumberFormat="1" applyFont="1" applyFill="1" applyBorder="1" applyAlignment="1">
      <alignment horizontal="center" vertical="center"/>
    </xf>
    <xf numFmtId="184" fontId="24" fillId="0" borderId="0" xfId="3" applyNumberFormat="1" applyFont="1" applyFill="1" applyBorder="1" applyAlignment="1">
      <alignment vertical="center"/>
    </xf>
    <xf numFmtId="185" fontId="24" fillId="0" borderId="0" xfId="1" applyNumberFormat="1" applyFont="1" applyFill="1" applyBorder="1" applyAlignment="1">
      <alignment horizontal="center" vertical="center"/>
    </xf>
    <xf numFmtId="41" fontId="46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4" fillId="0" borderId="0" xfId="1" applyNumberFormat="1" applyFont="1" applyFill="1" applyBorder="1" applyAlignment="1">
      <alignment horizontal="center" vertical="center"/>
    </xf>
    <xf numFmtId="190" fontId="24" fillId="0" borderId="0" xfId="3" applyNumberFormat="1" applyFont="1" applyFill="1" applyBorder="1" applyAlignment="1">
      <alignment horizontal="left" vertical="center"/>
    </xf>
    <xf numFmtId="189" fontId="24" fillId="0" borderId="0" xfId="3" applyNumberFormat="1" applyFont="1" applyFill="1" applyBorder="1" applyAlignment="1">
      <alignment vertical="center"/>
    </xf>
    <xf numFmtId="191" fontId="24" fillId="0" borderId="0" xfId="3" applyNumberFormat="1" applyFont="1" applyFill="1" applyBorder="1" applyAlignment="1">
      <alignment vertical="center"/>
    </xf>
    <xf numFmtId="192" fontId="24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0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5" xfId="7" applyBorder="1" applyAlignment="1">
      <alignment vertical="center"/>
    </xf>
    <xf numFmtId="0" fontId="5" fillId="0" borderId="13" xfId="7" applyBorder="1" applyAlignment="1">
      <alignment vertical="center"/>
    </xf>
    <xf numFmtId="0" fontId="41" fillId="0" borderId="52" xfId="3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horizontal="right" vertical="center"/>
    </xf>
    <xf numFmtId="176" fontId="35" fillId="0" borderId="31" xfId="3" applyNumberFormat="1" applyFont="1" applyFill="1" applyBorder="1" applyAlignment="1">
      <alignment vertical="center"/>
    </xf>
    <xf numFmtId="0" fontId="26" fillId="0" borderId="52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vertical="center"/>
    </xf>
    <xf numFmtId="194" fontId="26" fillId="0" borderId="0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horizontal="center" vertical="center"/>
    </xf>
    <xf numFmtId="176" fontId="35" fillId="0" borderId="52" xfId="3" applyNumberFormat="1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left" vertical="center"/>
    </xf>
    <xf numFmtId="41" fontId="45" fillId="0" borderId="20" xfId="8" applyNumberFormat="1" applyFont="1" applyBorder="1">
      <alignment vertical="center"/>
    </xf>
    <xf numFmtId="41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41" fontId="26" fillId="0" borderId="0" xfId="2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 vertical="center"/>
    </xf>
    <xf numFmtId="0" fontId="24" fillId="0" borderId="0" xfId="3" applyNumberFormat="1" applyFont="1" applyFill="1" applyBorder="1" applyAlignment="1">
      <alignment vertical="center"/>
    </xf>
    <xf numFmtId="41" fontId="34" fillId="2" borderId="8" xfId="0" applyNumberFormat="1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30" xfId="3" applyFont="1" applyFill="1" applyBorder="1" applyAlignment="1">
      <alignment vertical="center"/>
    </xf>
    <xf numFmtId="0" fontId="24" fillId="0" borderId="30" xfId="3" applyFont="1" applyFill="1" applyBorder="1" applyAlignment="1">
      <alignment vertical="center" wrapText="1"/>
    </xf>
    <xf numFmtId="0" fontId="24" fillId="0" borderId="14" xfId="0" applyFont="1" applyFill="1" applyBorder="1">
      <alignment vertical="center"/>
    </xf>
    <xf numFmtId="176" fontId="50" fillId="0" borderId="0" xfId="3" applyNumberFormat="1" applyFont="1" applyFill="1" applyBorder="1" applyAlignment="1">
      <alignment vertical="center"/>
    </xf>
    <xf numFmtId="41" fontId="10" fillId="0" borderId="20" xfId="8" applyFont="1" applyBorder="1">
      <alignment vertical="center"/>
    </xf>
    <xf numFmtId="176" fontId="26" fillId="0" borderId="1" xfId="0" applyNumberFormat="1" applyFont="1" applyFill="1" applyBorder="1" applyAlignment="1">
      <alignment vertical="center"/>
    </xf>
    <xf numFmtId="38" fontId="26" fillId="0" borderId="27" xfId="3" applyNumberFormat="1" applyFont="1" applyFill="1" applyBorder="1" applyAlignment="1">
      <alignment vertical="center"/>
    </xf>
    <xf numFmtId="38" fontId="26" fillId="0" borderId="11" xfId="3" applyNumberFormat="1" applyFont="1" applyFill="1" applyBorder="1" applyAlignment="1">
      <alignment vertical="center"/>
    </xf>
    <xf numFmtId="0" fontId="26" fillId="0" borderId="0" xfId="0" applyFont="1" applyFill="1" applyAlignment="1">
      <alignment horizontal="right" vertical="center"/>
    </xf>
    <xf numFmtId="178" fontId="23" fillId="0" borderId="0" xfId="0" applyNumberFormat="1" applyFont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41" fontId="36" fillId="0" borderId="0" xfId="2" applyFont="1" applyFill="1" applyAlignment="1">
      <alignment vertical="center"/>
    </xf>
    <xf numFmtId="177" fontId="26" fillId="0" borderId="0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left" vertical="center"/>
    </xf>
    <xf numFmtId="179" fontId="26" fillId="0" borderId="0" xfId="1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left" vertical="center"/>
    </xf>
    <xf numFmtId="186" fontId="26" fillId="0" borderId="0" xfId="1" applyNumberFormat="1" applyFont="1" applyFill="1" applyBorder="1" applyAlignment="1">
      <alignment horizontal="center" vertical="center"/>
    </xf>
    <xf numFmtId="0" fontId="26" fillId="0" borderId="0" xfId="3" applyNumberFormat="1" applyFont="1" applyFill="1" applyBorder="1" applyAlignment="1">
      <alignment vertical="center"/>
    </xf>
    <xf numFmtId="0" fontId="26" fillId="0" borderId="0" xfId="1" applyNumberFormat="1" applyFont="1" applyFill="1" applyBorder="1" applyAlignment="1">
      <alignment horizontal="center" vertical="center"/>
    </xf>
    <xf numFmtId="41" fontId="49" fillId="0" borderId="20" xfId="8" applyFont="1" applyBorder="1">
      <alignment vertical="center"/>
    </xf>
    <xf numFmtId="0" fontId="50" fillId="0" borderId="0" xfId="3" applyFont="1" applyFill="1" applyBorder="1" applyAlignment="1">
      <alignment horizontal="center" vertical="center"/>
    </xf>
    <xf numFmtId="0" fontId="50" fillId="0" borderId="0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176" fontId="51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0" fontId="35" fillId="0" borderId="36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37" xfId="3" applyNumberFormat="1" applyFont="1" applyFill="1" applyBorder="1" applyAlignment="1">
      <alignment vertical="center"/>
    </xf>
    <xf numFmtId="0" fontId="30" fillId="0" borderId="42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7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1" xfId="7" applyFont="1" applyBorder="1" applyAlignment="1">
      <alignment horizontal="center" vertical="center" wrapText="1"/>
    </xf>
    <xf numFmtId="0" fontId="30" fillId="0" borderId="55" xfId="7" applyFont="1" applyBorder="1" applyAlignment="1">
      <alignment horizontal="center" vertical="center" wrapText="1"/>
    </xf>
    <xf numFmtId="0" fontId="30" fillId="0" borderId="1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42" fillId="0" borderId="17" xfId="7" applyFont="1" applyBorder="1" applyAlignment="1">
      <alignment horizontal="center" vertical="center"/>
    </xf>
    <xf numFmtId="0" fontId="42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52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15" fillId="0" borderId="4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1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2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43" xfId="3" applyNumberFormat="1" applyFont="1" applyFill="1" applyBorder="1" applyAlignment="1">
      <alignment horizontal="center" vertical="center" wrapText="1"/>
    </xf>
    <xf numFmtId="178" fontId="16" fillId="0" borderId="51" xfId="3" applyNumberFormat="1" applyFont="1" applyFill="1" applyBorder="1" applyAlignment="1">
      <alignment horizontal="center" vertical="center" wrapText="1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7&#45380;&#46020;%20&#48376;&#50696;&#49328;&#50504;(&#48148;&#47476;&#45208;&#48148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1109;&#50528;&#51064;&#44277;&#46041;&#49373;&#54876;&#44032;&#51221;(19&#45380;&#48376;&#50696;&#49328;)\2019&#45380;&#46020;%20&#48376;&#50696;&#49328;&#50504;(&#47788;&#46944;&#51032;&#5166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</sheetNames>
    <sheetDataSet>
      <sheetData sheetId="0"/>
      <sheetData sheetId="1"/>
      <sheetData sheetId="2">
        <row r="4">
          <cell r="E4">
            <v>67977</v>
          </cell>
        </row>
        <row r="5">
          <cell r="E5">
            <v>49422</v>
          </cell>
        </row>
        <row r="6">
          <cell r="E6">
            <v>40688</v>
          </cell>
        </row>
        <row r="7">
          <cell r="E7">
            <v>26700</v>
          </cell>
        </row>
        <row r="8">
          <cell r="E8"/>
        </row>
        <row r="9">
          <cell r="E9"/>
        </row>
        <row r="10">
          <cell r="E10"/>
        </row>
        <row r="11">
          <cell r="E11"/>
        </row>
        <row r="12">
          <cell r="E12">
            <v>0</v>
          </cell>
        </row>
        <row r="13">
          <cell r="E13"/>
        </row>
        <row r="14">
          <cell r="E14"/>
        </row>
        <row r="15">
          <cell r="E15">
            <v>7722</v>
          </cell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>
            <v>2869</v>
          </cell>
        </row>
        <row r="28">
          <cell r="E28"/>
        </row>
        <row r="29">
          <cell r="E29"/>
        </row>
        <row r="30">
          <cell r="E30">
            <v>3327</v>
          </cell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>
            <v>70</v>
          </cell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>
            <v>280</v>
          </cell>
        </row>
        <row r="56">
          <cell r="E56">
            <v>40</v>
          </cell>
        </row>
        <row r="57">
          <cell r="E57"/>
        </row>
        <row r="59">
          <cell r="E59">
            <v>0</v>
          </cell>
        </row>
        <row r="60">
          <cell r="E60"/>
        </row>
        <row r="61">
          <cell r="E61">
            <v>240</v>
          </cell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>
            <v>8454</v>
          </cell>
        </row>
        <row r="67">
          <cell r="E67">
            <v>180</v>
          </cell>
        </row>
        <row r="68">
          <cell r="E68"/>
        </row>
        <row r="69">
          <cell r="E69"/>
        </row>
        <row r="70">
          <cell r="E70">
            <v>1383</v>
          </cell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>
            <v>6280</v>
          </cell>
        </row>
        <row r="78">
          <cell r="E78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>
            <v>411</v>
          </cell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>
            <v>0</v>
          </cell>
        </row>
        <row r="93">
          <cell r="E93"/>
        </row>
        <row r="94">
          <cell r="E94"/>
        </row>
        <row r="95">
          <cell r="E95"/>
        </row>
        <row r="96">
          <cell r="E96">
            <v>200</v>
          </cell>
        </row>
        <row r="97">
          <cell r="E97"/>
        </row>
        <row r="98">
          <cell r="E98"/>
        </row>
        <row r="99">
          <cell r="E99">
            <v>3000</v>
          </cell>
        </row>
        <row r="100">
          <cell r="E100">
            <v>3000</v>
          </cell>
        </row>
        <row r="101">
          <cell r="E101">
            <v>0</v>
          </cell>
        </row>
        <row r="102">
          <cell r="E102"/>
        </row>
        <row r="103">
          <cell r="E103">
            <v>2800</v>
          </cell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>
            <v>200</v>
          </cell>
        </row>
        <row r="109">
          <cell r="E109"/>
        </row>
        <row r="110">
          <cell r="E110"/>
        </row>
        <row r="111">
          <cell r="E111"/>
        </row>
        <row r="112">
          <cell r="E112">
            <v>15515</v>
          </cell>
        </row>
        <row r="113">
          <cell r="E113">
            <v>11910</v>
          </cell>
        </row>
        <row r="114">
          <cell r="E114">
            <v>10520</v>
          </cell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>
            <v>400</v>
          </cell>
        </row>
        <row r="124">
          <cell r="E124"/>
        </row>
        <row r="125">
          <cell r="E125"/>
        </row>
        <row r="126">
          <cell r="E126"/>
        </row>
        <row r="127">
          <cell r="E127">
            <v>600</v>
          </cell>
        </row>
        <row r="128">
          <cell r="E128"/>
        </row>
        <row r="129">
          <cell r="E129"/>
        </row>
        <row r="130">
          <cell r="E130">
            <v>210</v>
          </cell>
        </row>
        <row r="131">
          <cell r="E131"/>
        </row>
        <row r="132">
          <cell r="E132"/>
        </row>
        <row r="133">
          <cell r="E133"/>
        </row>
        <row r="134">
          <cell r="E134">
            <v>180</v>
          </cell>
        </row>
        <row r="135">
          <cell r="E135"/>
        </row>
        <row r="136">
          <cell r="E136"/>
        </row>
        <row r="137">
          <cell r="E137">
            <v>3605</v>
          </cell>
        </row>
        <row r="138">
          <cell r="E138">
            <v>200</v>
          </cell>
        </row>
        <row r="139">
          <cell r="E139"/>
        </row>
        <row r="140">
          <cell r="E140"/>
        </row>
        <row r="141">
          <cell r="E141">
            <v>200</v>
          </cell>
        </row>
        <row r="142">
          <cell r="E142"/>
        </row>
        <row r="143">
          <cell r="E143"/>
        </row>
        <row r="144">
          <cell r="E144">
            <v>300</v>
          </cell>
        </row>
        <row r="145">
          <cell r="E145"/>
        </row>
        <row r="146">
          <cell r="E146"/>
        </row>
        <row r="147">
          <cell r="E147">
            <v>2050</v>
          </cell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>
            <v>430</v>
          </cell>
        </row>
        <row r="153">
          <cell r="E153"/>
        </row>
        <row r="154">
          <cell r="E154"/>
        </row>
        <row r="155">
          <cell r="E155"/>
        </row>
        <row r="156">
          <cell r="E156"/>
        </row>
        <row r="157">
          <cell r="E157"/>
        </row>
        <row r="158">
          <cell r="E158">
            <v>225</v>
          </cell>
        </row>
        <row r="159">
          <cell r="E159"/>
        </row>
        <row r="160">
          <cell r="E160"/>
        </row>
        <row r="161">
          <cell r="E161"/>
        </row>
        <row r="162">
          <cell r="E162">
            <v>200</v>
          </cell>
        </row>
        <row r="163">
          <cell r="E163"/>
        </row>
        <row r="164">
          <cell r="E164"/>
        </row>
        <row r="165">
          <cell r="E165"/>
        </row>
        <row r="166">
          <cell r="E166">
            <v>8</v>
          </cell>
        </row>
        <row r="167">
          <cell r="E167">
            <v>8</v>
          </cell>
        </row>
        <row r="168">
          <cell r="E168"/>
        </row>
        <row r="169">
          <cell r="E169"/>
        </row>
        <row r="171">
          <cell r="E171"/>
        </row>
        <row r="172">
          <cell r="E172"/>
        </row>
        <row r="173">
          <cell r="E173"/>
        </row>
        <row r="174">
          <cell r="E174"/>
        </row>
        <row r="175">
          <cell r="E175"/>
        </row>
        <row r="176">
          <cell r="E176">
            <v>0</v>
          </cell>
        </row>
        <row r="177">
          <cell r="E177">
            <v>0</v>
          </cell>
        </row>
        <row r="178">
          <cell r="E178"/>
        </row>
        <row r="179">
          <cell r="E179">
            <v>32</v>
          </cell>
        </row>
        <row r="180">
          <cell r="E180">
            <v>32</v>
          </cell>
        </row>
        <row r="181">
          <cell r="E181"/>
        </row>
        <row r="182">
          <cell r="E182"/>
        </row>
        <row r="183">
          <cell r="E183"/>
        </row>
        <row r="184">
          <cell r="E184"/>
        </row>
        <row r="185">
          <cell r="E185"/>
        </row>
        <row r="186">
          <cell r="E18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zoomScale="85" zoomScaleNormal="85" workbookViewId="0">
      <selection activeCell="Q11" sqref="Q11"/>
    </sheetView>
  </sheetViews>
  <sheetFormatPr defaultRowHeight="16.5"/>
  <cols>
    <col min="1" max="1" width="1.44140625" style="192" customWidth="1"/>
    <col min="2" max="2" width="11.5546875" style="192" bestFit="1" customWidth="1"/>
    <col min="3" max="3" width="13.33203125" style="192" bestFit="1" customWidth="1"/>
    <col min="4" max="5" width="18" style="192" bestFit="1" customWidth="1"/>
    <col min="6" max="6" width="16" style="192" bestFit="1" customWidth="1"/>
    <col min="7" max="7" width="9.6640625" style="192" bestFit="1" customWidth="1"/>
    <col min="8" max="8" width="13.33203125" style="192" bestFit="1" customWidth="1"/>
    <col min="9" max="10" width="18" style="192" bestFit="1" customWidth="1"/>
    <col min="11" max="11" width="16" style="192" bestFit="1" customWidth="1"/>
    <col min="12" max="16384" width="8.88671875" style="192"/>
  </cols>
  <sheetData>
    <row r="1" spans="2:11" ht="9.9499999999999993" customHeight="1"/>
    <row r="2" spans="2:11" ht="26.25">
      <c r="B2" s="193" t="s">
        <v>481</v>
      </c>
      <c r="K2" s="194" t="s">
        <v>290</v>
      </c>
    </row>
    <row r="3" spans="2:11" ht="9.9499999999999993" customHeight="1" thickBot="1"/>
    <row r="4" spans="2:11" ht="30" customHeight="1">
      <c r="B4" s="516" t="s">
        <v>165</v>
      </c>
      <c r="C4" s="517"/>
      <c r="D4" s="517"/>
      <c r="E4" s="517"/>
      <c r="F4" s="518"/>
      <c r="G4" s="516" t="s">
        <v>166</v>
      </c>
      <c r="H4" s="517"/>
      <c r="I4" s="517"/>
      <c r="J4" s="517"/>
      <c r="K4" s="519"/>
    </row>
    <row r="5" spans="2:11" ht="16.5" customHeight="1">
      <c r="B5" s="520" t="s">
        <v>167</v>
      </c>
      <c r="C5" s="521"/>
      <c r="D5" s="524" t="s">
        <v>479</v>
      </c>
      <c r="E5" s="524" t="s">
        <v>480</v>
      </c>
      <c r="F5" s="526" t="s">
        <v>168</v>
      </c>
      <c r="G5" s="520" t="s">
        <v>167</v>
      </c>
      <c r="H5" s="521"/>
      <c r="I5" s="528" t="s">
        <v>479</v>
      </c>
      <c r="J5" s="524" t="s">
        <v>482</v>
      </c>
      <c r="K5" s="530" t="s">
        <v>168</v>
      </c>
    </row>
    <row r="6" spans="2:11" ht="22.5" customHeight="1" thickBot="1">
      <c r="B6" s="522"/>
      <c r="C6" s="523"/>
      <c r="D6" s="525"/>
      <c r="E6" s="525"/>
      <c r="F6" s="527"/>
      <c r="G6" s="522"/>
      <c r="H6" s="523"/>
      <c r="I6" s="529"/>
      <c r="J6" s="525"/>
      <c r="K6" s="531"/>
    </row>
    <row r="7" spans="2:11" ht="24.95" customHeight="1" thickTop="1">
      <c r="B7" s="532" t="s">
        <v>169</v>
      </c>
      <c r="C7" s="533"/>
      <c r="D7" s="385">
        <f>SUM(D8:D23)/2</f>
        <v>67977000</v>
      </c>
      <c r="E7" s="385">
        <f>SUM(E8:E23)/2</f>
        <v>73937000</v>
      </c>
      <c r="F7" s="386">
        <f>SUM(F8:F23)/2</f>
        <v>5960000</v>
      </c>
      <c r="G7" s="532" t="s">
        <v>169</v>
      </c>
      <c r="H7" s="533"/>
      <c r="I7" s="385">
        <f>SUM(I8:I28)/2</f>
        <v>67977000</v>
      </c>
      <c r="J7" s="385">
        <f>SUM(J8:J28)/2</f>
        <v>73937000</v>
      </c>
      <c r="K7" s="387">
        <f>SUM(K8:K28)/2</f>
        <v>5960000</v>
      </c>
    </row>
    <row r="8" spans="2:11" ht="24.95" customHeight="1">
      <c r="B8" s="534" t="s">
        <v>170</v>
      </c>
      <c r="C8" s="388" t="s">
        <v>289</v>
      </c>
      <c r="D8" s="389">
        <f>D9</f>
        <v>7200000</v>
      </c>
      <c r="E8" s="389">
        <f>E9</f>
        <v>12000000</v>
      </c>
      <c r="F8" s="390">
        <f>F9</f>
        <v>4800000</v>
      </c>
      <c r="G8" s="534" t="s">
        <v>172</v>
      </c>
      <c r="H8" s="388" t="s">
        <v>289</v>
      </c>
      <c r="I8" s="389">
        <f>SUM(I9:I11)</f>
        <v>49422000</v>
      </c>
      <c r="J8" s="389">
        <f>SUM(J9:J11)</f>
        <v>51224000</v>
      </c>
      <c r="K8" s="394">
        <f>SUM(K9:K11)</f>
        <v>1802000</v>
      </c>
    </row>
    <row r="9" spans="2:11" ht="24.95" customHeight="1">
      <c r="B9" s="535"/>
      <c r="C9" s="195" t="s">
        <v>171</v>
      </c>
      <c r="D9" s="196">
        <v>7200000</v>
      </c>
      <c r="E9" s="501">
        <v>12000000</v>
      </c>
      <c r="F9" s="197">
        <f>E9-D9</f>
        <v>4800000</v>
      </c>
      <c r="G9" s="536"/>
      <c r="H9" s="195" t="s">
        <v>173</v>
      </c>
      <c r="I9" s="196">
        <v>40688000</v>
      </c>
      <c r="J9" s="196">
        <v>41708000</v>
      </c>
      <c r="K9" s="198">
        <f>J9-I9</f>
        <v>1020000</v>
      </c>
    </row>
    <row r="10" spans="2:11" ht="24.95" customHeight="1">
      <c r="B10" s="534" t="s">
        <v>174</v>
      </c>
      <c r="C10" s="391" t="s">
        <v>289</v>
      </c>
      <c r="D10" s="392">
        <f>SUM(D11:D14)</f>
        <v>51586000</v>
      </c>
      <c r="E10" s="467">
        <f>SUM(E11:E14)</f>
        <v>52654000</v>
      </c>
      <c r="F10" s="393">
        <f>SUM(F11:F14)</f>
        <v>1068000</v>
      </c>
      <c r="G10" s="536"/>
      <c r="H10" s="195" t="s">
        <v>175</v>
      </c>
      <c r="I10" s="196">
        <v>280000</v>
      </c>
      <c r="J10" s="196">
        <v>240000</v>
      </c>
      <c r="K10" s="198">
        <f t="shared" ref="K10:K11" si="0">J10-I10</f>
        <v>-40000</v>
      </c>
    </row>
    <row r="11" spans="2:11" ht="24.95" customHeight="1">
      <c r="B11" s="536"/>
      <c r="C11" s="276" t="s">
        <v>253</v>
      </c>
      <c r="D11" s="196">
        <v>0</v>
      </c>
      <c r="E11" s="196">
        <v>0</v>
      </c>
      <c r="F11" s="197">
        <f t="shared" ref="F11:F23" si="1">E11-D11</f>
        <v>0</v>
      </c>
      <c r="G11" s="535"/>
      <c r="H11" s="195" t="s">
        <v>100</v>
      </c>
      <c r="I11" s="196">
        <v>8454000</v>
      </c>
      <c r="J11" s="196">
        <v>9276000</v>
      </c>
      <c r="K11" s="198">
        <f t="shared" si="0"/>
        <v>822000</v>
      </c>
    </row>
    <row r="12" spans="2:11" ht="24.95" customHeight="1">
      <c r="B12" s="536"/>
      <c r="C12" s="276" t="s">
        <v>254</v>
      </c>
      <c r="D12" s="196">
        <v>51586000</v>
      </c>
      <c r="E12" s="501">
        <v>52654000</v>
      </c>
      <c r="F12" s="197">
        <f t="shared" si="1"/>
        <v>1068000</v>
      </c>
      <c r="G12" s="534" t="s">
        <v>101</v>
      </c>
      <c r="H12" s="391" t="s">
        <v>289</v>
      </c>
      <c r="I12" s="392">
        <f>SUM(I13:I15)</f>
        <v>3000000</v>
      </c>
      <c r="J12" s="392">
        <f>SUM(J13:J15)</f>
        <v>6800000</v>
      </c>
      <c r="K12" s="395">
        <f>SUM(K13:K15)</f>
        <v>3800000</v>
      </c>
    </row>
    <row r="13" spans="2:11" ht="24.95" customHeight="1">
      <c r="B13" s="536"/>
      <c r="C13" s="276" t="s">
        <v>255</v>
      </c>
      <c r="D13" s="196">
        <v>0</v>
      </c>
      <c r="E13" s="196">
        <v>0</v>
      </c>
      <c r="F13" s="197">
        <f t="shared" ref="F13" si="2">E13-D13</f>
        <v>0</v>
      </c>
      <c r="G13" s="536"/>
      <c r="H13" s="195" t="s">
        <v>102</v>
      </c>
      <c r="I13" s="196">
        <v>0</v>
      </c>
      <c r="J13" s="196">
        <v>0</v>
      </c>
      <c r="K13" s="198">
        <f t="shared" ref="K13" si="3">J13-I13</f>
        <v>0</v>
      </c>
    </row>
    <row r="14" spans="2:11" ht="24.95" customHeight="1">
      <c r="B14" s="535"/>
      <c r="C14" s="443" t="s">
        <v>364</v>
      </c>
      <c r="D14" s="196">
        <v>0</v>
      </c>
      <c r="E14" s="196">
        <v>0</v>
      </c>
      <c r="F14" s="197">
        <f t="shared" si="1"/>
        <v>0</v>
      </c>
      <c r="G14" s="536"/>
      <c r="H14" s="195" t="s">
        <v>105</v>
      </c>
      <c r="I14" s="196">
        <v>2700000</v>
      </c>
      <c r="J14" s="196">
        <v>3000000</v>
      </c>
      <c r="K14" s="198">
        <f t="shared" ref="K14:K15" si="4">J14-I14</f>
        <v>300000</v>
      </c>
    </row>
    <row r="15" spans="2:11" ht="24.95" customHeight="1">
      <c r="B15" s="534" t="s">
        <v>103</v>
      </c>
      <c r="C15" s="391" t="s">
        <v>289</v>
      </c>
      <c r="D15" s="392">
        <f>SUM(D16:D17)</f>
        <v>600000</v>
      </c>
      <c r="E15" s="392">
        <f>SUM(E16:E17)</f>
        <v>1080000</v>
      </c>
      <c r="F15" s="393">
        <f>SUM(F16:F17)</f>
        <v>480000</v>
      </c>
      <c r="G15" s="535"/>
      <c r="H15" s="195" t="s">
        <v>107</v>
      </c>
      <c r="I15" s="196">
        <v>300000</v>
      </c>
      <c r="J15" s="196">
        <v>3800000</v>
      </c>
      <c r="K15" s="198">
        <f t="shared" si="4"/>
        <v>3500000</v>
      </c>
    </row>
    <row r="16" spans="2:11" ht="24.95" customHeight="1">
      <c r="B16" s="536"/>
      <c r="C16" s="195" t="s">
        <v>104</v>
      </c>
      <c r="D16" s="196">
        <v>0</v>
      </c>
      <c r="E16" s="196">
        <v>0</v>
      </c>
      <c r="F16" s="197">
        <f t="shared" si="1"/>
        <v>0</v>
      </c>
      <c r="G16" s="534" t="s">
        <v>110</v>
      </c>
      <c r="H16" s="391" t="s">
        <v>289</v>
      </c>
      <c r="I16" s="392">
        <f>SUM(I17:I22)</f>
        <v>15515000</v>
      </c>
      <c r="J16" s="392">
        <f>SUM(J17:J22)</f>
        <v>15868000</v>
      </c>
      <c r="K16" s="395">
        <f>SUM(K17:K22)</f>
        <v>353000</v>
      </c>
    </row>
    <row r="17" spans="2:11" ht="24.95" customHeight="1">
      <c r="B17" s="535"/>
      <c r="C17" s="195" t="s">
        <v>106</v>
      </c>
      <c r="D17" s="196">
        <v>600000</v>
      </c>
      <c r="E17" s="196">
        <v>1080000</v>
      </c>
      <c r="F17" s="197">
        <f t="shared" si="1"/>
        <v>480000</v>
      </c>
      <c r="G17" s="536"/>
      <c r="H17" s="195" t="s">
        <v>111</v>
      </c>
      <c r="I17" s="196">
        <v>10520000</v>
      </c>
      <c r="J17" s="485">
        <v>10520000</v>
      </c>
      <c r="K17" s="198">
        <f t="shared" ref="K17:K22" si="5">J17-I17</f>
        <v>0</v>
      </c>
    </row>
    <row r="18" spans="2:11" ht="24.95" customHeight="1">
      <c r="B18" s="534" t="s">
        <v>108</v>
      </c>
      <c r="C18" s="391" t="s">
        <v>289</v>
      </c>
      <c r="D18" s="392">
        <f>D19</f>
        <v>0</v>
      </c>
      <c r="E18" s="392">
        <f>E19</f>
        <v>0</v>
      </c>
      <c r="F18" s="393">
        <f>F19</f>
        <v>0</v>
      </c>
      <c r="G18" s="536"/>
      <c r="H18" s="195" t="s">
        <v>114</v>
      </c>
      <c r="I18" s="196">
        <v>400000</v>
      </c>
      <c r="J18" s="485">
        <v>463000</v>
      </c>
      <c r="K18" s="198">
        <f t="shared" si="5"/>
        <v>63000</v>
      </c>
    </row>
    <row r="19" spans="2:11" ht="24.95" customHeight="1">
      <c r="B19" s="535"/>
      <c r="C19" s="195" t="s">
        <v>109</v>
      </c>
      <c r="D19" s="196">
        <v>0</v>
      </c>
      <c r="E19" s="196">
        <v>0</v>
      </c>
      <c r="F19" s="197">
        <f t="shared" si="1"/>
        <v>0</v>
      </c>
      <c r="G19" s="536"/>
      <c r="H19" s="195" t="s">
        <v>117</v>
      </c>
      <c r="I19" s="196">
        <v>600000</v>
      </c>
      <c r="J19" s="196">
        <v>800000</v>
      </c>
      <c r="K19" s="198">
        <f t="shared" si="5"/>
        <v>200000</v>
      </c>
    </row>
    <row r="20" spans="2:11" ht="24.95" customHeight="1">
      <c r="B20" s="534" t="s">
        <v>112</v>
      </c>
      <c r="C20" s="391" t="s">
        <v>289</v>
      </c>
      <c r="D20" s="392">
        <f>D21</f>
        <v>7831000</v>
      </c>
      <c r="E20" s="392">
        <f>E21</f>
        <v>7438000</v>
      </c>
      <c r="F20" s="393">
        <f>F21</f>
        <v>-393000</v>
      </c>
      <c r="G20" s="536"/>
      <c r="H20" s="195" t="s">
        <v>118</v>
      </c>
      <c r="I20" s="196">
        <v>210000</v>
      </c>
      <c r="J20" s="196">
        <v>260000</v>
      </c>
      <c r="K20" s="198">
        <f t="shared" si="5"/>
        <v>50000</v>
      </c>
    </row>
    <row r="21" spans="2:11" ht="24.95" customHeight="1">
      <c r="B21" s="535"/>
      <c r="C21" s="195" t="s">
        <v>113</v>
      </c>
      <c r="D21" s="196">
        <v>7831000</v>
      </c>
      <c r="E21" s="196">
        <v>7438000</v>
      </c>
      <c r="F21" s="197">
        <f t="shared" si="1"/>
        <v>-393000</v>
      </c>
      <c r="G21" s="536"/>
      <c r="H21" s="195" t="s">
        <v>119</v>
      </c>
      <c r="I21" s="196">
        <v>180000</v>
      </c>
      <c r="J21" s="196">
        <v>180000</v>
      </c>
      <c r="K21" s="198">
        <f t="shared" si="5"/>
        <v>0</v>
      </c>
    </row>
    <row r="22" spans="2:11" ht="24.95" customHeight="1">
      <c r="B22" s="534" t="s">
        <v>115</v>
      </c>
      <c r="C22" s="391" t="s">
        <v>289</v>
      </c>
      <c r="D22" s="392">
        <f>D23</f>
        <v>760000</v>
      </c>
      <c r="E22" s="392">
        <f>E23</f>
        <v>765000</v>
      </c>
      <c r="F22" s="393">
        <f>F23</f>
        <v>5000</v>
      </c>
      <c r="G22" s="535"/>
      <c r="H22" s="195" t="s">
        <v>120</v>
      </c>
      <c r="I22" s="196">
        <v>3605000</v>
      </c>
      <c r="J22" s="196">
        <v>3645000</v>
      </c>
      <c r="K22" s="198">
        <f t="shared" si="5"/>
        <v>40000</v>
      </c>
    </row>
    <row r="23" spans="2:11" ht="24.95" customHeight="1">
      <c r="B23" s="535"/>
      <c r="C23" s="195" t="s">
        <v>116</v>
      </c>
      <c r="D23" s="196">
        <v>760000</v>
      </c>
      <c r="E23" s="196">
        <v>765000</v>
      </c>
      <c r="F23" s="197">
        <f t="shared" si="1"/>
        <v>5000</v>
      </c>
      <c r="G23" s="538" t="s">
        <v>160</v>
      </c>
      <c r="H23" s="391" t="s">
        <v>289</v>
      </c>
      <c r="I23" s="392">
        <f>I24</f>
        <v>8000</v>
      </c>
      <c r="J23" s="392">
        <f>J24</f>
        <v>8000</v>
      </c>
      <c r="K23" s="395">
        <f>K24</f>
        <v>0</v>
      </c>
    </row>
    <row r="24" spans="2:11" ht="24.95" customHeight="1">
      <c r="B24" s="444"/>
      <c r="C24" s="445"/>
      <c r="D24" s="445"/>
      <c r="E24" s="445"/>
      <c r="F24" s="445"/>
      <c r="G24" s="539"/>
      <c r="H24" s="195" t="s">
        <v>121</v>
      </c>
      <c r="I24" s="196">
        <v>8000</v>
      </c>
      <c r="J24" s="196">
        <v>8000</v>
      </c>
      <c r="K24" s="198">
        <f t="shared" ref="K24" si="6">J24-I24</f>
        <v>0</v>
      </c>
    </row>
    <row r="25" spans="2:11" ht="24.95" customHeight="1">
      <c r="B25" s="446"/>
      <c r="C25" s="447"/>
      <c r="D25" s="447"/>
      <c r="E25" s="447"/>
      <c r="F25" s="447"/>
      <c r="G25" s="534" t="s">
        <v>122</v>
      </c>
      <c r="H25" s="391" t="s">
        <v>289</v>
      </c>
      <c r="I25" s="392">
        <f>I26</f>
        <v>0</v>
      </c>
      <c r="J25" s="392">
        <f>J26</f>
        <v>0</v>
      </c>
      <c r="K25" s="395">
        <f>K26</f>
        <v>0</v>
      </c>
    </row>
    <row r="26" spans="2:11" ht="24.95" customHeight="1">
      <c r="B26" s="446"/>
      <c r="C26" s="447"/>
      <c r="D26" s="447"/>
      <c r="E26" s="447"/>
      <c r="F26" s="447"/>
      <c r="G26" s="535"/>
      <c r="H26" s="195" t="s">
        <v>123</v>
      </c>
      <c r="I26" s="196">
        <v>0</v>
      </c>
      <c r="J26" s="196">
        <v>0</v>
      </c>
      <c r="K26" s="198">
        <f t="shared" ref="K26" si="7">J26-I26</f>
        <v>0</v>
      </c>
    </row>
    <row r="27" spans="2:11" ht="24.95" customHeight="1">
      <c r="B27" s="446"/>
      <c r="C27" s="447"/>
      <c r="D27" s="447"/>
      <c r="E27" s="447"/>
      <c r="F27" s="447"/>
      <c r="G27" s="534" t="s">
        <v>124</v>
      </c>
      <c r="H27" s="391" t="s">
        <v>289</v>
      </c>
      <c r="I27" s="392">
        <f>I28</f>
        <v>32000</v>
      </c>
      <c r="J27" s="392">
        <f>J28</f>
        <v>37000</v>
      </c>
      <c r="K27" s="395">
        <f>K28</f>
        <v>5000</v>
      </c>
    </row>
    <row r="28" spans="2:11" ht="24.95" customHeight="1" thickBot="1">
      <c r="B28" s="448"/>
      <c r="C28" s="449"/>
      <c r="D28" s="449"/>
      <c r="E28" s="449"/>
      <c r="F28" s="449"/>
      <c r="G28" s="537"/>
      <c r="H28" s="199" t="s">
        <v>125</v>
      </c>
      <c r="I28" s="200">
        <v>32000</v>
      </c>
      <c r="J28" s="200">
        <v>37000</v>
      </c>
      <c r="K28" s="201">
        <f>J28-I28</f>
        <v>5000</v>
      </c>
    </row>
  </sheetData>
  <mergeCells count="24"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  <mergeCell ref="B7:C7"/>
    <mergeCell ref="G7:H7"/>
    <mergeCell ref="B8:B9"/>
    <mergeCell ref="B15:B17"/>
    <mergeCell ref="B18:B19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25" right="0.25" top="0.75" bottom="0.75" header="0.3" footer="0.3"/>
  <pageSetup paperSize="9" scale="73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1"/>
  <sheetViews>
    <sheetView zoomScale="110" zoomScaleNormal="110" workbookViewId="0">
      <pane xSplit="3" ySplit="4" topLeftCell="D74" activePane="bottomRight" state="frozen"/>
      <selection pane="topRight" activeCell="E1" sqref="E1"/>
      <selection pane="bottomLeft" activeCell="A5" sqref="A5"/>
      <selection pane="bottomRight" activeCell="AA81" sqref="AA81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7.88671875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553" t="s">
        <v>476</v>
      </c>
      <c r="B1" s="553"/>
      <c r="C1" s="553"/>
      <c r="D1" s="553"/>
      <c r="E1" s="553"/>
      <c r="F1" s="553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543" t="s">
        <v>66</v>
      </c>
      <c r="B2" s="544"/>
      <c r="C2" s="544"/>
      <c r="D2" s="545" t="s">
        <v>477</v>
      </c>
      <c r="E2" s="545" t="s">
        <v>478</v>
      </c>
      <c r="F2" s="549" t="s">
        <v>23</v>
      </c>
      <c r="G2" s="549"/>
      <c r="H2" s="549" t="s">
        <v>55</v>
      </c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50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176</v>
      </c>
      <c r="D3" s="546"/>
      <c r="E3" s="546"/>
      <c r="F3" s="149" t="s">
        <v>132</v>
      </c>
      <c r="G3" s="27" t="s">
        <v>4</v>
      </c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2"/>
      <c r="Y3" s="8"/>
    </row>
    <row r="4" spans="1:25" s="3" customFormat="1" ht="19.5" customHeight="1">
      <c r="A4" s="547" t="s">
        <v>24</v>
      </c>
      <c r="B4" s="548"/>
      <c r="C4" s="548"/>
      <c r="D4" s="220">
        <v>67977</v>
      </c>
      <c r="E4" s="220">
        <f>SUM(E5,E11,E27,E37,E44,E51,E72)</f>
        <v>73937</v>
      </c>
      <c r="F4" s="288">
        <f>SUM(F5,F7,F9,F11,F27,F37,F44,F51,F72)</f>
        <v>5960</v>
      </c>
      <c r="G4" s="221">
        <f t="shared" ref="G4" si="0">IF(D4=0,0,F4/D4)</f>
        <v>8.7676714182738286E-2</v>
      </c>
      <c r="H4" s="28" t="s">
        <v>162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75">
        <f>SUM(W5,W7,W9,W11,W27,W37,W44,W51,W72)</f>
        <v>73937000</v>
      </c>
      <c r="X4" s="30" t="s">
        <v>163</v>
      </c>
      <c r="Y4" s="8"/>
    </row>
    <row r="5" spans="1:25" ht="21" customHeight="1" thickBot="1">
      <c r="A5" s="35" t="s">
        <v>60</v>
      </c>
      <c r="B5" s="36" t="s">
        <v>60</v>
      </c>
      <c r="C5" s="203" t="s">
        <v>130</v>
      </c>
      <c r="D5" s="214">
        <v>7200</v>
      </c>
      <c r="E5" s="214">
        <f>W5/1000</f>
        <v>12000</v>
      </c>
      <c r="F5" s="215">
        <f>E5-D5</f>
        <v>4800</v>
      </c>
      <c r="G5" s="216">
        <f>IF(D5=0,0,F5/D5)</f>
        <v>0.66666666666666663</v>
      </c>
      <c r="H5" s="40" t="s">
        <v>161</v>
      </c>
      <c r="I5" s="143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12000000</v>
      </c>
      <c r="X5" s="44" t="s">
        <v>25</v>
      </c>
    </row>
    <row r="6" spans="1:25" ht="21" customHeight="1">
      <c r="A6" s="45" t="s">
        <v>61</v>
      </c>
      <c r="B6" s="46" t="s">
        <v>128</v>
      </c>
      <c r="C6" s="47" t="s">
        <v>128</v>
      </c>
      <c r="D6" s="48"/>
      <c r="E6" s="48"/>
      <c r="F6" s="49"/>
      <c r="G6" s="31"/>
      <c r="H6" s="283" t="s">
        <v>256</v>
      </c>
      <c r="I6" s="54"/>
      <c r="J6" s="55"/>
      <c r="K6" s="55"/>
      <c r="L6" s="222">
        <v>250000</v>
      </c>
      <c r="M6" s="222" t="s">
        <v>57</v>
      </c>
      <c r="N6" s="223" t="s">
        <v>58</v>
      </c>
      <c r="O6" s="132">
        <v>4</v>
      </c>
      <c r="P6" s="222" t="s">
        <v>56</v>
      </c>
      <c r="Q6" s="223" t="s">
        <v>58</v>
      </c>
      <c r="R6" s="56">
        <v>12</v>
      </c>
      <c r="S6" s="247" t="s">
        <v>0</v>
      </c>
      <c r="T6" s="247" t="s">
        <v>53</v>
      </c>
      <c r="U6" s="247"/>
      <c r="V6" s="222"/>
      <c r="W6" s="222">
        <f>L6*O6*R6</f>
        <v>12000000</v>
      </c>
      <c r="X6" s="57" t="s">
        <v>57</v>
      </c>
    </row>
    <row r="7" spans="1:25" s="11" customFormat="1" ht="19.5" customHeight="1" thickBot="1">
      <c r="A7" s="35" t="s">
        <v>177</v>
      </c>
      <c r="B7" s="36" t="s">
        <v>179</v>
      </c>
      <c r="C7" s="36" t="s">
        <v>177</v>
      </c>
      <c r="D7" s="214">
        <v>0</v>
      </c>
      <c r="E7" s="214">
        <f>W7/1000</f>
        <v>0</v>
      </c>
      <c r="F7" s="215">
        <f>E7-D7</f>
        <v>0</v>
      </c>
      <c r="G7" s="216">
        <f>IF(D7=0,0,F7/D7)</f>
        <v>0</v>
      </c>
      <c r="H7" s="40" t="s">
        <v>181</v>
      </c>
      <c r="I7" s="143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178</v>
      </c>
      <c r="B8" s="59" t="s">
        <v>180</v>
      </c>
      <c r="C8" s="59" t="s">
        <v>178</v>
      </c>
      <c r="D8" s="48"/>
      <c r="E8" s="48"/>
      <c r="F8" s="49"/>
      <c r="G8" s="31"/>
      <c r="H8" s="53"/>
      <c r="I8" s="54"/>
      <c r="J8" s="55"/>
      <c r="K8" s="55"/>
      <c r="L8" s="222"/>
      <c r="M8" s="222"/>
      <c r="N8" s="223"/>
      <c r="O8" s="222"/>
      <c r="P8" s="222"/>
      <c r="Q8" s="223"/>
      <c r="R8" s="56"/>
      <c r="S8" s="247"/>
      <c r="T8" s="247"/>
      <c r="U8" s="247"/>
      <c r="V8" s="222"/>
      <c r="W8" s="222">
        <v>0</v>
      </c>
      <c r="X8" s="57" t="s">
        <v>57</v>
      </c>
    </row>
    <row r="9" spans="1:25" ht="21" customHeight="1" thickBot="1">
      <c r="A9" s="35" t="s">
        <v>183</v>
      </c>
      <c r="B9" s="36" t="s">
        <v>185</v>
      </c>
      <c r="C9" s="36" t="s">
        <v>183</v>
      </c>
      <c r="D9" s="214">
        <v>0</v>
      </c>
      <c r="E9" s="214">
        <f>W9/1000</f>
        <v>0</v>
      </c>
      <c r="F9" s="215">
        <f>E9-D9</f>
        <v>0</v>
      </c>
      <c r="G9" s="216">
        <f>IF(D9=0,0,F9/D9)</f>
        <v>0</v>
      </c>
      <c r="H9" s="40" t="s">
        <v>226</v>
      </c>
      <c r="I9" s="143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223</v>
      </c>
      <c r="B10" s="59" t="s">
        <v>224</v>
      </c>
      <c r="C10" s="59" t="s">
        <v>224</v>
      </c>
      <c r="D10" s="226"/>
      <c r="E10" s="226"/>
      <c r="F10" s="227"/>
      <c r="G10" s="228"/>
      <c r="H10" s="229"/>
      <c r="I10" s="230"/>
      <c r="J10" s="231"/>
      <c r="K10" s="231"/>
      <c r="L10" s="231"/>
      <c r="M10" s="231"/>
      <c r="N10" s="231"/>
      <c r="O10" s="232"/>
      <c r="P10" s="232"/>
      <c r="Q10" s="232"/>
      <c r="R10" s="232"/>
      <c r="S10" s="232"/>
      <c r="T10" s="232"/>
      <c r="U10" s="232"/>
      <c r="V10" s="233"/>
      <c r="W10" s="233">
        <v>0</v>
      </c>
      <c r="X10" s="266" t="s">
        <v>225</v>
      </c>
    </row>
    <row r="11" spans="1:25" s="11" customFormat="1" ht="19.5" customHeight="1">
      <c r="A11" s="35" t="s">
        <v>182</v>
      </c>
      <c r="B11" s="36" t="s">
        <v>182</v>
      </c>
      <c r="C11" s="414" t="s">
        <v>241</v>
      </c>
      <c r="D11" s="249">
        <v>51586</v>
      </c>
      <c r="E11" s="249">
        <f>SUM(E12,E15,E21,E24)</f>
        <v>52654</v>
      </c>
      <c r="F11" s="250">
        <f t="shared" ref="F11:F12" si="1">E11-D11</f>
        <v>1068</v>
      </c>
      <c r="G11" s="251">
        <f t="shared" ref="G11:G12" si="2">IF(D11=0,0,F11/D11)</f>
        <v>2.0703291590741673E-2</v>
      </c>
      <c r="H11" s="252" t="s">
        <v>242</v>
      </c>
      <c r="I11" s="253"/>
      <c r="J11" s="254"/>
      <c r="K11" s="254"/>
      <c r="L11" s="253"/>
      <c r="M11" s="253"/>
      <c r="N11" s="253"/>
      <c r="O11" s="253"/>
      <c r="P11" s="253"/>
      <c r="Q11" s="255"/>
      <c r="R11" s="255"/>
      <c r="S11" s="255"/>
      <c r="T11" s="255"/>
      <c r="U11" s="255"/>
      <c r="V11" s="255"/>
      <c r="W11" s="256">
        <f>SUM(W12,W15,W21,W24)</f>
        <v>52654000</v>
      </c>
      <c r="X11" s="267" t="s">
        <v>25</v>
      </c>
      <c r="Y11" s="6"/>
    </row>
    <row r="12" spans="1:25" s="11" customFormat="1" ht="19.5" customHeight="1">
      <c r="A12" s="45" t="s">
        <v>184</v>
      </c>
      <c r="B12" s="46" t="s">
        <v>180</v>
      </c>
      <c r="C12" s="36" t="s">
        <v>186</v>
      </c>
      <c r="D12" s="217">
        <v>0</v>
      </c>
      <c r="E12" s="217">
        <f>W12/1000</f>
        <v>0</v>
      </c>
      <c r="F12" s="218">
        <f t="shared" si="1"/>
        <v>0</v>
      </c>
      <c r="G12" s="219">
        <f t="shared" si="2"/>
        <v>0</v>
      </c>
      <c r="H12" s="205" t="s">
        <v>187</v>
      </c>
      <c r="I12" s="206"/>
      <c r="J12" s="207"/>
      <c r="K12" s="207"/>
      <c r="L12" s="207"/>
      <c r="M12" s="207"/>
      <c r="N12" s="207"/>
      <c r="O12" s="208"/>
      <c r="P12" s="208"/>
      <c r="Q12" s="208"/>
      <c r="R12" s="208"/>
      <c r="S12" s="208"/>
      <c r="T12" s="208"/>
      <c r="U12" s="234" t="s">
        <v>227</v>
      </c>
      <c r="V12" s="235"/>
      <c r="W12" s="236">
        <v>0</v>
      </c>
      <c r="X12" s="268" t="s">
        <v>228</v>
      </c>
      <c r="Y12" s="6"/>
    </row>
    <row r="13" spans="1:25" s="11" customFormat="1" ht="19.5" customHeight="1">
      <c r="A13" s="45"/>
      <c r="B13" s="46"/>
      <c r="C13" s="46" t="s">
        <v>297</v>
      </c>
      <c r="D13" s="417"/>
      <c r="E13" s="417"/>
      <c r="F13" s="418"/>
      <c r="G13" s="419"/>
      <c r="H13" s="420"/>
      <c r="I13" s="421"/>
      <c r="J13" s="422"/>
      <c r="K13" s="422"/>
      <c r="L13" s="422"/>
      <c r="M13" s="422"/>
      <c r="N13" s="422"/>
      <c r="O13" s="423"/>
      <c r="P13" s="423"/>
      <c r="Q13" s="423"/>
      <c r="R13" s="423"/>
      <c r="S13" s="423"/>
      <c r="T13" s="423"/>
      <c r="U13" s="424"/>
      <c r="V13" s="425"/>
      <c r="W13" s="425"/>
      <c r="X13" s="426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3"/>
      <c r="H14" s="340"/>
      <c r="I14" s="342"/>
      <c r="J14" s="349"/>
      <c r="K14" s="349"/>
      <c r="L14" s="341"/>
      <c r="M14" s="341"/>
      <c r="N14" s="350"/>
      <c r="O14" s="341"/>
      <c r="P14" s="351"/>
      <c r="Q14" s="352"/>
      <c r="R14" s="353"/>
      <c r="S14" s="354"/>
      <c r="T14" s="354"/>
      <c r="U14" s="355"/>
      <c r="V14" s="356"/>
      <c r="W14" s="342"/>
      <c r="X14" s="343"/>
      <c r="Y14" s="6"/>
    </row>
    <row r="15" spans="1:25" s="11" customFormat="1" ht="19.5" customHeight="1">
      <c r="A15" s="60"/>
      <c r="B15" s="46"/>
      <c r="C15" s="36" t="s">
        <v>188</v>
      </c>
      <c r="D15" s="217">
        <v>51586</v>
      </c>
      <c r="E15" s="217">
        <f>SUM(E16)</f>
        <v>52654</v>
      </c>
      <c r="F15" s="218">
        <f t="shared" ref="F15" si="3">E15-D15</f>
        <v>1068</v>
      </c>
      <c r="G15" s="219">
        <f t="shared" ref="G15" si="4">IF(D15=0,0,F15/D15)</f>
        <v>2.0703291590741673E-2</v>
      </c>
      <c r="H15" s="205" t="s">
        <v>229</v>
      </c>
      <c r="I15" s="206"/>
      <c r="J15" s="207"/>
      <c r="K15" s="207"/>
      <c r="L15" s="207"/>
      <c r="M15" s="207"/>
      <c r="N15" s="207"/>
      <c r="O15" s="208"/>
      <c r="P15" s="208"/>
      <c r="Q15" s="208"/>
      <c r="R15" s="208"/>
      <c r="S15" s="208"/>
      <c r="T15" s="208"/>
      <c r="U15" s="234" t="s">
        <v>70</v>
      </c>
      <c r="V15" s="235"/>
      <c r="W15" s="235">
        <f>W16</f>
        <v>52654000</v>
      </c>
      <c r="X15" s="268" t="s">
        <v>57</v>
      </c>
      <c r="Y15" s="6"/>
    </row>
    <row r="16" spans="1:25" s="11" customFormat="1" ht="19.5" customHeight="1" thickBot="1">
      <c r="A16" s="60"/>
      <c r="B16" s="46"/>
      <c r="C16" s="46" t="s">
        <v>297</v>
      </c>
      <c r="D16" s="237">
        <v>51586</v>
      </c>
      <c r="E16" s="237">
        <f>W16/1000</f>
        <v>52654</v>
      </c>
      <c r="F16" s="38">
        <f t="shared" ref="F16" si="5">E16-D16</f>
        <v>1068</v>
      </c>
      <c r="G16" s="120">
        <f t="shared" ref="G16" si="6">IF(D16=0,0,F16/D16)</f>
        <v>2.0703291590741673E-2</v>
      </c>
      <c r="H16" s="243" t="s">
        <v>231</v>
      </c>
      <c r="I16" s="242"/>
      <c r="J16" s="248"/>
      <c r="K16" s="248"/>
      <c r="L16" s="87"/>
      <c r="M16" s="87"/>
      <c r="N16" s="238"/>
      <c r="O16" s="87"/>
      <c r="P16" s="239"/>
      <c r="Q16" s="240"/>
      <c r="R16" s="241"/>
      <c r="S16" s="246"/>
      <c r="T16" s="246"/>
      <c r="U16" s="244" t="s">
        <v>222</v>
      </c>
      <c r="V16" s="245"/>
      <c r="W16" s="245">
        <f>SUM(W17:W19)</f>
        <v>52654000</v>
      </c>
      <c r="X16" s="269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442" t="s">
        <v>424</v>
      </c>
      <c r="I17" s="133"/>
      <c r="J17" s="494"/>
      <c r="K17" s="494"/>
      <c r="L17" s="441"/>
      <c r="M17" s="441"/>
      <c r="N17" s="495"/>
      <c r="O17" s="496"/>
      <c r="P17" s="497"/>
      <c r="Q17" s="364"/>
      <c r="R17" s="498"/>
      <c r="S17" s="76"/>
      <c r="T17" s="289"/>
      <c r="U17" s="542"/>
      <c r="V17" s="542"/>
      <c r="W17" s="133">
        <v>41598000</v>
      </c>
      <c r="X17" s="134" t="s">
        <v>230</v>
      </c>
      <c r="Y17" s="493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299</v>
      </c>
      <c r="I18" s="68"/>
      <c r="J18" s="209"/>
      <c r="K18" s="209"/>
      <c r="L18" s="277">
        <v>2264000</v>
      </c>
      <c r="M18" s="277" t="s">
        <v>25</v>
      </c>
      <c r="N18" s="345" t="s">
        <v>26</v>
      </c>
      <c r="O18" s="346">
        <v>4</v>
      </c>
      <c r="P18" s="347" t="s">
        <v>425</v>
      </c>
      <c r="Q18" s="327"/>
      <c r="R18" s="348"/>
      <c r="S18" s="330"/>
      <c r="T18" s="328" t="s">
        <v>426</v>
      </c>
      <c r="U18" s="471"/>
      <c r="V18" s="279"/>
      <c r="W18" s="280">
        <f>L18*O18</f>
        <v>9056000</v>
      </c>
      <c r="X18" s="297" t="s">
        <v>427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81" t="s">
        <v>298</v>
      </c>
      <c r="I19" s="68"/>
      <c r="J19" s="209"/>
      <c r="K19" s="209"/>
      <c r="L19" s="277"/>
      <c r="M19" s="277"/>
      <c r="N19" s="345"/>
      <c r="O19" s="346"/>
      <c r="P19" s="347"/>
      <c r="Q19" s="327"/>
      <c r="R19" s="348"/>
      <c r="S19" s="330"/>
      <c r="T19" s="328"/>
      <c r="U19" s="540"/>
      <c r="V19" s="540"/>
      <c r="W19" s="68">
        <v>2000000</v>
      </c>
      <c r="X19" s="57" t="s">
        <v>230</v>
      </c>
      <c r="Y19" s="6"/>
    </row>
    <row r="20" spans="1:25" s="11" customFormat="1" ht="19.5" customHeight="1">
      <c r="A20" s="60"/>
      <c r="B20" s="81"/>
      <c r="C20" s="82"/>
      <c r="D20" s="61"/>
      <c r="E20" s="61"/>
      <c r="F20" s="62"/>
      <c r="G20" s="83"/>
      <c r="H20" s="225"/>
      <c r="I20" s="224"/>
      <c r="J20" s="84"/>
      <c r="K20" s="84"/>
      <c r="L20" s="224"/>
      <c r="M20" s="224"/>
      <c r="N20" s="225"/>
      <c r="O20" s="224"/>
      <c r="P20" s="224"/>
      <c r="Q20" s="225"/>
      <c r="R20" s="225"/>
      <c r="S20" s="225"/>
      <c r="T20" s="225"/>
      <c r="U20" s="225"/>
      <c r="V20" s="225"/>
      <c r="W20" s="224"/>
      <c r="X20" s="73"/>
      <c r="Y20" s="6"/>
    </row>
    <row r="21" spans="1:25" s="11" customFormat="1" ht="19.5" customHeight="1">
      <c r="A21" s="45"/>
      <c r="B21" s="46"/>
      <c r="C21" s="46" t="s">
        <v>190</v>
      </c>
      <c r="D21" s="217">
        <v>0</v>
      </c>
      <c r="E21" s="217">
        <f>E22</f>
        <v>0</v>
      </c>
      <c r="F21" s="218">
        <f t="shared" ref="F21:F22" si="7">E21-D21</f>
        <v>0</v>
      </c>
      <c r="G21" s="219">
        <f t="shared" ref="G21:G22" si="8">IF(D21=0,0,F21/D21)</f>
        <v>0</v>
      </c>
      <c r="H21" s="205" t="s">
        <v>191</v>
      </c>
      <c r="I21" s="206"/>
      <c r="J21" s="207"/>
      <c r="K21" s="207"/>
      <c r="L21" s="207"/>
      <c r="M21" s="207"/>
      <c r="N21" s="207"/>
      <c r="O21" s="208"/>
      <c r="P21" s="208"/>
      <c r="Q21" s="208"/>
      <c r="R21" s="208"/>
      <c r="S21" s="208"/>
      <c r="T21" s="208"/>
      <c r="U21" s="234" t="s">
        <v>70</v>
      </c>
      <c r="V21" s="235"/>
      <c r="W21" s="236">
        <f>W22</f>
        <v>0</v>
      </c>
      <c r="X21" s="268" t="s">
        <v>57</v>
      </c>
      <c r="Y21" s="6"/>
    </row>
    <row r="22" spans="1:25" ht="21" customHeight="1">
      <c r="A22" s="45"/>
      <c r="B22" s="46"/>
      <c r="C22" s="46"/>
      <c r="D22" s="48">
        <v>0</v>
      </c>
      <c r="E22" s="48">
        <f>W22/1000</f>
        <v>0</v>
      </c>
      <c r="F22" s="38">
        <f t="shared" si="7"/>
        <v>0</v>
      </c>
      <c r="G22" s="120">
        <f t="shared" si="8"/>
        <v>0</v>
      </c>
      <c r="H22" s="281" t="s">
        <v>300</v>
      </c>
      <c r="I22" s="279"/>
      <c r="J22" s="277"/>
      <c r="K22" s="277"/>
      <c r="L22" s="427"/>
      <c r="M22" s="428"/>
      <c r="N22" s="428"/>
      <c r="O22" s="429"/>
      <c r="P22" s="430"/>
      <c r="Q22" s="428"/>
      <c r="R22" s="431"/>
      <c r="S22" s="428"/>
      <c r="T22" s="428"/>
      <c r="U22" s="277"/>
      <c r="V22" s="280"/>
      <c r="W22" s="277"/>
      <c r="X22" s="297"/>
      <c r="Y22" s="432"/>
    </row>
    <row r="23" spans="1:25" ht="21" customHeight="1">
      <c r="A23" s="45"/>
      <c r="B23" s="46"/>
      <c r="C23" s="46"/>
      <c r="D23" s="48"/>
      <c r="E23" s="48"/>
      <c r="F23" s="49"/>
      <c r="G23" s="70"/>
      <c r="H23" s="67"/>
      <c r="I23" s="223"/>
      <c r="J23" s="222"/>
      <c r="K23" s="222"/>
      <c r="L23" s="222"/>
      <c r="M23" s="54"/>
      <c r="N23" s="74"/>
      <c r="O23" s="78"/>
      <c r="P23" s="74"/>
      <c r="Q23" s="74"/>
      <c r="R23" s="77"/>
      <c r="S23" s="76"/>
      <c r="T23" s="247"/>
      <c r="U23" s="222"/>
      <c r="V23" s="68"/>
      <c r="W23" s="68"/>
      <c r="X23" s="57"/>
    </row>
    <row r="24" spans="1:25" ht="21" customHeight="1">
      <c r="A24" s="45"/>
      <c r="B24" s="46"/>
      <c r="C24" s="36" t="s">
        <v>192</v>
      </c>
      <c r="D24" s="217">
        <v>0</v>
      </c>
      <c r="E24" s="217">
        <f>E25</f>
        <v>0</v>
      </c>
      <c r="F24" s="218">
        <f t="shared" ref="F24:F25" si="9">E24-D24</f>
        <v>0</v>
      </c>
      <c r="G24" s="219">
        <f t="shared" ref="G24:G25" si="10">IF(D24=0,0,F24/D24)</f>
        <v>0</v>
      </c>
      <c r="H24" s="205" t="s">
        <v>365</v>
      </c>
      <c r="I24" s="206"/>
      <c r="J24" s="207"/>
      <c r="K24" s="207"/>
      <c r="L24" s="207"/>
      <c r="M24" s="207"/>
      <c r="N24" s="207"/>
      <c r="O24" s="208"/>
      <c r="P24" s="208"/>
      <c r="Q24" s="208"/>
      <c r="R24" s="208"/>
      <c r="S24" s="208"/>
      <c r="T24" s="208"/>
      <c r="U24" s="234" t="s">
        <v>70</v>
      </c>
      <c r="V24" s="235"/>
      <c r="W24" s="235">
        <f>SUM(W25:W25)</f>
        <v>0</v>
      </c>
      <c r="X24" s="268" t="s">
        <v>57</v>
      </c>
    </row>
    <row r="25" spans="1:25" ht="21" customHeight="1">
      <c r="A25" s="45"/>
      <c r="B25" s="46"/>
      <c r="C25" s="46" t="s">
        <v>189</v>
      </c>
      <c r="D25" s="48">
        <v>0</v>
      </c>
      <c r="E25" s="48">
        <f>W25/1000</f>
        <v>0</v>
      </c>
      <c r="F25" s="274">
        <f t="shared" si="9"/>
        <v>0</v>
      </c>
      <c r="G25" s="184">
        <f t="shared" si="10"/>
        <v>0</v>
      </c>
      <c r="H25" s="67"/>
      <c r="I25" s="223"/>
      <c r="J25" s="222"/>
      <c r="K25" s="222"/>
      <c r="L25" s="293"/>
      <c r="M25" s="293"/>
      <c r="N25" s="294"/>
      <c r="O25" s="293"/>
      <c r="P25" s="293"/>
      <c r="Q25" s="294"/>
      <c r="R25" s="293"/>
      <c r="S25" s="293"/>
      <c r="T25" s="293"/>
      <c r="U25" s="293"/>
      <c r="V25" s="68"/>
      <c r="W25" s="68"/>
      <c r="X25" s="57"/>
    </row>
    <row r="26" spans="1:25" ht="21" customHeight="1">
      <c r="A26" s="270"/>
      <c r="B26" s="82"/>
      <c r="C26" s="82"/>
      <c r="D26" s="61"/>
      <c r="E26" s="61"/>
      <c r="F26" s="62"/>
      <c r="G26" s="83"/>
      <c r="H26" s="71"/>
      <c r="I26" s="224"/>
      <c r="J26" s="84"/>
      <c r="K26" s="84"/>
      <c r="L26" s="85"/>
      <c r="M26" s="224"/>
      <c r="N26" s="84"/>
      <c r="O26" s="224"/>
      <c r="P26" s="224"/>
      <c r="Q26" s="224"/>
      <c r="R26" s="224"/>
      <c r="S26" s="224"/>
      <c r="T26" s="224"/>
      <c r="U26" s="224"/>
      <c r="V26" s="224"/>
      <c r="W26" s="224"/>
      <c r="X26" s="73"/>
    </row>
    <row r="27" spans="1:25" s="11" customFormat="1" ht="19.5" customHeight="1">
      <c r="A27" s="35" t="s">
        <v>73</v>
      </c>
      <c r="B27" s="36" t="s">
        <v>30</v>
      </c>
      <c r="C27" s="414" t="s">
        <v>243</v>
      </c>
      <c r="D27" s="249">
        <v>600</v>
      </c>
      <c r="E27" s="249">
        <f>SUM(E28,E33)</f>
        <v>1080</v>
      </c>
      <c r="F27" s="250">
        <f t="shared" ref="F27" si="11">E27-D27</f>
        <v>480</v>
      </c>
      <c r="G27" s="251">
        <f t="shared" ref="G27" si="12">IF(D27=0,0,F27/D27)</f>
        <v>0.8</v>
      </c>
      <c r="H27" s="252" t="s">
        <v>244</v>
      </c>
      <c r="I27" s="253"/>
      <c r="J27" s="254"/>
      <c r="K27" s="254"/>
      <c r="L27" s="253"/>
      <c r="M27" s="253"/>
      <c r="N27" s="253"/>
      <c r="O27" s="253"/>
      <c r="P27" s="253" t="s">
        <v>69</v>
      </c>
      <c r="Q27" s="255"/>
      <c r="R27" s="255"/>
      <c r="S27" s="255"/>
      <c r="T27" s="255"/>
      <c r="U27" s="255"/>
      <c r="V27" s="255"/>
      <c r="W27" s="256">
        <f>W28+W33</f>
        <v>1080000</v>
      </c>
      <c r="X27" s="267" t="s">
        <v>25</v>
      </c>
      <c r="Y27" s="6"/>
    </row>
    <row r="28" spans="1:25" ht="21" customHeight="1">
      <c r="A28" s="45" t="s">
        <v>180</v>
      </c>
      <c r="B28" s="46" t="s">
        <v>180</v>
      </c>
      <c r="C28" s="36" t="s">
        <v>193</v>
      </c>
      <c r="D28" s="217">
        <v>0</v>
      </c>
      <c r="E28" s="217">
        <f>E29</f>
        <v>0</v>
      </c>
      <c r="F28" s="218">
        <f t="shared" ref="F28:F29" si="13">E28-D28</f>
        <v>0</v>
      </c>
      <c r="G28" s="219">
        <v>1</v>
      </c>
      <c r="H28" s="205" t="s">
        <v>249</v>
      </c>
      <c r="I28" s="206"/>
      <c r="J28" s="207"/>
      <c r="K28" s="207"/>
      <c r="L28" s="207"/>
      <c r="M28" s="207"/>
      <c r="N28" s="207"/>
      <c r="O28" s="208"/>
      <c r="P28" s="208"/>
      <c r="Q28" s="208"/>
      <c r="R28" s="208"/>
      <c r="S28" s="208"/>
      <c r="T28" s="208"/>
      <c r="U28" s="234" t="s">
        <v>240</v>
      </c>
      <c r="V28" s="235"/>
      <c r="W28" s="236">
        <f>SUM(W29,W31)</f>
        <v>0</v>
      </c>
      <c r="X28" s="268" t="s">
        <v>239</v>
      </c>
    </row>
    <row r="29" spans="1:25" ht="21" customHeight="1">
      <c r="A29" s="45"/>
      <c r="B29" s="46"/>
      <c r="C29" s="46" t="s">
        <v>194</v>
      </c>
      <c r="D29" s="48">
        <v>0</v>
      </c>
      <c r="E29" s="48">
        <f>W29/1000</f>
        <v>0</v>
      </c>
      <c r="F29" s="274">
        <f t="shared" si="13"/>
        <v>0</v>
      </c>
      <c r="G29" s="184">
        <v>1</v>
      </c>
      <c r="H29" s="144" t="s">
        <v>195</v>
      </c>
      <c r="I29" s="161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541" t="s">
        <v>70</v>
      </c>
      <c r="V29" s="541"/>
      <c r="W29" s="146">
        <f>SUM(W30:W30)</f>
        <v>0</v>
      </c>
      <c r="X29" s="147" t="s">
        <v>67</v>
      </c>
    </row>
    <row r="30" spans="1:25" ht="21.75" customHeight="1">
      <c r="A30" s="45"/>
      <c r="B30" s="46"/>
      <c r="C30" s="46"/>
      <c r="D30" s="61"/>
      <c r="E30" s="61"/>
      <c r="F30" s="49"/>
      <c r="G30" s="31"/>
      <c r="H30" s="67"/>
      <c r="I30" s="223"/>
      <c r="J30" s="222"/>
      <c r="K30" s="222"/>
      <c r="L30" s="222"/>
      <c r="M30" s="247"/>
      <c r="N30" s="74"/>
      <c r="O30" s="69"/>
      <c r="P30" s="74"/>
      <c r="Q30" s="79"/>
      <c r="R30" s="76"/>
      <c r="S30" s="76"/>
      <c r="T30" s="247"/>
      <c r="U30" s="222"/>
      <c r="V30" s="68"/>
      <c r="W30" s="133"/>
      <c r="X30" s="57"/>
    </row>
    <row r="31" spans="1:25" ht="18" customHeight="1">
      <c r="A31" s="45"/>
      <c r="B31" s="46"/>
      <c r="C31" s="46"/>
      <c r="D31" s="48">
        <v>0</v>
      </c>
      <c r="E31" s="48">
        <f>W31/1000</f>
        <v>0</v>
      </c>
      <c r="F31" s="38">
        <f t="shared" ref="F31" si="14">E31-D31</f>
        <v>0</v>
      </c>
      <c r="G31" s="39">
        <f t="shared" ref="G31" si="15">IF(D31=0,0,F31/D31)</f>
        <v>0</v>
      </c>
      <c r="H31" s="144" t="s">
        <v>195</v>
      </c>
      <c r="I31" s="161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541" t="s">
        <v>70</v>
      </c>
      <c r="V31" s="541"/>
      <c r="W31" s="146">
        <f>W32</f>
        <v>0</v>
      </c>
      <c r="X31" s="147" t="s">
        <v>57</v>
      </c>
    </row>
    <row r="32" spans="1:25" ht="18" customHeight="1">
      <c r="A32" s="45"/>
      <c r="B32" s="46"/>
      <c r="C32" s="59"/>
      <c r="D32" s="61"/>
      <c r="E32" s="61"/>
      <c r="F32" s="62"/>
      <c r="G32" s="204"/>
      <c r="H32" s="67"/>
      <c r="I32" s="223"/>
      <c r="J32" s="222"/>
      <c r="K32" s="222"/>
      <c r="L32" s="222"/>
      <c r="M32" s="247"/>
      <c r="N32" s="74"/>
      <c r="O32" s="69"/>
      <c r="P32" s="74"/>
      <c r="Q32" s="79"/>
      <c r="R32" s="76"/>
      <c r="S32" s="76"/>
      <c r="T32" s="247"/>
      <c r="U32" s="222"/>
      <c r="V32" s="68"/>
      <c r="W32" s="68"/>
      <c r="X32" s="57"/>
    </row>
    <row r="33" spans="1:26" ht="18" customHeight="1">
      <c r="A33" s="45"/>
      <c r="B33" s="46"/>
      <c r="C33" s="46" t="s">
        <v>196</v>
      </c>
      <c r="D33" s="217">
        <v>600</v>
      </c>
      <c r="E33" s="217">
        <f>E34</f>
        <v>1080</v>
      </c>
      <c r="F33" s="218">
        <f t="shared" ref="F33:F34" si="16">E33-D33</f>
        <v>480</v>
      </c>
      <c r="G33" s="219">
        <f t="shared" ref="G33:G34" si="17">IF(D33=0,0,F33/D33)</f>
        <v>0.8</v>
      </c>
      <c r="H33" s="205" t="s">
        <v>197</v>
      </c>
      <c r="I33" s="206"/>
      <c r="J33" s="207"/>
      <c r="K33" s="207"/>
      <c r="L33" s="207"/>
      <c r="M33" s="207"/>
      <c r="N33" s="207"/>
      <c r="O33" s="208"/>
      <c r="P33" s="208"/>
      <c r="Q33" s="208"/>
      <c r="R33" s="208"/>
      <c r="S33" s="208"/>
      <c r="T33" s="208"/>
      <c r="U33" s="234" t="s">
        <v>70</v>
      </c>
      <c r="V33" s="235"/>
      <c r="W33" s="235">
        <f>W34</f>
        <v>1080000</v>
      </c>
      <c r="X33" s="268" t="s">
        <v>57</v>
      </c>
    </row>
    <row r="34" spans="1:26" ht="25.5" customHeight="1">
      <c r="A34" s="45"/>
      <c r="B34" s="46"/>
      <c r="C34" s="46" t="s">
        <v>194</v>
      </c>
      <c r="D34" s="48">
        <v>600</v>
      </c>
      <c r="E34" s="48">
        <f>W34/1000</f>
        <v>1080</v>
      </c>
      <c r="F34" s="274">
        <f t="shared" si="16"/>
        <v>480</v>
      </c>
      <c r="G34" s="184">
        <f t="shared" si="17"/>
        <v>0.8</v>
      </c>
      <c r="H34" s="144" t="s">
        <v>291</v>
      </c>
      <c r="I34" s="161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541" t="s">
        <v>70</v>
      </c>
      <c r="V34" s="541"/>
      <c r="W34" s="146">
        <f>SUM(W35:W35)</f>
        <v>1080000</v>
      </c>
      <c r="X34" s="147" t="s">
        <v>67</v>
      </c>
    </row>
    <row r="35" spans="1:26" ht="21" customHeight="1">
      <c r="A35" s="45"/>
      <c r="B35" s="46"/>
      <c r="C35" s="46"/>
      <c r="D35" s="48"/>
      <c r="E35" s="48"/>
      <c r="F35" s="272"/>
      <c r="G35" s="273"/>
      <c r="H35" s="67" t="s">
        <v>74</v>
      </c>
      <c r="I35" s="294"/>
      <c r="J35" s="293"/>
      <c r="K35" s="293"/>
      <c r="L35" s="427">
        <v>90000</v>
      </c>
      <c r="M35" s="428" t="s">
        <v>57</v>
      </c>
      <c r="N35" s="428" t="s">
        <v>58</v>
      </c>
      <c r="O35" s="293">
        <v>12</v>
      </c>
      <c r="P35" s="293" t="s">
        <v>376</v>
      </c>
      <c r="Q35" s="428"/>
      <c r="R35" s="431"/>
      <c r="S35" s="428"/>
      <c r="T35" s="428" t="s">
        <v>53</v>
      </c>
      <c r="U35" s="277"/>
      <c r="V35" s="280"/>
      <c r="W35" s="277">
        <f>L35*O35</f>
        <v>1080000</v>
      </c>
      <c r="X35" s="297" t="s">
        <v>57</v>
      </c>
    </row>
    <row r="36" spans="1:26" ht="21" customHeight="1">
      <c r="A36" s="58"/>
      <c r="B36" s="59"/>
      <c r="C36" s="59"/>
      <c r="D36" s="61"/>
      <c r="E36" s="61"/>
      <c r="F36" s="62"/>
      <c r="G36" s="204"/>
      <c r="H36" s="71"/>
      <c r="I36" s="225"/>
      <c r="J36" s="224"/>
      <c r="K36" s="224"/>
      <c r="L36" s="224"/>
      <c r="M36" s="202"/>
      <c r="N36" s="210"/>
      <c r="O36" s="211"/>
      <c r="P36" s="210"/>
      <c r="Q36" s="212"/>
      <c r="R36" s="213"/>
      <c r="S36" s="213"/>
      <c r="T36" s="202"/>
      <c r="U36" s="224"/>
      <c r="V36" s="72"/>
      <c r="W36" s="72"/>
      <c r="X36" s="73"/>
    </row>
    <row r="37" spans="1:26" ht="21" customHeight="1">
      <c r="A37" s="35" t="s">
        <v>198</v>
      </c>
      <c r="B37" s="36" t="s">
        <v>198</v>
      </c>
      <c r="C37" s="414" t="s">
        <v>243</v>
      </c>
      <c r="D37" s="249">
        <v>0</v>
      </c>
      <c r="E37" s="249">
        <f>SUM(E38,E41)</f>
        <v>0</v>
      </c>
      <c r="F37" s="250">
        <f t="shared" ref="F37:F39" si="18">E37-D37</f>
        <v>0</v>
      </c>
      <c r="G37" s="251">
        <f t="shared" ref="G37:G39" si="19">IF(D37=0,0,F37/D37)</f>
        <v>0</v>
      </c>
      <c r="H37" s="252" t="s">
        <v>245</v>
      </c>
      <c r="I37" s="253"/>
      <c r="J37" s="254"/>
      <c r="K37" s="254"/>
      <c r="L37" s="253"/>
      <c r="M37" s="253"/>
      <c r="N37" s="253"/>
      <c r="O37" s="253"/>
      <c r="P37" s="253" t="s">
        <v>68</v>
      </c>
      <c r="Q37" s="255"/>
      <c r="R37" s="255"/>
      <c r="S37" s="255"/>
      <c r="T37" s="255"/>
      <c r="U37" s="255"/>
      <c r="V37" s="255"/>
      <c r="W37" s="256">
        <f>W38+W41</f>
        <v>0</v>
      </c>
      <c r="X37" s="267" t="s">
        <v>25</v>
      </c>
    </row>
    <row r="38" spans="1:26" ht="21" customHeight="1">
      <c r="A38" s="45"/>
      <c r="B38" s="46"/>
      <c r="C38" s="36" t="s">
        <v>199</v>
      </c>
      <c r="D38" s="217">
        <v>0</v>
      </c>
      <c r="E38" s="217">
        <f>E39</f>
        <v>0</v>
      </c>
      <c r="F38" s="218">
        <f t="shared" si="18"/>
        <v>0</v>
      </c>
      <c r="G38" s="219">
        <f t="shared" si="19"/>
        <v>0</v>
      </c>
      <c r="H38" s="205" t="s">
        <v>201</v>
      </c>
      <c r="I38" s="206"/>
      <c r="J38" s="207"/>
      <c r="K38" s="207"/>
      <c r="L38" s="207"/>
      <c r="M38" s="207"/>
      <c r="N38" s="207"/>
      <c r="O38" s="208"/>
      <c r="P38" s="208"/>
      <c r="Q38" s="208"/>
      <c r="R38" s="208"/>
      <c r="S38" s="208"/>
      <c r="T38" s="208"/>
      <c r="U38" s="234" t="s">
        <v>70</v>
      </c>
      <c r="V38" s="235"/>
      <c r="W38" s="236">
        <f>W39</f>
        <v>0</v>
      </c>
      <c r="X38" s="268" t="s">
        <v>57</v>
      </c>
    </row>
    <row r="39" spans="1:26" ht="21" customHeight="1">
      <c r="A39" s="45"/>
      <c r="B39" s="46"/>
      <c r="C39" s="46" t="s">
        <v>200</v>
      </c>
      <c r="D39" s="48">
        <v>0</v>
      </c>
      <c r="E39" s="48">
        <f>W39/1000</f>
        <v>0</v>
      </c>
      <c r="F39" s="38">
        <f t="shared" si="18"/>
        <v>0</v>
      </c>
      <c r="G39" s="39">
        <f t="shared" si="19"/>
        <v>0</v>
      </c>
      <c r="H39" s="144" t="s">
        <v>201</v>
      </c>
      <c r="I39" s="161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541" t="s">
        <v>70</v>
      </c>
      <c r="V39" s="541"/>
      <c r="W39" s="146">
        <f>W40</f>
        <v>0</v>
      </c>
      <c r="X39" s="147" t="s">
        <v>57</v>
      </c>
    </row>
    <row r="40" spans="1:26" ht="21" customHeight="1">
      <c r="A40" s="45"/>
      <c r="B40" s="46"/>
      <c r="C40" s="46" t="s">
        <v>198</v>
      </c>
      <c r="D40" s="48"/>
      <c r="E40" s="48"/>
      <c r="F40" s="49"/>
      <c r="G40" s="31"/>
      <c r="H40" s="67"/>
      <c r="I40" s="223"/>
      <c r="J40" s="222"/>
      <c r="K40" s="222"/>
      <c r="L40" s="222"/>
      <c r="M40" s="247"/>
      <c r="N40" s="74"/>
      <c r="O40" s="69"/>
      <c r="P40" s="74"/>
      <c r="Q40" s="79"/>
      <c r="R40" s="76"/>
      <c r="S40" s="76"/>
      <c r="T40" s="247"/>
      <c r="U40" s="222"/>
      <c r="V40" s="68"/>
      <c r="W40" s="68"/>
      <c r="X40" s="57"/>
    </row>
    <row r="41" spans="1:26" ht="21" customHeight="1">
      <c r="A41" s="45"/>
      <c r="B41" s="46"/>
      <c r="C41" s="36" t="s">
        <v>192</v>
      </c>
      <c r="D41" s="217">
        <v>0</v>
      </c>
      <c r="E41" s="217">
        <f>E42</f>
        <v>0</v>
      </c>
      <c r="F41" s="218">
        <f t="shared" ref="F41:F42" si="20">E41-D41</f>
        <v>0</v>
      </c>
      <c r="G41" s="219">
        <f t="shared" ref="G41:G42" si="21">IF(D41=0,0,F41/D41)</f>
        <v>0</v>
      </c>
      <c r="H41" s="205" t="s">
        <v>202</v>
      </c>
      <c r="I41" s="206"/>
      <c r="J41" s="207"/>
      <c r="K41" s="207"/>
      <c r="L41" s="207"/>
      <c r="M41" s="207"/>
      <c r="N41" s="207"/>
      <c r="O41" s="208"/>
      <c r="P41" s="208"/>
      <c r="Q41" s="208"/>
      <c r="R41" s="208"/>
      <c r="S41" s="208"/>
      <c r="T41" s="208"/>
      <c r="U41" s="234" t="s">
        <v>70</v>
      </c>
      <c r="V41" s="235"/>
      <c r="W41" s="235">
        <f>W42</f>
        <v>0</v>
      </c>
      <c r="X41" s="268" t="s">
        <v>57</v>
      </c>
    </row>
    <row r="42" spans="1:26" ht="21" customHeight="1">
      <c r="A42" s="45"/>
      <c r="B42" s="46"/>
      <c r="C42" s="46" t="s">
        <v>198</v>
      </c>
      <c r="D42" s="48">
        <v>0</v>
      </c>
      <c r="E42" s="48">
        <f>W42/1000</f>
        <v>0</v>
      </c>
      <c r="F42" s="38">
        <f t="shared" si="20"/>
        <v>0</v>
      </c>
      <c r="G42" s="39">
        <f t="shared" si="21"/>
        <v>0</v>
      </c>
      <c r="H42" s="67"/>
      <c r="I42" s="223"/>
      <c r="J42" s="222"/>
      <c r="K42" s="222"/>
      <c r="L42" s="222"/>
      <c r="M42" s="247"/>
      <c r="N42" s="74"/>
      <c r="O42" s="69"/>
      <c r="P42" s="74"/>
      <c r="Q42" s="79"/>
      <c r="R42" s="76"/>
      <c r="S42" s="76"/>
      <c r="T42" s="247"/>
      <c r="U42" s="222"/>
      <c r="V42" s="68"/>
      <c r="W42" s="68"/>
      <c r="X42" s="57"/>
    </row>
    <row r="43" spans="1:26" ht="21" customHeight="1">
      <c r="A43" s="58"/>
      <c r="B43" s="59"/>
      <c r="C43" s="59"/>
      <c r="D43" s="61"/>
      <c r="E43" s="61"/>
      <c r="F43" s="62"/>
      <c r="G43" s="204"/>
      <c r="H43" s="71"/>
      <c r="I43" s="225"/>
      <c r="J43" s="224"/>
      <c r="K43" s="224"/>
      <c r="L43" s="224"/>
      <c r="M43" s="202"/>
      <c r="N43" s="210"/>
      <c r="O43" s="211"/>
      <c r="P43" s="210"/>
      <c r="Q43" s="212"/>
      <c r="R43" s="213"/>
      <c r="S43" s="213"/>
      <c r="T43" s="202"/>
      <c r="U43" s="224"/>
      <c r="V43" s="72"/>
      <c r="W43" s="72"/>
      <c r="X43" s="73"/>
    </row>
    <row r="44" spans="1:26" ht="21" customHeight="1">
      <c r="A44" s="35" t="s">
        <v>75</v>
      </c>
      <c r="B44" s="36" t="s">
        <v>13</v>
      </c>
      <c r="C44" s="414" t="s">
        <v>243</v>
      </c>
      <c r="D44" s="249">
        <v>0</v>
      </c>
      <c r="E44" s="249">
        <f>SUM(E45,E48)</f>
        <v>0</v>
      </c>
      <c r="F44" s="250">
        <f t="shared" ref="F44:F46" si="22">E44-D44</f>
        <v>0</v>
      </c>
      <c r="G44" s="251">
        <f t="shared" ref="G44:G46" si="23">IF(D44=0,0,F44/D44)</f>
        <v>0</v>
      </c>
      <c r="H44" s="252" t="s">
        <v>246</v>
      </c>
      <c r="I44" s="253"/>
      <c r="J44" s="254"/>
      <c r="K44" s="254"/>
      <c r="L44" s="253"/>
      <c r="M44" s="253"/>
      <c r="N44" s="253"/>
      <c r="O44" s="253"/>
      <c r="P44" s="253" t="s">
        <v>68</v>
      </c>
      <c r="Q44" s="255"/>
      <c r="R44" s="255"/>
      <c r="S44" s="255"/>
      <c r="T44" s="255"/>
      <c r="U44" s="255"/>
      <c r="V44" s="255"/>
      <c r="W44" s="256">
        <f>W46+W48</f>
        <v>0</v>
      </c>
      <c r="X44" s="267" t="s">
        <v>25</v>
      </c>
    </row>
    <row r="45" spans="1:26" ht="21" customHeight="1">
      <c r="A45" s="45"/>
      <c r="B45" s="46"/>
      <c r="C45" s="36" t="s">
        <v>203</v>
      </c>
      <c r="D45" s="217">
        <v>0</v>
      </c>
      <c r="E45" s="217">
        <f>E46</f>
        <v>0</v>
      </c>
      <c r="F45" s="218">
        <f t="shared" si="22"/>
        <v>0</v>
      </c>
      <c r="G45" s="219">
        <f t="shared" si="23"/>
        <v>0</v>
      </c>
      <c r="H45" s="205" t="s">
        <v>250</v>
      </c>
      <c r="I45" s="206"/>
      <c r="J45" s="207"/>
      <c r="K45" s="207"/>
      <c r="L45" s="207"/>
      <c r="M45" s="207"/>
      <c r="N45" s="207"/>
      <c r="O45" s="208"/>
      <c r="P45" s="208"/>
      <c r="Q45" s="208"/>
      <c r="R45" s="208"/>
      <c r="S45" s="208"/>
      <c r="T45" s="208"/>
      <c r="U45" s="234" t="s">
        <v>240</v>
      </c>
      <c r="V45" s="235"/>
      <c r="W45" s="236">
        <f>SUM(W46:W46)</f>
        <v>0</v>
      </c>
      <c r="X45" s="268" t="s">
        <v>239</v>
      </c>
      <c r="Y45" s="23"/>
      <c r="Z45" s="24"/>
    </row>
    <row r="46" spans="1:26" ht="21" customHeight="1">
      <c r="A46" s="45"/>
      <c r="B46" s="46"/>
      <c r="C46" s="46" t="s">
        <v>204</v>
      </c>
      <c r="D46" s="48">
        <v>0</v>
      </c>
      <c r="E46" s="48">
        <f>W46/1000</f>
        <v>0</v>
      </c>
      <c r="F46" s="38">
        <f t="shared" si="22"/>
        <v>0</v>
      </c>
      <c r="G46" s="39">
        <f t="shared" si="23"/>
        <v>0</v>
      </c>
      <c r="H46" s="144" t="s">
        <v>207</v>
      </c>
      <c r="I46" s="161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541" t="s">
        <v>70</v>
      </c>
      <c r="V46" s="541"/>
      <c r="W46" s="146"/>
      <c r="X46" s="147" t="s">
        <v>57</v>
      </c>
      <c r="Y46" s="23"/>
      <c r="Z46" s="24"/>
    </row>
    <row r="47" spans="1:26" ht="21" customHeight="1">
      <c r="A47" s="45"/>
      <c r="B47" s="46"/>
      <c r="C47" s="46"/>
      <c r="D47" s="48"/>
      <c r="E47" s="48"/>
      <c r="F47" s="49"/>
      <c r="G47" s="31"/>
      <c r="H47" s="67" t="s">
        <v>232</v>
      </c>
      <c r="I47" s="223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47"/>
      <c r="V47" s="247"/>
      <c r="W47" s="68"/>
      <c r="X47" s="57" t="s">
        <v>233</v>
      </c>
      <c r="Y47" s="23"/>
      <c r="Z47" s="24"/>
    </row>
    <row r="48" spans="1:26" ht="21" customHeight="1">
      <c r="A48" s="45"/>
      <c r="B48" s="46"/>
      <c r="C48" s="36" t="s">
        <v>205</v>
      </c>
      <c r="D48" s="217">
        <v>0</v>
      </c>
      <c r="E48" s="217">
        <f>E49</f>
        <v>0</v>
      </c>
      <c r="F48" s="218">
        <f t="shared" ref="F48:F49" si="24">E48-D48</f>
        <v>0</v>
      </c>
      <c r="G48" s="219">
        <f t="shared" ref="G48:G49" si="25">IF(D48=0,0,F48/D48)</f>
        <v>0</v>
      </c>
      <c r="H48" s="205" t="s">
        <v>251</v>
      </c>
      <c r="I48" s="206"/>
      <c r="J48" s="207"/>
      <c r="K48" s="207"/>
      <c r="L48" s="207"/>
      <c r="M48" s="207"/>
      <c r="N48" s="207"/>
      <c r="O48" s="208"/>
      <c r="P48" s="208"/>
      <c r="Q48" s="208"/>
      <c r="R48" s="208"/>
      <c r="S48" s="208"/>
      <c r="T48" s="208"/>
      <c r="U48" s="234" t="s">
        <v>240</v>
      </c>
      <c r="V48" s="235"/>
      <c r="W48" s="235">
        <f>SUM(W49:W49)</f>
        <v>0</v>
      </c>
      <c r="X48" s="268" t="s">
        <v>239</v>
      </c>
      <c r="Y48" s="23"/>
      <c r="Z48" s="24"/>
    </row>
    <row r="49" spans="1:26" ht="21" customHeight="1">
      <c r="A49" s="45"/>
      <c r="B49" s="46"/>
      <c r="C49" s="46" t="s">
        <v>204</v>
      </c>
      <c r="D49" s="48">
        <v>0</v>
      </c>
      <c r="E49" s="48">
        <f>W49/1000</f>
        <v>0</v>
      </c>
      <c r="F49" s="38">
        <f t="shared" si="24"/>
        <v>0</v>
      </c>
      <c r="G49" s="39">
        <f t="shared" si="25"/>
        <v>0</v>
      </c>
      <c r="H49" s="144" t="s">
        <v>208</v>
      </c>
      <c r="I49" s="148"/>
      <c r="J49" s="222"/>
      <c r="K49" s="222"/>
      <c r="L49" s="222"/>
      <c r="M49" s="247"/>
      <c r="N49" s="74"/>
      <c r="O49" s="69"/>
      <c r="P49" s="74"/>
      <c r="Q49" s="79"/>
      <c r="R49" s="76"/>
      <c r="S49" s="76"/>
      <c r="T49" s="247"/>
      <c r="U49" s="541" t="s">
        <v>70</v>
      </c>
      <c r="V49" s="541"/>
      <c r="W49" s="146"/>
      <c r="X49" s="147" t="s">
        <v>57</v>
      </c>
      <c r="Y49" s="23"/>
      <c r="Z49" s="24"/>
    </row>
    <row r="50" spans="1:26" ht="21" customHeight="1">
      <c r="A50" s="45"/>
      <c r="B50" s="46"/>
      <c r="C50" s="46" t="s">
        <v>301</v>
      </c>
      <c r="D50" s="48"/>
      <c r="E50" s="48"/>
      <c r="F50" s="49"/>
      <c r="G50" s="31"/>
      <c r="H50" s="71"/>
      <c r="I50" s="344"/>
      <c r="J50" s="293"/>
      <c r="K50" s="293"/>
      <c r="L50" s="293"/>
      <c r="M50" s="413"/>
      <c r="N50" s="74"/>
      <c r="O50" s="69"/>
      <c r="P50" s="74"/>
      <c r="Q50" s="79"/>
      <c r="R50" s="76"/>
      <c r="S50" s="76"/>
      <c r="T50" s="413"/>
      <c r="U50" s="202"/>
      <c r="V50" s="202"/>
      <c r="W50" s="72"/>
      <c r="X50" s="73"/>
      <c r="Y50" s="23"/>
      <c r="Z50" s="24"/>
    </row>
    <row r="51" spans="1:26" ht="21" customHeight="1">
      <c r="A51" s="35" t="s">
        <v>14</v>
      </c>
      <c r="B51" s="36" t="s">
        <v>14</v>
      </c>
      <c r="C51" s="414" t="s">
        <v>243</v>
      </c>
      <c r="D51" s="249">
        <v>7831</v>
      </c>
      <c r="E51" s="249">
        <f>SUM(E52,E65,E69)</f>
        <v>7438</v>
      </c>
      <c r="F51" s="250">
        <f t="shared" ref="F51:F53" si="26">E51-D51</f>
        <v>-393</v>
      </c>
      <c r="G51" s="251">
        <f t="shared" ref="G51:G53" si="27">IF(D51=0,0,F51/D51)</f>
        <v>-5.0185161537479248E-2</v>
      </c>
      <c r="H51" s="252" t="s">
        <v>247</v>
      </c>
      <c r="I51" s="253"/>
      <c r="J51" s="254"/>
      <c r="K51" s="254"/>
      <c r="L51" s="253"/>
      <c r="M51" s="253"/>
      <c r="N51" s="253"/>
      <c r="O51" s="253"/>
      <c r="P51" s="253" t="s">
        <v>68</v>
      </c>
      <c r="Q51" s="255"/>
      <c r="R51" s="255"/>
      <c r="S51" s="255"/>
      <c r="T51" s="255"/>
      <c r="U51" s="255"/>
      <c r="V51" s="255"/>
      <c r="W51" s="256">
        <f>SUM(W52,W65)</f>
        <v>7438000</v>
      </c>
      <c r="X51" s="267" t="s">
        <v>25</v>
      </c>
    </row>
    <row r="52" spans="1:26" ht="21" customHeight="1">
      <c r="A52" s="45"/>
      <c r="B52" s="46"/>
      <c r="C52" s="36" t="s">
        <v>209</v>
      </c>
      <c r="D52" s="217">
        <v>5431</v>
      </c>
      <c r="E52" s="217">
        <f>SUM(E53,E56,E59,E62)</f>
        <v>4975</v>
      </c>
      <c r="F52" s="218">
        <f t="shared" si="26"/>
        <v>-456</v>
      </c>
      <c r="G52" s="219">
        <f t="shared" si="27"/>
        <v>-8.3962437856748298E-2</v>
      </c>
      <c r="H52" s="205" t="s">
        <v>252</v>
      </c>
      <c r="I52" s="206"/>
      <c r="J52" s="207"/>
      <c r="K52" s="207"/>
      <c r="L52" s="207"/>
      <c r="M52" s="207"/>
      <c r="N52" s="207"/>
      <c r="O52" s="208"/>
      <c r="P52" s="208"/>
      <c r="Q52" s="208"/>
      <c r="R52" s="208"/>
      <c r="S52" s="208"/>
      <c r="T52" s="208"/>
      <c r="U52" s="234" t="s">
        <v>240</v>
      </c>
      <c r="V52" s="235"/>
      <c r="W52" s="236">
        <f>SUM(W53,W56,W59,W62)</f>
        <v>4975000</v>
      </c>
      <c r="X52" s="268" t="s">
        <v>239</v>
      </c>
    </row>
    <row r="53" spans="1:26" ht="21" customHeight="1">
      <c r="A53" s="45"/>
      <c r="B53" s="46"/>
      <c r="C53" s="46" t="s">
        <v>210</v>
      </c>
      <c r="D53" s="48">
        <v>4800</v>
      </c>
      <c r="E53" s="48">
        <f>W53/1000</f>
        <v>4275</v>
      </c>
      <c r="F53" s="38">
        <f t="shared" si="26"/>
        <v>-525</v>
      </c>
      <c r="G53" s="39">
        <f t="shared" si="27"/>
        <v>-0.109375</v>
      </c>
      <c r="H53" s="144" t="s">
        <v>234</v>
      </c>
      <c r="I53" s="161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541" t="s">
        <v>70</v>
      </c>
      <c r="V53" s="541"/>
      <c r="W53" s="146">
        <f>ROUNDUP(SUM(V54:W55),-3)</f>
        <v>4275000</v>
      </c>
      <c r="X53" s="147" t="s">
        <v>57</v>
      </c>
    </row>
    <row r="54" spans="1:26" ht="21" customHeight="1">
      <c r="A54" s="45"/>
      <c r="B54" s="46"/>
      <c r="C54" s="46"/>
      <c r="D54" s="48"/>
      <c r="E54" s="48"/>
      <c r="F54" s="49"/>
      <c r="G54" s="31"/>
      <c r="H54" s="284" t="s">
        <v>257</v>
      </c>
      <c r="I54" s="223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47"/>
      <c r="V54" s="247"/>
      <c r="W54" s="68">
        <v>4274738</v>
      </c>
      <c r="X54" s="57" t="s">
        <v>233</v>
      </c>
    </row>
    <row r="55" spans="1:26" ht="21" customHeight="1">
      <c r="A55" s="45"/>
      <c r="B55" s="46"/>
      <c r="C55" s="46"/>
      <c r="D55" s="61"/>
      <c r="E55" s="61"/>
      <c r="F55" s="62"/>
      <c r="G55" s="204"/>
      <c r="H55" s="285"/>
      <c r="I55" s="225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02"/>
      <c r="V55" s="202"/>
      <c r="W55" s="72"/>
      <c r="X55" s="73"/>
    </row>
    <row r="56" spans="1:26" ht="21" customHeight="1">
      <c r="A56" s="45"/>
      <c r="B56" s="46"/>
      <c r="C56" s="46"/>
      <c r="D56" s="48">
        <v>0</v>
      </c>
      <c r="E56" s="48">
        <f>W56/1000</f>
        <v>0</v>
      </c>
      <c r="F56" s="38">
        <f t="shared" ref="F56" si="28">E56-D56</f>
        <v>0</v>
      </c>
      <c r="G56" s="39">
        <f t="shared" ref="G56" si="29">IF(D56=0,0,F56/D56)</f>
        <v>0</v>
      </c>
      <c r="H56" s="144" t="s">
        <v>235</v>
      </c>
      <c r="I56" s="161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541" t="s">
        <v>70</v>
      </c>
      <c r="V56" s="541"/>
      <c r="W56" s="146">
        <f>ROUNDUP(SUM(V57:W57),-3)</f>
        <v>0</v>
      </c>
      <c r="X56" s="147" t="s">
        <v>57</v>
      </c>
    </row>
    <row r="57" spans="1:26" ht="21" customHeight="1">
      <c r="A57" s="45"/>
      <c r="B57" s="46"/>
      <c r="C57" s="46"/>
      <c r="D57" s="48"/>
      <c r="E57" s="48"/>
      <c r="F57" s="49"/>
      <c r="G57" s="31"/>
      <c r="H57" s="284" t="s">
        <v>258</v>
      </c>
      <c r="I57" s="223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47"/>
      <c r="V57" s="247"/>
      <c r="W57" s="68">
        <v>0</v>
      </c>
      <c r="X57" s="57" t="s">
        <v>233</v>
      </c>
    </row>
    <row r="58" spans="1:26" ht="21" customHeight="1">
      <c r="A58" s="45"/>
      <c r="B58" s="46"/>
      <c r="C58" s="46"/>
      <c r="D58" s="61"/>
      <c r="E58" s="61"/>
      <c r="F58" s="62"/>
      <c r="G58" s="204"/>
      <c r="H58" s="71"/>
      <c r="I58" s="225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02"/>
      <c r="V58" s="202"/>
      <c r="W58" s="72"/>
      <c r="X58" s="73"/>
    </row>
    <row r="59" spans="1:26" ht="21" customHeight="1">
      <c r="A59" s="45"/>
      <c r="B59" s="46"/>
      <c r="C59" s="46"/>
      <c r="D59" s="37">
        <v>1</v>
      </c>
      <c r="E59" s="48">
        <f>W59/1000</f>
        <v>1</v>
      </c>
      <c r="F59" s="38">
        <f t="shared" ref="F59" si="30">E59-D59</f>
        <v>0</v>
      </c>
      <c r="G59" s="39">
        <f t="shared" ref="G59" si="31">IF(D59=0,0,F59/D59)</f>
        <v>0</v>
      </c>
      <c r="H59" s="144" t="s">
        <v>236</v>
      </c>
      <c r="I59" s="161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541" t="s">
        <v>70</v>
      </c>
      <c r="V59" s="541"/>
      <c r="W59" s="146">
        <f>ROUND(SUM(V60:W60),-2)+900</f>
        <v>1000</v>
      </c>
      <c r="X59" s="147" t="s">
        <v>57</v>
      </c>
    </row>
    <row r="60" spans="1:26" ht="21" customHeight="1">
      <c r="A60" s="45"/>
      <c r="B60" s="46"/>
      <c r="C60" s="46"/>
      <c r="D60" s="48"/>
      <c r="E60" s="48"/>
      <c r="F60" s="49"/>
      <c r="G60" s="31"/>
      <c r="H60" s="284" t="s">
        <v>259</v>
      </c>
      <c r="I60" s="223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47"/>
      <c r="V60" s="247"/>
      <c r="W60" s="68">
        <v>57</v>
      </c>
      <c r="X60" s="57" t="s">
        <v>233</v>
      </c>
    </row>
    <row r="61" spans="1:26" ht="21" customHeight="1">
      <c r="A61" s="45"/>
      <c r="B61" s="46"/>
      <c r="C61" s="46"/>
      <c r="D61" s="61"/>
      <c r="E61" s="61"/>
      <c r="F61" s="62"/>
      <c r="G61" s="204"/>
      <c r="H61" s="71"/>
      <c r="I61" s="225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02"/>
      <c r="V61" s="202"/>
      <c r="W61" s="72"/>
      <c r="X61" s="73"/>
    </row>
    <row r="62" spans="1:26" ht="21" customHeight="1">
      <c r="A62" s="45"/>
      <c r="B62" s="46"/>
      <c r="C62" s="46"/>
      <c r="D62" s="37">
        <v>630</v>
      </c>
      <c r="E62" s="37">
        <f>W62/1000</f>
        <v>699</v>
      </c>
      <c r="F62" s="38">
        <f t="shared" ref="F62" si="32">E62-D62</f>
        <v>69</v>
      </c>
      <c r="G62" s="39">
        <f t="shared" ref="G62" si="33">IF(D62=0,0,F62/D62)</f>
        <v>0.10952380952380952</v>
      </c>
      <c r="H62" s="144" t="s">
        <v>237</v>
      </c>
      <c r="I62" s="161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541" t="s">
        <v>70</v>
      </c>
      <c r="V62" s="541"/>
      <c r="W62" s="146">
        <f>ROUNDUP(SUM(V63:W63),-3)</f>
        <v>699000</v>
      </c>
      <c r="X62" s="147" t="s">
        <v>57</v>
      </c>
    </row>
    <row r="63" spans="1:26" ht="21" customHeight="1">
      <c r="A63" s="45"/>
      <c r="B63" s="46"/>
      <c r="C63" s="46"/>
      <c r="D63" s="48"/>
      <c r="E63" s="48"/>
      <c r="F63" s="49"/>
      <c r="G63" s="31"/>
      <c r="H63" s="284" t="s">
        <v>260</v>
      </c>
      <c r="I63" s="223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47"/>
      <c r="V63" s="247"/>
      <c r="W63" s="68">
        <v>698215</v>
      </c>
      <c r="X63" s="57" t="s">
        <v>233</v>
      </c>
    </row>
    <row r="64" spans="1:26" ht="21" customHeight="1">
      <c r="A64" s="45"/>
      <c r="B64" s="46"/>
      <c r="C64" s="46"/>
      <c r="D64" s="48"/>
      <c r="E64" s="48"/>
      <c r="F64" s="49"/>
      <c r="G64" s="31"/>
      <c r="H64" s="67"/>
      <c r="I64" s="223"/>
      <c r="J64" s="222"/>
      <c r="K64" s="222"/>
      <c r="L64" s="222"/>
      <c r="M64" s="247"/>
      <c r="N64" s="74"/>
      <c r="O64" s="69"/>
      <c r="P64" s="74"/>
      <c r="Q64" s="79"/>
      <c r="R64" s="76"/>
      <c r="S64" s="76"/>
      <c r="T64" s="247"/>
      <c r="U64" s="222"/>
      <c r="V64" s="68"/>
      <c r="W64" s="68"/>
      <c r="X64" s="57"/>
    </row>
    <row r="65" spans="1:46" ht="21" customHeight="1">
      <c r="A65" s="45"/>
      <c r="B65" s="46"/>
      <c r="C65" s="36" t="s">
        <v>209</v>
      </c>
      <c r="D65" s="217">
        <v>2400</v>
      </c>
      <c r="E65" s="217">
        <f>E66</f>
        <v>2463</v>
      </c>
      <c r="F65" s="218">
        <f t="shared" ref="F65:F66" si="34">E65-D65</f>
        <v>63</v>
      </c>
      <c r="G65" s="219">
        <f t="shared" ref="G65:G66" si="35">IF(D65=0,0,F65/D65)</f>
        <v>2.6249999999999999E-2</v>
      </c>
      <c r="H65" s="205" t="s">
        <v>211</v>
      </c>
      <c r="I65" s="206"/>
      <c r="J65" s="207"/>
      <c r="K65" s="207"/>
      <c r="L65" s="207"/>
      <c r="M65" s="207"/>
      <c r="N65" s="207"/>
      <c r="O65" s="208"/>
      <c r="P65" s="208"/>
      <c r="Q65" s="208"/>
      <c r="R65" s="208"/>
      <c r="S65" s="208"/>
      <c r="T65" s="208"/>
      <c r="U65" s="234" t="s">
        <v>70</v>
      </c>
      <c r="V65" s="235"/>
      <c r="W65" s="235">
        <f>W66</f>
        <v>2463000</v>
      </c>
      <c r="X65" s="268" t="s">
        <v>57</v>
      </c>
    </row>
    <row r="66" spans="1:46" ht="21" customHeight="1">
      <c r="A66" s="45"/>
      <c r="B66" s="46"/>
      <c r="C66" s="46" t="s">
        <v>210</v>
      </c>
      <c r="D66" s="48">
        <v>2400</v>
      </c>
      <c r="E66" s="48">
        <f>W66/1000</f>
        <v>2463</v>
      </c>
      <c r="F66" s="38">
        <f t="shared" si="34"/>
        <v>63</v>
      </c>
      <c r="G66" s="39">
        <f t="shared" si="35"/>
        <v>2.6249999999999999E-2</v>
      </c>
      <c r="H66" s="286" t="s">
        <v>261</v>
      </c>
      <c r="I66" s="161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541"/>
      <c r="V66" s="541"/>
      <c r="W66" s="146">
        <f>ROUNDUP(SUM(V67:W67),-3)</f>
        <v>2463000</v>
      </c>
      <c r="X66" s="147" t="s">
        <v>57</v>
      </c>
    </row>
    <row r="67" spans="1:46" ht="21" customHeight="1">
      <c r="A67" s="45"/>
      <c r="B67" s="46"/>
      <c r="C67" s="46" t="s">
        <v>206</v>
      </c>
      <c r="D67" s="48"/>
      <c r="E67" s="48"/>
      <c r="F67" s="49"/>
      <c r="G67" s="70"/>
      <c r="H67" s="284" t="s">
        <v>262</v>
      </c>
      <c r="I67" s="223"/>
      <c r="J67" s="222"/>
      <c r="K67" s="222"/>
      <c r="L67" s="222"/>
      <c r="M67" s="222"/>
      <c r="N67" s="222"/>
      <c r="O67" s="222"/>
      <c r="P67" s="54"/>
      <c r="Q67" s="54"/>
      <c r="R67" s="54"/>
      <c r="S67" s="222"/>
      <c r="T67" s="222"/>
      <c r="U67" s="222"/>
      <c r="V67" s="68"/>
      <c r="W67" s="68">
        <v>2462778</v>
      </c>
      <c r="X67" s="57" t="s">
        <v>137</v>
      </c>
    </row>
    <row r="68" spans="1:46" ht="21" customHeight="1">
      <c r="A68" s="45"/>
      <c r="B68" s="46"/>
      <c r="C68" s="46"/>
      <c r="D68" s="48"/>
      <c r="E68" s="48"/>
      <c r="F68" s="49"/>
      <c r="G68" s="70"/>
      <c r="H68" s="67"/>
      <c r="I68" s="223"/>
      <c r="J68" s="222"/>
      <c r="K68" s="222"/>
      <c r="L68" s="222"/>
      <c r="M68" s="222"/>
      <c r="N68" s="222"/>
      <c r="O68" s="222"/>
      <c r="P68" s="54"/>
      <c r="Q68" s="54"/>
      <c r="R68" s="54"/>
      <c r="S68" s="222"/>
      <c r="T68" s="222"/>
      <c r="U68" s="222"/>
      <c r="V68" s="68"/>
      <c r="W68" s="68"/>
      <c r="X68" s="57"/>
    </row>
    <row r="69" spans="1:46" ht="21" customHeight="1">
      <c r="A69" s="45"/>
      <c r="B69" s="46"/>
      <c r="C69" s="36" t="s">
        <v>212</v>
      </c>
      <c r="D69" s="217">
        <v>0</v>
      </c>
      <c r="E69" s="217">
        <f>E70</f>
        <v>0</v>
      </c>
      <c r="F69" s="218">
        <f t="shared" ref="F69:F70" si="36">E69-D69</f>
        <v>0</v>
      </c>
      <c r="G69" s="219">
        <f t="shared" ref="G69:G70" si="37">IF(D69=0,0,F69/D69)</f>
        <v>0</v>
      </c>
      <c r="H69" s="205" t="s">
        <v>214</v>
      </c>
      <c r="I69" s="206"/>
      <c r="J69" s="207"/>
      <c r="K69" s="207"/>
      <c r="L69" s="207"/>
      <c r="M69" s="207"/>
      <c r="N69" s="207"/>
      <c r="O69" s="208"/>
      <c r="P69" s="208"/>
      <c r="Q69" s="208"/>
      <c r="R69" s="208"/>
      <c r="S69" s="208"/>
      <c r="T69" s="208"/>
      <c r="U69" s="234" t="s">
        <v>70</v>
      </c>
      <c r="V69" s="235"/>
      <c r="W69" s="235">
        <f>ROUND(SUM(V70:W71),-3)</f>
        <v>0</v>
      </c>
      <c r="X69" s="268" t="s">
        <v>57</v>
      </c>
    </row>
    <row r="70" spans="1:46" ht="21" customHeight="1">
      <c r="A70" s="45"/>
      <c r="B70" s="46"/>
      <c r="C70" s="46" t="s">
        <v>213</v>
      </c>
      <c r="D70" s="48">
        <v>0</v>
      </c>
      <c r="E70" s="48">
        <f>W70/1000</f>
        <v>0</v>
      </c>
      <c r="F70" s="38">
        <f t="shared" si="36"/>
        <v>0</v>
      </c>
      <c r="G70" s="39">
        <f t="shared" si="37"/>
        <v>0</v>
      </c>
      <c r="H70" s="67"/>
      <c r="I70" s="223"/>
      <c r="J70" s="222"/>
      <c r="K70" s="222"/>
      <c r="L70" s="222"/>
      <c r="M70" s="247"/>
      <c r="N70" s="74"/>
      <c r="O70" s="69"/>
      <c r="P70" s="74"/>
      <c r="Q70" s="79"/>
      <c r="R70" s="76"/>
      <c r="S70" s="76"/>
      <c r="T70" s="247"/>
      <c r="U70" s="222"/>
      <c r="V70" s="68"/>
      <c r="W70" s="68">
        <f>L70*O70</f>
        <v>0</v>
      </c>
      <c r="X70" s="57" t="s">
        <v>57</v>
      </c>
    </row>
    <row r="71" spans="1:46" ht="21" customHeight="1">
      <c r="A71" s="58"/>
      <c r="B71" s="59"/>
      <c r="C71" s="59"/>
      <c r="D71" s="61"/>
      <c r="E71" s="61"/>
      <c r="F71" s="62"/>
      <c r="G71" s="83"/>
      <c r="H71" s="71"/>
      <c r="I71" s="225"/>
      <c r="J71" s="224"/>
      <c r="K71" s="224"/>
      <c r="L71" s="224"/>
      <c r="M71" s="224"/>
      <c r="N71" s="224"/>
      <c r="O71" s="224"/>
      <c r="P71" s="129"/>
      <c r="Q71" s="129"/>
      <c r="R71" s="129"/>
      <c r="S71" s="224"/>
      <c r="T71" s="224"/>
      <c r="U71" s="224"/>
      <c r="V71" s="72"/>
      <c r="W71" s="72">
        <v>0</v>
      </c>
      <c r="X71" s="73" t="s">
        <v>57</v>
      </c>
    </row>
    <row r="72" spans="1:46" ht="21" customHeight="1">
      <c r="A72" s="45" t="s">
        <v>76</v>
      </c>
      <c r="B72" s="86" t="s">
        <v>16</v>
      </c>
      <c r="C72" s="414" t="s">
        <v>243</v>
      </c>
      <c r="D72" s="249">
        <v>760</v>
      </c>
      <c r="E72" s="249">
        <f>SUM(E73,E76,E83)</f>
        <v>765</v>
      </c>
      <c r="F72" s="250">
        <f t="shared" ref="F72:F74" si="38">E72-D72</f>
        <v>5</v>
      </c>
      <c r="G72" s="251">
        <f t="shared" ref="G72:G74" si="39">IF(D72=0,0,F72/D72)</f>
        <v>6.5789473684210523E-3</v>
      </c>
      <c r="H72" s="252" t="s">
        <v>248</v>
      </c>
      <c r="I72" s="253"/>
      <c r="J72" s="254"/>
      <c r="K72" s="254"/>
      <c r="L72" s="253"/>
      <c r="M72" s="253"/>
      <c r="N72" s="253"/>
      <c r="O72" s="253"/>
      <c r="P72" s="253" t="s">
        <v>68</v>
      </c>
      <c r="Q72" s="255"/>
      <c r="R72" s="255"/>
      <c r="S72" s="255"/>
      <c r="T72" s="255"/>
      <c r="U72" s="255"/>
      <c r="V72" s="255"/>
      <c r="W72" s="265">
        <f>SUM(W73,W76,W83)</f>
        <v>765000</v>
      </c>
      <c r="X72" s="271" t="s">
        <v>239</v>
      </c>
    </row>
    <row r="73" spans="1:46" s="4" customFormat="1" ht="21" customHeight="1">
      <c r="A73" s="45"/>
      <c r="B73" s="95"/>
      <c r="C73" s="36" t="s">
        <v>215</v>
      </c>
      <c r="D73" s="217">
        <v>0</v>
      </c>
      <c r="E73" s="217">
        <f>E74</f>
        <v>0</v>
      </c>
      <c r="F73" s="218">
        <f t="shared" si="38"/>
        <v>0</v>
      </c>
      <c r="G73" s="219">
        <f t="shared" si="39"/>
        <v>0</v>
      </c>
      <c r="H73" s="205" t="s">
        <v>220</v>
      </c>
      <c r="I73" s="206"/>
      <c r="J73" s="207"/>
      <c r="K73" s="207"/>
      <c r="L73" s="207"/>
      <c r="M73" s="207"/>
      <c r="N73" s="207"/>
      <c r="O73" s="208"/>
      <c r="P73" s="208"/>
      <c r="Q73" s="208"/>
      <c r="R73" s="208"/>
      <c r="S73" s="208"/>
      <c r="T73" s="208"/>
      <c r="U73" s="234" t="s">
        <v>70</v>
      </c>
      <c r="V73" s="235"/>
      <c r="W73" s="236">
        <f>SUM(W74:W74)</f>
        <v>0</v>
      </c>
      <c r="X73" s="268" t="s">
        <v>57</v>
      </c>
      <c r="Y73" s="257"/>
      <c r="Z73" s="258"/>
      <c r="AA73" s="258"/>
      <c r="AB73" s="259"/>
      <c r="AC73" s="260"/>
      <c r="AD73" s="261"/>
      <c r="AE73" s="262"/>
      <c r="AF73" s="263"/>
      <c r="AG73" s="263"/>
      <c r="AH73" s="262"/>
      <c r="AI73" s="262"/>
      <c r="AJ73" s="262"/>
      <c r="AK73" s="262"/>
      <c r="AL73" s="262"/>
      <c r="AM73" s="261"/>
      <c r="AN73" s="261"/>
      <c r="AO73" s="261"/>
      <c r="AP73" s="261"/>
      <c r="AQ73" s="261"/>
      <c r="AR73" s="261"/>
      <c r="AS73" s="264"/>
      <c r="AT73" s="262"/>
    </row>
    <row r="74" spans="1:46" ht="21" customHeight="1">
      <c r="A74" s="60"/>
      <c r="B74" s="97"/>
      <c r="C74" s="46" t="s">
        <v>216</v>
      </c>
      <c r="D74" s="48">
        <v>0</v>
      </c>
      <c r="E74" s="48">
        <f>W74/1000</f>
        <v>0</v>
      </c>
      <c r="F74" s="38">
        <f t="shared" si="38"/>
        <v>0</v>
      </c>
      <c r="G74" s="39">
        <f t="shared" si="39"/>
        <v>0</v>
      </c>
      <c r="H74" s="144" t="s">
        <v>220</v>
      </c>
      <c r="I74" s="161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541" t="s">
        <v>70</v>
      </c>
      <c r="V74" s="541"/>
      <c r="W74" s="146">
        <f>SUM(W75:W75)</f>
        <v>0</v>
      </c>
      <c r="X74" s="147" t="s">
        <v>57</v>
      </c>
    </row>
    <row r="75" spans="1:46" s="11" customFormat="1" ht="19.5" customHeight="1">
      <c r="A75" s="60"/>
      <c r="B75" s="89"/>
      <c r="C75" s="46"/>
      <c r="D75" s="48"/>
      <c r="E75" s="48"/>
      <c r="F75" s="49"/>
      <c r="G75" s="31"/>
      <c r="H75" s="67"/>
      <c r="I75" s="223"/>
      <c r="J75" s="222"/>
      <c r="K75" s="222"/>
      <c r="L75" s="222"/>
      <c r="M75" s="247"/>
      <c r="N75" s="74"/>
      <c r="O75" s="69"/>
      <c r="P75" s="74"/>
      <c r="Q75" s="79"/>
      <c r="R75" s="76"/>
      <c r="S75" s="76"/>
      <c r="T75" s="247"/>
      <c r="U75" s="222"/>
      <c r="V75" s="68"/>
      <c r="W75" s="68"/>
      <c r="X75" s="57"/>
      <c r="Y75" s="6"/>
    </row>
    <row r="76" spans="1:46" s="11" customFormat="1" ht="19.5" customHeight="1">
      <c r="A76" s="60"/>
      <c r="B76" s="89"/>
      <c r="C76" s="36" t="s">
        <v>217</v>
      </c>
      <c r="D76" s="217">
        <v>18</v>
      </c>
      <c r="E76" s="217">
        <f>E77</f>
        <v>21</v>
      </c>
      <c r="F76" s="218">
        <f t="shared" ref="F76:F77" si="40">E76-D76</f>
        <v>3</v>
      </c>
      <c r="G76" s="219">
        <f t="shared" ref="G76:G77" si="41">IF(D76=0,0,F76/D76)</f>
        <v>0.16666666666666666</v>
      </c>
      <c r="H76" s="205" t="s">
        <v>221</v>
      </c>
      <c r="I76" s="206"/>
      <c r="J76" s="207"/>
      <c r="K76" s="207"/>
      <c r="L76" s="207"/>
      <c r="M76" s="207"/>
      <c r="N76" s="207"/>
      <c r="O76" s="208"/>
      <c r="P76" s="208"/>
      <c r="Q76" s="208"/>
      <c r="R76" s="208"/>
      <c r="S76" s="208"/>
      <c r="T76" s="208"/>
      <c r="U76" s="234" t="s">
        <v>70</v>
      </c>
      <c r="V76" s="235"/>
      <c r="W76" s="235">
        <f>SUM(W77:W77)</f>
        <v>21000</v>
      </c>
      <c r="X76" s="268" t="s">
        <v>57</v>
      </c>
      <c r="Y76" s="6"/>
    </row>
    <row r="77" spans="1:46" s="11" customFormat="1" ht="19.5" customHeight="1">
      <c r="A77" s="60"/>
      <c r="B77" s="89"/>
      <c r="C77" s="46" t="s">
        <v>218</v>
      </c>
      <c r="D77" s="48">
        <v>18</v>
      </c>
      <c r="E77" s="48">
        <f>W77/1000</f>
        <v>21</v>
      </c>
      <c r="F77" s="38">
        <f t="shared" si="40"/>
        <v>3</v>
      </c>
      <c r="G77" s="39">
        <f t="shared" si="41"/>
        <v>0.16666666666666666</v>
      </c>
      <c r="H77" s="433" t="s">
        <v>303</v>
      </c>
      <c r="I77" s="180"/>
      <c r="J77" s="179"/>
      <c r="K77" s="179"/>
      <c r="L77" s="179"/>
      <c r="M77" s="179"/>
      <c r="N77" s="179"/>
      <c r="O77" s="179"/>
      <c r="P77" s="179" t="s">
        <v>302</v>
      </c>
      <c r="Q77" s="179"/>
      <c r="R77" s="179"/>
      <c r="S77" s="179"/>
      <c r="T77" s="179"/>
      <c r="U77" s="541" t="s">
        <v>70</v>
      </c>
      <c r="V77" s="541"/>
      <c r="W77" s="146">
        <f>SUM(W78:W81)</f>
        <v>21000</v>
      </c>
      <c r="X77" s="147" t="s">
        <v>57</v>
      </c>
      <c r="Y77" s="6"/>
    </row>
    <row r="78" spans="1:46" s="11" customFormat="1" ht="19.5" customHeight="1">
      <c r="A78" s="60"/>
      <c r="B78" s="89"/>
      <c r="C78" s="46" t="s">
        <v>180</v>
      </c>
      <c r="D78" s="48"/>
      <c r="E78" s="48"/>
      <c r="F78" s="49"/>
      <c r="G78" s="70"/>
      <c r="H78" s="401" t="s">
        <v>304</v>
      </c>
      <c r="I78" s="294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68"/>
      <c r="W78" s="68">
        <v>8000</v>
      </c>
      <c r="X78" s="57" t="s">
        <v>25</v>
      </c>
      <c r="Y78" s="6"/>
    </row>
    <row r="79" spans="1:46" s="11" customFormat="1" ht="19.5" customHeight="1">
      <c r="A79" s="60"/>
      <c r="B79" s="89"/>
      <c r="C79" s="46"/>
      <c r="D79" s="48"/>
      <c r="E79" s="48"/>
      <c r="F79" s="49"/>
      <c r="G79" s="70"/>
      <c r="H79" s="67" t="s">
        <v>373</v>
      </c>
      <c r="I79" s="294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68"/>
      <c r="W79" s="68">
        <v>8000</v>
      </c>
      <c r="X79" s="57" t="s">
        <v>369</v>
      </c>
      <c r="Y79" s="6"/>
    </row>
    <row r="80" spans="1:46" s="11" customFormat="1" ht="19.5" customHeight="1">
      <c r="A80" s="60"/>
      <c r="B80" s="89"/>
      <c r="C80" s="46"/>
      <c r="D80" s="48"/>
      <c r="E80" s="48"/>
      <c r="F80" s="49"/>
      <c r="G80" s="70"/>
      <c r="H80" s="67" t="s">
        <v>374</v>
      </c>
      <c r="I80" s="294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68"/>
      <c r="W80" s="68">
        <v>2000</v>
      </c>
      <c r="X80" s="57" t="s">
        <v>25</v>
      </c>
      <c r="Y80" s="6"/>
    </row>
    <row r="81" spans="1:25" s="11" customFormat="1" ht="19.5" customHeight="1">
      <c r="A81" s="60"/>
      <c r="B81" s="89"/>
      <c r="C81" s="46"/>
      <c r="D81" s="48"/>
      <c r="E81" s="48"/>
      <c r="F81" s="49"/>
      <c r="G81" s="70"/>
      <c r="H81" s="67" t="s">
        <v>375</v>
      </c>
      <c r="I81" s="293"/>
      <c r="J81" s="293"/>
      <c r="K81" s="293"/>
      <c r="L81" s="293"/>
      <c r="M81" s="293"/>
      <c r="N81" s="293"/>
      <c r="O81" s="293"/>
      <c r="P81" s="540"/>
      <c r="Q81" s="540"/>
      <c r="R81" s="293"/>
      <c r="S81" s="293"/>
      <c r="T81" s="293"/>
      <c r="U81" s="293"/>
      <c r="V81" s="293"/>
      <c r="W81" s="293">
        <v>3000</v>
      </c>
      <c r="X81" s="57" t="s">
        <v>25</v>
      </c>
      <c r="Y81" s="6"/>
    </row>
    <row r="82" spans="1:25" s="11" customFormat="1" ht="19.5" customHeight="1">
      <c r="A82" s="60"/>
      <c r="B82" s="89"/>
      <c r="C82" s="46"/>
      <c r="D82" s="48"/>
      <c r="E82" s="48"/>
      <c r="F82" s="49"/>
      <c r="G82" s="70"/>
      <c r="H82" s="67"/>
      <c r="I82" s="223"/>
      <c r="J82" s="222"/>
      <c r="K82" s="222"/>
      <c r="L82" s="222"/>
      <c r="M82" s="222"/>
      <c r="N82" s="222"/>
      <c r="O82" s="222"/>
      <c r="P82" s="54"/>
      <c r="Q82" s="54"/>
      <c r="R82" s="54"/>
      <c r="S82" s="222"/>
      <c r="T82" s="222"/>
      <c r="U82" s="222"/>
      <c r="V82" s="68"/>
      <c r="W82" s="68"/>
      <c r="X82" s="57"/>
      <c r="Y82" s="6"/>
    </row>
    <row r="83" spans="1:25" s="11" customFormat="1" ht="19.5" customHeight="1">
      <c r="A83" s="60"/>
      <c r="B83" s="89"/>
      <c r="C83" s="36" t="s">
        <v>192</v>
      </c>
      <c r="D83" s="217">
        <v>742</v>
      </c>
      <c r="E83" s="217">
        <f>E84</f>
        <v>744</v>
      </c>
      <c r="F83" s="218">
        <f t="shared" ref="F83:F84" si="42">E83-D83</f>
        <v>2</v>
      </c>
      <c r="G83" s="219">
        <f t="shared" ref="G83:G84" si="43">IF(D83=0,0,F83/D83)</f>
        <v>2.6954177897574125E-3</v>
      </c>
      <c r="H83" s="205" t="s">
        <v>238</v>
      </c>
      <c r="I83" s="206"/>
      <c r="J83" s="207"/>
      <c r="K83" s="207"/>
      <c r="L83" s="207"/>
      <c r="M83" s="207"/>
      <c r="N83" s="207"/>
      <c r="O83" s="208"/>
      <c r="P83" s="208"/>
      <c r="Q83" s="208"/>
      <c r="R83" s="208"/>
      <c r="S83" s="208"/>
      <c r="T83" s="208"/>
      <c r="U83" s="234" t="s">
        <v>240</v>
      </c>
      <c r="V83" s="235"/>
      <c r="W83" s="235">
        <f>SUM(W84:W84)</f>
        <v>744000</v>
      </c>
      <c r="X83" s="268" t="s">
        <v>239</v>
      </c>
      <c r="Y83" s="6"/>
    </row>
    <row r="84" spans="1:25" s="11" customFormat="1" ht="19.5" customHeight="1">
      <c r="A84" s="60"/>
      <c r="B84" s="89"/>
      <c r="C84" s="46" t="s">
        <v>219</v>
      </c>
      <c r="D84" s="48">
        <v>742</v>
      </c>
      <c r="E84" s="48">
        <f>W84/1000</f>
        <v>744</v>
      </c>
      <c r="F84" s="38">
        <f t="shared" si="42"/>
        <v>2</v>
      </c>
      <c r="G84" s="39">
        <f t="shared" si="43"/>
        <v>2.6954177897574125E-3</v>
      </c>
      <c r="H84" s="96" t="s">
        <v>449</v>
      </c>
      <c r="I84" s="172"/>
      <c r="J84" s="181"/>
      <c r="K84" s="181"/>
      <c r="L84" s="181"/>
      <c r="M84" s="181"/>
      <c r="N84" s="181"/>
      <c r="O84" s="181"/>
      <c r="P84" s="181" t="s">
        <v>302</v>
      </c>
      <c r="Q84" s="181"/>
      <c r="R84" s="181"/>
      <c r="S84" s="181"/>
      <c r="T84" s="181"/>
      <c r="U84" s="541" t="s">
        <v>70</v>
      </c>
      <c r="V84" s="541"/>
      <c r="W84" s="146">
        <f>SUM(W85:W89)</f>
        <v>744000</v>
      </c>
      <c r="X84" s="147" t="s">
        <v>57</v>
      </c>
      <c r="Y84" s="6"/>
    </row>
    <row r="85" spans="1:25" s="11" customFormat="1" ht="19.5" customHeight="1">
      <c r="A85" s="60"/>
      <c r="B85" s="89"/>
      <c r="C85" s="46"/>
      <c r="D85" s="48"/>
      <c r="E85" s="48"/>
      <c r="F85" s="49"/>
      <c r="G85" s="31"/>
      <c r="H85" s="67" t="s">
        <v>444</v>
      </c>
      <c r="I85" s="294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68"/>
      <c r="W85" s="68">
        <v>20000</v>
      </c>
      <c r="X85" s="57" t="s">
        <v>369</v>
      </c>
      <c r="Y85" s="6"/>
    </row>
    <row r="86" spans="1:25" s="11" customFormat="1" ht="19.5" customHeight="1">
      <c r="A86" s="60"/>
      <c r="B86" s="89"/>
      <c r="C86" s="46"/>
      <c r="D86" s="48"/>
      <c r="E86" s="48"/>
      <c r="F86" s="49"/>
      <c r="G86" s="31"/>
      <c r="H86" s="67" t="s">
        <v>445</v>
      </c>
      <c r="I86" s="294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68"/>
      <c r="W86" s="68">
        <v>2000</v>
      </c>
      <c r="X86" s="57" t="s">
        <v>25</v>
      </c>
      <c r="Y86" s="6"/>
    </row>
    <row r="87" spans="1:25" s="11" customFormat="1" ht="19.5" customHeight="1">
      <c r="A87" s="60"/>
      <c r="B87" s="89"/>
      <c r="C87" s="46"/>
      <c r="D87" s="48"/>
      <c r="E87" s="48"/>
      <c r="F87" s="49"/>
      <c r="G87" s="31"/>
      <c r="H87" s="67" t="s">
        <v>446</v>
      </c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>
        <v>2000</v>
      </c>
      <c r="X87" s="57" t="s">
        <v>25</v>
      </c>
      <c r="Y87" s="6"/>
    </row>
    <row r="88" spans="1:25" s="11" customFormat="1" ht="19.5" customHeight="1">
      <c r="A88" s="60"/>
      <c r="B88" s="89"/>
      <c r="C88" s="46"/>
      <c r="D88" s="48"/>
      <c r="E88" s="48"/>
      <c r="F88" s="49"/>
      <c r="G88" s="31"/>
      <c r="H88" s="67" t="s">
        <v>475</v>
      </c>
      <c r="I88" s="293"/>
      <c r="J88" s="293"/>
      <c r="K88" s="293"/>
      <c r="L88" s="293">
        <v>60000</v>
      </c>
      <c r="M88" s="293" t="s">
        <v>25</v>
      </c>
      <c r="N88" s="294" t="s">
        <v>26</v>
      </c>
      <c r="O88" s="293">
        <v>1</v>
      </c>
      <c r="P88" s="294" t="s">
        <v>146</v>
      </c>
      <c r="Q88" s="294" t="s">
        <v>26</v>
      </c>
      <c r="R88" s="293">
        <v>12</v>
      </c>
      <c r="S88" s="293" t="s">
        <v>29</v>
      </c>
      <c r="T88" s="508" t="s">
        <v>27</v>
      </c>
      <c r="U88" s="508"/>
      <c r="V88" s="294"/>
      <c r="W88" s="293">
        <f>L88*O88*R88</f>
        <v>720000</v>
      </c>
      <c r="X88" s="57" t="s">
        <v>126</v>
      </c>
      <c r="Y88" s="6"/>
    </row>
    <row r="89" spans="1:25" s="11" customFormat="1" ht="19.5" customHeight="1" thickBot="1">
      <c r="A89" s="99"/>
      <c r="B89" s="100"/>
      <c r="C89" s="100"/>
      <c r="D89" s="102"/>
      <c r="E89" s="102"/>
      <c r="F89" s="103"/>
      <c r="G89" s="104"/>
      <c r="H89" s="63"/>
      <c r="I89" s="65"/>
      <c r="J89" s="65"/>
      <c r="K89" s="65"/>
      <c r="L89" s="65"/>
      <c r="M89" s="65"/>
      <c r="N89" s="64"/>
      <c r="O89" s="65"/>
      <c r="P89" s="64"/>
      <c r="Q89" s="64"/>
      <c r="R89" s="65"/>
      <c r="S89" s="65"/>
      <c r="T89" s="105"/>
      <c r="U89" s="105"/>
      <c r="V89" s="64"/>
      <c r="W89" s="65"/>
      <c r="X89" s="66"/>
      <c r="Y89" s="6"/>
    </row>
    <row r="90" spans="1:25" s="11" customFormat="1" ht="19.5" customHeight="1">
      <c r="A90" s="7"/>
      <c r="B90" s="7"/>
      <c r="C90" s="7"/>
      <c r="D90" s="9"/>
      <c r="E90" s="9"/>
      <c r="F90" s="10"/>
      <c r="G90" s="12"/>
      <c r="H90" s="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6"/>
    </row>
    <row r="101" spans="25:25" ht="19.5" customHeight="1">
      <c r="Y101" s="6" t="s">
        <v>65</v>
      </c>
    </row>
  </sheetData>
  <mergeCells count="24">
    <mergeCell ref="A1:F1"/>
    <mergeCell ref="U77:V77"/>
    <mergeCell ref="U34:V34"/>
    <mergeCell ref="U31:V31"/>
    <mergeCell ref="U49:V49"/>
    <mergeCell ref="U56:V56"/>
    <mergeCell ref="U66:V66"/>
    <mergeCell ref="U59:V59"/>
    <mergeCell ref="U62:V62"/>
    <mergeCell ref="P81:Q81"/>
    <mergeCell ref="U84:V84"/>
    <mergeCell ref="U17:V17"/>
    <mergeCell ref="U19:V19"/>
    <mergeCell ref="A2:C2"/>
    <mergeCell ref="D2:D3"/>
    <mergeCell ref="A4:C4"/>
    <mergeCell ref="U53:V53"/>
    <mergeCell ref="U74:V74"/>
    <mergeCell ref="E2:E3"/>
    <mergeCell ref="U39:V39"/>
    <mergeCell ref="F2:G2"/>
    <mergeCell ref="H2:X3"/>
    <mergeCell ref="U29:V29"/>
    <mergeCell ref="U46:V46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94"/>
  <sheetViews>
    <sheetView tabSelected="1" zoomScaleNormal="100" workbookViewId="0">
      <pane xSplit="3" ySplit="5" topLeftCell="D36" activePane="bottomRight" state="frozen"/>
      <selection pane="topRight" activeCell="D1" sqref="D1"/>
      <selection pane="bottomLeft" activeCell="A6" sqref="A6"/>
      <selection pane="bottomRight" activeCell="M63" sqref="M63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10.77734375" style="22" customWidth="1"/>
    <col min="4" max="4" width="10.33203125" style="18" customWidth="1"/>
    <col min="5" max="5" width="7.88671875" style="18" bestFit="1" customWidth="1"/>
    <col min="6" max="6" width="9.109375" style="18" bestFit="1" customWidth="1"/>
    <col min="7" max="7" width="8.5546875" style="18" bestFit="1" customWidth="1"/>
    <col min="8" max="9" width="7" style="18" bestFit="1" customWidth="1"/>
    <col min="10" max="10" width="7.77734375" style="18" customWidth="1"/>
    <col min="11" max="11" width="8.5546875" style="18" customWidth="1"/>
    <col min="12" max="12" width="7.77734375" style="18" customWidth="1"/>
    <col min="13" max="13" width="7.109375" style="18" bestFit="1" customWidth="1"/>
    <col min="14" max="14" width="7.21875" style="176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.21875" style="5" bestFit="1" customWidth="1"/>
    <col min="20" max="20" width="3.21875" style="5" bestFit="1" customWidth="1"/>
    <col min="21" max="21" width="4" style="5" bestFit="1" customWidth="1"/>
    <col min="22" max="22" width="7.88671875" style="5" bestFit="1" customWidth="1"/>
    <col min="23" max="23" width="3.21875" style="5" customWidth="1"/>
    <col min="24" max="24" width="4.109375" style="5" bestFit="1" customWidth="1"/>
    <col min="25" max="25" width="4.77734375" style="5" customWidth="1"/>
    <col min="26" max="26" width="4.664062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2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553" t="s">
        <v>483</v>
      </c>
      <c r="B1" s="553"/>
      <c r="C1" s="553"/>
      <c r="D1" s="553"/>
      <c r="E1" s="553"/>
      <c r="F1" s="106"/>
      <c r="G1" s="106"/>
      <c r="H1" s="106"/>
      <c r="I1" s="106"/>
      <c r="J1" s="106"/>
      <c r="K1" s="106"/>
      <c r="L1" s="106"/>
      <c r="M1" s="106"/>
      <c r="N1" s="168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543" t="s">
        <v>22</v>
      </c>
      <c r="B2" s="544"/>
      <c r="C2" s="544"/>
      <c r="D2" s="545" t="s">
        <v>485</v>
      </c>
      <c r="E2" s="575" t="s">
        <v>484</v>
      </c>
      <c r="F2" s="576"/>
      <c r="G2" s="576"/>
      <c r="H2" s="576"/>
      <c r="I2" s="576"/>
      <c r="J2" s="576"/>
      <c r="K2" s="576"/>
      <c r="L2" s="577"/>
      <c r="M2" s="549" t="s">
        <v>23</v>
      </c>
      <c r="N2" s="549"/>
      <c r="O2" s="561" t="s">
        <v>54</v>
      </c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3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546"/>
      <c r="E3" s="150" t="s">
        <v>131</v>
      </c>
      <c r="F3" s="177" t="s">
        <v>421</v>
      </c>
      <c r="G3" s="177" t="s">
        <v>318</v>
      </c>
      <c r="H3" s="177" t="s">
        <v>319</v>
      </c>
      <c r="I3" s="150" t="s">
        <v>63</v>
      </c>
      <c r="J3" s="150" t="s">
        <v>127</v>
      </c>
      <c r="K3" s="150" t="s">
        <v>129</v>
      </c>
      <c r="L3" s="150" t="s">
        <v>64</v>
      </c>
      <c r="M3" s="149" t="s">
        <v>132</v>
      </c>
      <c r="N3" s="107" t="s">
        <v>4</v>
      </c>
      <c r="O3" s="564"/>
      <c r="P3" s="565"/>
      <c r="Q3" s="565"/>
      <c r="R3" s="565"/>
      <c r="S3" s="565"/>
      <c r="T3" s="565"/>
      <c r="U3" s="565"/>
      <c r="V3" s="565"/>
      <c r="W3" s="565"/>
      <c r="X3" s="565"/>
      <c r="Y3" s="565"/>
      <c r="Z3" s="565"/>
      <c r="AA3" s="565"/>
      <c r="AB3" s="565"/>
      <c r="AC3" s="565"/>
      <c r="AD3" s="565"/>
      <c r="AE3" s="566"/>
    </row>
    <row r="4" spans="1:32" s="11" customFormat="1" ht="21" customHeight="1">
      <c r="A4" s="573" t="s">
        <v>31</v>
      </c>
      <c r="B4" s="574"/>
      <c r="C4" s="574"/>
      <c r="D4" s="307">
        <f>[3]세출!E4</f>
        <v>67977</v>
      </c>
      <c r="E4" s="476">
        <f t="shared" ref="E4:L4" si="0">SUM(E5,E96,E112,E167,E176,E179)</f>
        <v>73937</v>
      </c>
      <c r="F4" s="476">
        <f t="shared" si="0"/>
        <v>50662</v>
      </c>
      <c r="G4" s="476">
        <f t="shared" si="0"/>
        <v>2000</v>
      </c>
      <c r="H4" s="476">
        <f t="shared" si="0"/>
        <v>0</v>
      </c>
      <c r="I4" s="476">
        <f t="shared" si="0"/>
        <v>3548</v>
      </c>
      <c r="J4" s="476">
        <f t="shared" si="0"/>
        <v>16303</v>
      </c>
      <c r="K4" s="476">
        <f t="shared" si="0"/>
        <v>1</v>
      </c>
      <c r="L4" s="476">
        <f t="shared" si="0"/>
        <v>1423</v>
      </c>
      <c r="M4" s="308">
        <f>E4-D4</f>
        <v>5960</v>
      </c>
      <c r="N4" s="309">
        <f>IF(D4=0,0,M4/D4)</f>
        <v>8.7676714182738286E-2</v>
      </c>
      <c r="O4" s="310" t="s">
        <v>271</v>
      </c>
      <c r="P4" s="311"/>
      <c r="Q4" s="311"/>
      <c r="R4" s="311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>
        <f>SUM(AD5,AD96,AD112,AD167,AD176,AD179)</f>
        <v>73937000</v>
      </c>
      <c r="AE4" s="313" t="s">
        <v>25</v>
      </c>
      <c r="AF4" s="2"/>
    </row>
    <row r="5" spans="1:32" s="11" customFormat="1" ht="21" customHeight="1">
      <c r="A5" s="111" t="s">
        <v>6</v>
      </c>
      <c r="B5" s="571" t="s">
        <v>7</v>
      </c>
      <c r="C5" s="572"/>
      <c r="D5" s="314">
        <f>[3]세출!E5</f>
        <v>49422</v>
      </c>
      <c r="E5" s="314">
        <f t="shared" ref="E5:L5" si="1">SUM(E6,E56,E66)</f>
        <v>51224</v>
      </c>
      <c r="F5" s="314">
        <f t="shared" si="1"/>
        <v>45854</v>
      </c>
      <c r="G5" s="314">
        <f t="shared" si="1"/>
        <v>0</v>
      </c>
      <c r="H5" s="314">
        <f t="shared" si="1"/>
        <v>0</v>
      </c>
      <c r="I5" s="314">
        <f t="shared" si="1"/>
        <v>380</v>
      </c>
      <c r="J5" s="314">
        <f t="shared" si="1"/>
        <v>4890</v>
      </c>
      <c r="K5" s="314">
        <f t="shared" si="1"/>
        <v>1</v>
      </c>
      <c r="L5" s="314">
        <f t="shared" si="1"/>
        <v>99</v>
      </c>
      <c r="M5" s="315">
        <f>E5-D5</f>
        <v>1802</v>
      </c>
      <c r="N5" s="316">
        <f>IF(D5=0,0,M5/D5)</f>
        <v>3.6461494880822308E-2</v>
      </c>
      <c r="O5" s="317" t="s">
        <v>272</v>
      </c>
      <c r="P5" s="317"/>
      <c r="Q5" s="317"/>
      <c r="R5" s="317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>
        <f>SUM(AD6,AD56,AD66)</f>
        <v>51224000</v>
      </c>
      <c r="AE5" s="319" t="s">
        <v>25</v>
      </c>
      <c r="AF5" s="2"/>
    </row>
    <row r="6" spans="1:32" s="11" customFormat="1" ht="21" customHeight="1">
      <c r="A6" s="45"/>
      <c r="B6" s="36" t="s">
        <v>8</v>
      </c>
      <c r="C6" s="320" t="s">
        <v>5</v>
      </c>
      <c r="D6" s="321">
        <f>[3]세출!E6</f>
        <v>40688</v>
      </c>
      <c r="E6" s="321">
        <f t="shared" ref="E6:L6" si="2">SUM(E7,E12,E15,E27,E30,E50)</f>
        <v>41708</v>
      </c>
      <c r="F6" s="321">
        <f t="shared" si="2"/>
        <v>41598</v>
      </c>
      <c r="G6" s="321">
        <f t="shared" si="2"/>
        <v>0</v>
      </c>
      <c r="H6" s="321">
        <f t="shared" si="2"/>
        <v>0</v>
      </c>
      <c r="I6" s="321">
        <f t="shared" si="2"/>
        <v>20</v>
      </c>
      <c r="J6" s="321">
        <f t="shared" si="2"/>
        <v>90</v>
      </c>
      <c r="K6" s="321">
        <f t="shared" si="2"/>
        <v>0</v>
      </c>
      <c r="L6" s="321">
        <f t="shared" si="2"/>
        <v>0</v>
      </c>
      <c r="M6" s="322">
        <f>E6-D6</f>
        <v>1020</v>
      </c>
      <c r="N6" s="323">
        <f>IF(D6=0,0,M6/D6)</f>
        <v>2.5068816358631538E-2</v>
      </c>
      <c r="O6" s="324" t="s">
        <v>273</v>
      </c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>
        <f>SUM(AD7,AD12,AD15,AD27,AD30,AD50)</f>
        <v>41708000</v>
      </c>
      <c r="AE6" s="326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7">
        <f>[3]세출!E7</f>
        <v>26700</v>
      </c>
      <c r="E7" s="113">
        <f>AD7/1000</f>
        <v>27312</v>
      </c>
      <c r="F7" s="113">
        <f>SUMIF($AB$8:$AB$9,"보조",$AD$8:$AD$9)/1000</f>
        <v>27312</v>
      </c>
      <c r="G7" s="113">
        <v>0</v>
      </c>
      <c r="H7" s="113">
        <v>0</v>
      </c>
      <c r="I7" s="113">
        <f>SUMIF($AB$8:$AB$9,"후원",$AD$8:$AD$9)/1000</f>
        <v>0</v>
      </c>
      <c r="J7" s="113">
        <f>SUMIF($AB$8:$AB$9,"입소",$AD$8:$AD$9)/1000</f>
        <v>0</v>
      </c>
      <c r="K7" s="113">
        <f>SUMIF($AB$8:$AB$9,"법인",$AD$8:$AD$9)/1000</f>
        <v>0</v>
      </c>
      <c r="L7" s="113">
        <f>SUMIF($AB$8:$AB$9,"잡수",$AD$8:$AD$9)/1000</f>
        <v>0</v>
      </c>
      <c r="M7" s="112">
        <f>E7-D7</f>
        <v>612</v>
      </c>
      <c r="N7" s="282">
        <f>IF(D7=0,0,M7/D7)</f>
        <v>2.2921348314606741E-2</v>
      </c>
      <c r="O7" s="115" t="s">
        <v>78</v>
      </c>
      <c r="P7" s="115"/>
      <c r="Q7" s="154"/>
      <c r="R7" s="154"/>
      <c r="S7" s="154"/>
      <c r="T7" s="153"/>
      <c r="U7" s="153"/>
      <c r="V7" s="153"/>
      <c r="W7" s="98" t="s">
        <v>133</v>
      </c>
      <c r="X7" s="98"/>
      <c r="Y7" s="98"/>
      <c r="Z7" s="98"/>
      <c r="AA7" s="98"/>
      <c r="AB7" s="98"/>
      <c r="AC7" s="117"/>
      <c r="AD7" s="117">
        <f>SUM(AD8:AD10)</f>
        <v>27312000</v>
      </c>
      <c r="AE7" s="118" t="s">
        <v>57</v>
      </c>
      <c r="AF7" s="1"/>
    </row>
    <row r="8" spans="1:32" s="11" customFormat="1" ht="21" customHeight="1">
      <c r="A8" s="45"/>
      <c r="B8" s="46"/>
      <c r="C8" s="46"/>
      <c r="D8" s="155">
        <f>[3]세출!E8</f>
        <v>0</v>
      </c>
      <c r="E8" s="108"/>
      <c r="F8" s="108"/>
      <c r="G8" s="108"/>
      <c r="H8" s="108"/>
      <c r="I8" s="108"/>
      <c r="J8" s="108"/>
      <c r="K8" s="108"/>
      <c r="L8" s="108"/>
      <c r="M8" s="108"/>
      <c r="N8" s="70"/>
      <c r="O8" s="281" t="s">
        <v>308</v>
      </c>
      <c r="P8" s="32"/>
      <c r="Q8" s="32"/>
      <c r="R8" s="294" t="s">
        <v>431</v>
      </c>
      <c r="S8" s="435">
        <v>2241000</v>
      </c>
      <c r="T8" s="293" t="s">
        <v>305</v>
      </c>
      <c r="U8" s="279" t="s">
        <v>58</v>
      </c>
      <c r="V8" s="293">
        <v>8</v>
      </c>
      <c r="W8" s="293" t="s">
        <v>306</v>
      </c>
      <c r="X8" s="293"/>
      <c r="Y8" s="293"/>
      <c r="Z8" s="293" t="s">
        <v>307</v>
      </c>
      <c r="AA8" s="293"/>
      <c r="AB8" s="293" t="s">
        <v>310</v>
      </c>
      <c r="AC8" s="68"/>
      <c r="AD8" s="68">
        <f>S8*V8</f>
        <v>17928000</v>
      </c>
      <c r="AE8" s="57" t="s">
        <v>305</v>
      </c>
      <c r="AF8" s="2"/>
    </row>
    <row r="9" spans="1:32" s="11" customFormat="1" ht="21" customHeight="1">
      <c r="A9" s="45"/>
      <c r="B9" s="46"/>
      <c r="C9" s="46"/>
      <c r="D9" s="155">
        <f>[3]세출!E9</f>
        <v>0</v>
      </c>
      <c r="E9" s="108"/>
      <c r="F9" s="108"/>
      <c r="G9" s="108"/>
      <c r="H9" s="108"/>
      <c r="I9" s="108"/>
      <c r="J9" s="108"/>
      <c r="K9" s="108"/>
      <c r="L9" s="108"/>
      <c r="M9" s="108"/>
      <c r="N9" s="70"/>
      <c r="O9" s="281"/>
      <c r="P9" s="279"/>
      <c r="Q9" s="279"/>
      <c r="R9" s="279" t="s">
        <v>432</v>
      </c>
      <c r="S9" s="363">
        <v>2346000</v>
      </c>
      <c r="T9" s="277" t="s">
        <v>305</v>
      </c>
      <c r="U9" s="279" t="s">
        <v>58</v>
      </c>
      <c r="V9" s="277">
        <v>4</v>
      </c>
      <c r="W9" s="277" t="s">
        <v>306</v>
      </c>
      <c r="X9" s="277"/>
      <c r="Y9" s="277"/>
      <c r="Z9" s="277" t="s">
        <v>307</v>
      </c>
      <c r="AA9" s="277"/>
      <c r="AB9" s="277" t="s">
        <v>310</v>
      </c>
      <c r="AC9" s="280"/>
      <c r="AD9" s="280">
        <f>S9*V9</f>
        <v>9384000</v>
      </c>
      <c r="AE9" s="297" t="s">
        <v>305</v>
      </c>
      <c r="AF9" s="2"/>
    </row>
    <row r="10" spans="1:32" s="11" customFormat="1" ht="21" customHeight="1">
      <c r="A10" s="45"/>
      <c r="B10" s="46"/>
      <c r="C10" s="46"/>
      <c r="D10" s="155">
        <f>[3]세출!E10</f>
        <v>0</v>
      </c>
      <c r="E10" s="108"/>
      <c r="F10" s="108"/>
      <c r="G10" s="108"/>
      <c r="H10" s="108"/>
      <c r="I10" s="108"/>
      <c r="J10" s="108"/>
      <c r="K10" s="108"/>
      <c r="L10" s="108"/>
      <c r="M10" s="108"/>
      <c r="N10" s="70"/>
      <c r="O10" s="415"/>
      <c r="P10" s="416"/>
      <c r="Q10" s="416"/>
      <c r="R10" s="416"/>
      <c r="S10" s="277"/>
      <c r="T10" s="277"/>
      <c r="U10" s="279"/>
      <c r="V10" s="277"/>
      <c r="W10" s="277"/>
      <c r="X10" s="277"/>
      <c r="Y10" s="277"/>
      <c r="Z10" s="277"/>
      <c r="AA10" s="277"/>
      <c r="AB10" s="277"/>
      <c r="AC10" s="280"/>
      <c r="AD10" s="280"/>
      <c r="AE10" s="297"/>
      <c r="AF10" s="1"/>
    </row>
    <row r="11" spans="1:32" s="11" customFormat="1" ht="21" customHeight="1">
      <c r="A11" s="45"/>
      <c r="B11" s="46"/>
      <c r="C11" s="46"/>
      <c r="D11" s="155">
        <f>[3]세출!E11</f>
        <v>0</v>
      </c>
      <c r="E11" s="108"/>
      <c r="F11" s="108"/>
      <c r="G11" s="108"/>
      <c r="H11" s="108"/>
      <c r="I11" s="108"/>
      <c r="J11" s="108"/>
      <c r="K11" s="108"/>
      <c r="L11" s="108"/>
      <c r="M11" s="108"/>
      <c r="N11" s="70"/>
      <c r="O11" s="50"/>
      <c r="P11" s="50"/>
      <c r="Q11" s="50"/>
      <c r="R11" s="50"/>
      <c r="S11" s="50"/>
      <c r="T11" s="51"/>
      <c r="U11" s="51"/>
      <c r="V11" s="151"/>
      <c r="W11" s="151"/>
      <c r="X11" s="151"/>
      <c r="Y11" s="151"/>
      <c r="Z11" s="151"/>
      <c r="AA11" s="151"/>
      <c r="AB11" s="151"/>
      <c r="AC11" s="72"/>
      <c r="AD11" s="72"/>
      <c r="AE11" s="73"/>
      <c r="AF11" s="1"/>
    </row>
    <row r="12" spans="1:32" s="11" customFormat="1" ht="21" customHeight="1">
      <c r="A12" s="45"/>
      <c r="B12" s="46"/>
      <c r="C12" s="36" t="s">
        <v>77</v>
      </c>
      <c r="D12" s="157">
        <f>[3]세출!E12</f>
        <v>0</v>
      </c>
      <c r="E12" s="113">
        <f>SUM(F12:L12)</f>
        <v>0</v>
      </c>
      <c r="F12" s="113">
        <f>SUMIF($AB$13:$AB$14,"",$AD$13:$AD$14)/1000</f>
        <v>0</v>
      </c>
      <c r="G12" s="113">
        <f>SUMIF($AB$13:$AB$14,"",$AD$13:$AD$14)/1000</f>
        <v>0</v>
      </c>
      <c r="H12" s="113">
        <f>SUMIF($AB$13:$AB$14,"시비",$AD$13:$AD$14)/1000</f>
        <v>0</v>
      </c>
      <c r="I12" s="113">
        <f>SUMIF($AB$13:$AB$14,"후원",$AD$13:$AD$14)/1000</f>
        <v>0</v>
      </c>
      <c r="J12" s="113">
        <f>SUMIF($AB$13:$AB$14,"입소",$AD$13:$AD$14)/1000</f>
        <v>0</v>
      </c>
      <c r="K12" s="113">
        <f>SUMIF($AB$13:$AB$14,"법인",$AD$13:$AD$14)/1000</f>
        <v>0</v>
      </c>
      <c r="L12" s="113">
        <f>SUMIF($AB$13:$AB$14,"잡소",$AD$13:$AD$14)/1000</f>
        <v>0</v>
      </c>
      <c r="M12" s="122">
        <f>E12-D12</f>
        <v>0</v>
      </c>
      <c r="N12" s="120">
        <f>IF(D12=0,0,M12/D12)</f>
        <v>0</v>
      </c>
      <c r="O12" s="96" t="s">
        <v>80</v>
      </c>
      <c r="P12" s="172"/>
      <c r="Q12" s="92"/>
      <c r="R12" s="92"/>
      <c r="S12" s="92"/>
      <c r="T12" s="88"/>
      <c r="U12" s="88"/>
      <c r="V12" s="153"/>
      <c r="W12" s="98" t="s">
        <v>133</v>
      </c>
      <c r="X12" s="98"/>
      <c r="Y12" s="98"/>
      <c r="Z12" s="98"/>
      <c r="AA12" s="98"/>
      <c r="AB12" s="98"/>
      <c r="AC12" s="117"/>
      <c r="AD12" s="117">
        <f>SUM(AD13)</f>
        <v>0</v>
      </c>
      <c r="AE12" s="118" t="s">
        <v>57</v>
      </c>
      <c r="AF12" s="1"/>
    </row>
    <row r="13" spans="1:32" s="11" customFormat="1" ht="21" customHeight="1">
      <c r="A13" s="45"/>
      <c r="B13" s="46"/>
      <c r="C13" s="46"/>
      <c r="D13" s="155">
        <f>[3]세출!E13</f>
        <v>0</v>
      </c>
      <c r="E13" s="108"/>
      <c r="F13" s="108"/>
      <c r="G13" s="108"/>
      <c r="H13" s="108"/>
      <c r="I13" s="108"/>
      <c r="J13" s="108"/>
      <c r="K13" s="108"/>
      <c r="L13" s="108"/>
      <c r="M13" s="108"/>
      <c r="N13" s="70"/>
      <c r="O13" s="434"/>
      <c r="P13" s="80"/>
      <c r="Q13" s="50"/>
      <c r="R13" s="50"/>
      <c r="S13" s="123"/>
      <c r="T13" s="123"/>
      <c r="U13" s="124"/>
      <c r="V13" s="123"/>
      <c r="W13" s="123"/>
      <c r="X13" s="124"/>
      <c r="Y13" s="296"/>
      <c r="Z13" s="90"/>
      <c r="AA13" s="90"/>
      <c r="AB13" s="293"/>
      <c r="AC13" s="68"/>
      <c r="AD13" s="132">
        <f>S13*V13*Y13</f>
        <v>0</v>
      </c>
      <c r="AE13" s="57" t="s">
        <v>79</v>
      </c>
      <c r="AF13" s="1"/>
    </row>
    <row r="14" spans="1:32" s="11" customFormat="1" ht="21" customHeight="1">
      <c r="A14" s="45"/>
      <c r="B14" s="46"/>
      <c r="C14" s="46"/>
      <c r="D14" s="155">
        <f>[3]세출!E14</f>
        <v>0</v>
      </c>
      <c r="E14" s="108"/>
      <c r="F14" s="108"/>
      <c r="G14" s="108"/>
      <c r="H14" s="108"/>
      <c r="I14" s="108"/>
      <c r="J14" s="108"/>
      <c r="K14" s="108"/>
      <c r="L14" s="108"/>
      <c r="M14" s="108"/>
      <c r="N14" s="70"/>
      <c r="O14" s="50"/>
      <c r="P14" s="50"/>
      <c r="Q14" s="50"/>
      <c r="R14" s="50"/>
      <c r="S14" s="51"/>
      <c r="T14" s="51"/>
      <c r="U14" s="50"/>
      <c r="V14" s="51"/>
      <c r="W14" s="51"/>
      <c r="X14" s="50"/>
      <c r="Y14" s="91"/>
      <c r="Z14" s="51"/>
      <c r="AA14" s="51"/>
      <c r="AB14" s="51"/>
      <c r="AC14" s="68"/>
      <c r="AD14" s="51"/>
      <c r="AE14" s="57"/>
      <c r="AF14" s="1"/>
    </row>
    <row r="15" spans="1:32" s="11" customFormat="1" ht="21" customHeight="1">
      <c r="A15" s="45"/>
      <c r="B15" s="46"/>
      <c r="C15" s="36" t="s">
        <v>33</v>
      </c>
      <c r="D15" s="157">
        <f>[3]세출!E15</f>
        <v>7722</v>
      </c>
      <c r="E15" s="113">
        <f>AD15/1000</f>
        <v>7894</v>
      </c>
      <c r="F15" s="113">
        <f>ROUND(SUMIF($AB$17:$AB$26,"보조",$AD$17:$AD$26)/1000,0)</f>
        <v>7894</v>
      </c>
      <c r="G15" s="113">
        <f>SUMIF($AB$17:$AB$26,"7종",$AD$17:$AD$26)/1000</f>
        <v>0</v>
      </c>
      <c r="H15" s="113">
        <f>SUMIF($AB$17:$AB$26,"시비",$AD$17:$AD$26)/1000</f>
        <v>0</v>
      </c>
      <c r="I15" s="113">
        <f>SUMIF($AB$17:$AB$26,"후원",$AD$17:$AD$26)/1000</f>
        <v>0</v>
      </c>
      <c r="J15" s="113">
        <f>SUMIF($AB$17:$AB$26,"입소",$AD$17:$AD$26)/1000</f>
        <v>0</v>
      </c>
      <c r="K15" s="113">
        <f>SUMIF($AB$17:$AB$26,"법인",$AD$17:$AD$26)/1000</f>
        <v>0</v>
      </c>
      <c r="L15" s="113">
        <f>SUMIF($AB$17:$AB$26,"잡수",$AD$17:$AD$26)/1000</f>
        <v>0</v>
      </c>
      <c r="M15" s="112">
        <f>E15-D15</f>
        <v>172</v>
      </c>
      <c r="N15" s="120">
        <f>IF(D15=0,0,M15/D15)</f>
        <v>2.2274022274022275E-2</v>
      </c>
      <c r="O15" s="96" t="s">
        <v>34</v>
      </c>
      <c r="P15" s="172"/>
      <c r="Q15" s="92"/>
      <c r="R15" s="92"/>
      <c r="S15" s="92"/>
      <c r="T15" s="88"/>
      <c r="U15" s="88"/>
      <c r="V15" s="88"/>
      <c r="W15" s="173" t="s">
        <v>133</v>
      </c>
      <c r="X15" s="173"/>
      <c r="Y15" s="173"/>
      <c r="Z15" s="173"/>
      <c r="AA15" s="173"/>
      <c r="AB15" s="173"/>
      <c r="AC15" s="175"/>
      <c r="AD15" s="175">
        <f>SUM(명절휴가비,가족수당,연장근로수당)</f>
        <v>7894000</v>
      </c>
      <c r="AE15" s="174" t="s">
        <v>57</v>
      </c>
      <c r="AF15" s="1"/>
    </row>
    <row r="16" spans="1:32" s="11" customFormat="1" ht="21" customHeight="1">
      <c r="A16" s="45"/>
      <c r="B16" s="46"/>
      <c r="C16" s="46"/>
      <c r="D16" s="155">
        <f>[3]세출!E16</f>
        <v>0</v>
      </c>
      <c r="E16" s="108"/>
      <c r="F16" s="108"/>
      <c r="G16" s="108"/>
      <c r="H16" s="108"/>
      <c r="I16" s="108"/>
      <c r="J16" s="108"/>
      <c r="K16" s="108"/>
      <c r="L16" s="108"/>
      <c r="M16" s="108"/>
      <c r="N16" s="70"/>
      <c r="O16" s="356" t="s">
        <v>277</v>
      </c>
      <c r="P16" s="279"/>
      <c r="Q16" s="279"/>
      <c r="R16" s="279"/>
      <c r="S16" s="279"/>
      <c r="T16" s="277"/>
      <c r="U16" s="277"/>
      <c r="V16" s="277"/>
      <c r="W16" s="341" t="s">
        <v>276</v>
      </c>
      <c r="X16" s="341"/>
      <c r="Y16" s="341"/>
      <c r="Z16" s="341"/>
      <c r="AA16" s="341"/>
      <c r="AB16" s="341"/>
      <c r="AC16" s="342" t="s">
        <v>278</v>
      </c>
      <c r="AD16" s="342">
        <f>ROUND(SUM(AD17:AD18),-3)</f>
        <v>2753000</v>
      </c>
      <c r="AE16" s="343" t="s">
        <v>275</v>
      </c>
      <c r="AF16" s="17"/>
    </row>
    <row r="17" spans="1:32" s="11" customFormat="1" ht="21" customHeight="1">
      <c r="A17" s="45"/>
      <c r="B17" s="46"/>
      <c r="C17" s="46"/>
      <c r="D17" s="155">
        <f>[3]세출!E17</f>
        <v>0</v>
      </c>
      <c r="E17" s="108"/>
      <c r="F17" s="108"/>
      <c r="G17" s="108"/>
      <c r="H17" s="108"/>
      <c r="I17" s="108"/>
      <c r="J17" s="108"/>
      <c r="K17" s="108"/>
      <c r="L17" s="108"/>
      <c r="M17" s="108"/>
      <c r="N17" s="70"/>
      <c r="O17" s="279" t="s">
        <v>308</v>
      </c>
      <c r="P17" s="279"/>
      <c r="Q17" s="279"/>
      <c r="R17" s="294" t="s">
        <v>410</v>
      </c>
      <c r="S17" s="435">
        <v>2241000</v>
      </c>
      <c r="T17" s="293" t="s">
        <v>57</v>
      </c>
      <c r="U17" s="294" t="s">
        <v>58</v>
      </c>
      <c r="V17" s="436">
        <v>0.6</v>
      </c>
      <c r="W17" s="277"/>
      <c r="X17" s="277"/>
      <c r="Y17" s="277"/>
      <c r="Z17" s="277" t="s">
        <v>307</v>
      </c>
      <c r="AA17" s="277"/>
      <c r="AB17" s="277" t="s">
        <v>310</v>
      </c>
      <c r="AC17" s="280"/>
      <c r="AD17" s="280">
        <f>ROUND(S17*V17,-3)</f>
        <v>1345000</v>
      </c>
      <c r="AE17" s="297" t="s">
        <v>275</v>
      </c>
      <c r="AF17" s="17"/>
    </row>
    <row r="18" spans="1:32" s="11" customFormat="1" ht="21" customHeight="1">
      <c r="A18" s="45"/>
      <c r="B18" s="46"/>
      <c r="C18" s="46"/>
      <c r="D18" s="155">
        <f>[3]세출!E18</f>
        <v>0</v>
      </c>
      <c r="E18" s="108"/>
      <c r="F18" s="108"/>
      <c r="G18" s="108"/>
      <c r="H18" s="108"/>
      <c r="I18" s="108"/>
      <c r="J18" s="108"/>
      <c r="K18" s="108"/>
      <c r="L18" s="108"/>
      <c r="M18" s="108"/>
      <c r="N18" s="70"/>
      <c r="O18" s="279"/>
      <c r="P18" s="279"/>
      <c r="Q18" s="279"/>
      <c r="R18" s="279" t="s">
        <v>433</v>
      </c>
      <c r="S18" s="363">
        <v>2346000</v>
      </c>
      <c r="T18" s="277" t="s">
        <v>57</v>
      </c>
      <c r="U18" s="294" t="s">
        <v>58</v>
      </c>
      <c r="V18" s="436">
        <v>0.6</v>
      </c>
      <c r="W18" s="277"/>
      <c r="X18" s="277"/>
      <c r="Y18" s="277"/>
      <c r="Z18" s="277" t="s">
        <v>307</v>
      </c>
      <c r="AA18" s="277"/>
      <c r="AB18" s="277" t="s">
        <v>310</v>
      </c>
      <c r="AC18" s="280"/>
      <c r="AD18" s="280">
        <f>ROUND(S18*V18,-3)</f>
        <v>1408000</v>
      </c>
      <c r="AE18" s="297" t="s">
        <v>57</v>
      </c>
      <c r="AF18" s="17"/>
    </row>
    <row r="19" spans="1:32" s="11" customFormat="1" ht="21" customHeight="1">
      <c r="A19" s="45"/>
      <c r="B19" s="46"/>
      <c r="C19" s="46"/>
      <c r="D19" s="155">
        <f>[3]세출!E19</f>
        <v>0</v>
      </c>
      <c r="E19" s="108"/>
      <c r="F19" s="108"/>
      <c r="G19" s="108"/>
      <c r="H19" s="108"/>
      <c r="I19" s="108"/>
      <c r="J19" s="108"/>
      <c r="K19" s="108"/>
      <c r="L19" s="108"/>
      <c r="M19" s="108"/>
      <c r="N19" s="70"/>
      <c r="O19" s="279"/>
      <c r="P19" s="279"/>
      <c r="Q19" s="279"/>
      <c r="R19" s="279"/>
      <c r="S19" s="279"/>
      <c r="T19" s="277"/>
      <c r="U19" s="277"/>
      <c r="V19" s="277"/>
      <c r="W19" s="277"/>
      <c r="X19" s="277"/>
      <c r="Y19" s="277"/>
      <c r="Z19" s="277"/>
      <c r="AA19" s="277"/>
      <c r="AB19" s="277"/>
      <c r="AC19" s="280"/>
      <c r="AD19" s="280"/>
      <c r="AE19" s="297"/>
      <c r="AF19" s="17"/>
    </row>
    <row r="20" spans="1:32" s="11" customFormat="1" ht="21" customHeight="1">
      <c r="A20" s="45"/>
      <c r="B20" s="46"/>
      <c r="C20" s="46"/>
      <c r="D20" s="155">
        <f>[3]세출!E20</f>
        <v>0</v>
      </c>
      <c r="E20" s="108"/>
      <c r="F20" s="108"/>
      <c r="G20" s="108"/>
      <c r="H20" s="108"/>
      <c r="I20" s="108"/>
      <c r="J20" s="108"/>
      <c r="K20" s="108"/>
      <c r="L20" s="108"/>
      <c r="M20" s="108"/>
      <c r="N20" s="70"/>
      <c r="O20" s="356" t="s">
        <v>279</v>
      </c>
      <c r="P20" s="279"/>
      <c r="Q20" s="279"/>
      <c r="R20" s="279"/>
      <c r="S20" s="279"/>
      <c r="T20" s="277"/>
      <c r="U20" s="277"/>
      <c r="V20" s="277"/>
      <c r="W20" s="341" t="s">
        <v>276</v>
      </c>
      <c r="X20" s="341"/>
      <c r="Y20" s="341"/>
      <c r="Z20" s="341"/>
      <c r="AA20" s="341"/>
      <c r="AB20" s="341"/>
      <c r="AC20" s="342" t="s">
        <v>278</v>
      </c>
      <c r="AD20" s="342">
        <f>SUM(AD21:AD21)</f>
        <v>240000</v>
      </c>
      <c r="AE20" s="343" t="s">
        <v>275</v>
      </c>
      <c r="AF20" s="17"/>
    </row>
    <row r="21" spans="1:32" s="11" customFormat="1" ht="21" customHeight="1">
      <c r="A21" s="45"/>
      <c r="B21" s="46"/>
      <c r="C21" s="46"/>
      <c r="D21" s="155">
        <f>[3]세출!E21</f>
        <v>0</v>
      </c>
      <c r="E21" s="108"/>
      <c r="F21" s="108"/>
      <c r="G21" s="108"/>
      <c r="H21" s="108"/>
      <c r="I21" s="108"/>
      <c r="J21" s="108"/>
      <c r="K21" s="108"/>
      <c r="L21" s="108"/>
      <c r="M21" s="108"/>
      <c r="N21" s="70"/>
      <c r="O21" s="279" t="s">
        <v>308</v>
      </c>
      <c r="P21" s="279"/>
      <c r="Q21" s="279"/>
      <c r="R21" s="279"/>
      <c r="S21" s="435">
        <v>20000</v>
      </c>
      <c r="T21" s="277" t="s">
        <v>305</v>
      </c>
      <c r="U21" s="294" t="s">
        <v>58</v>
      </c>
      <c r="V21" s="293">
        <v>12</v>
      </c>
      <c r="W21" s="293" t="s">
        <v>306</v>
      </c>
      <c r="X21" s="277"/>
      <c r="Y21" s="277"/>
      <c r="Z21" s="277" t="s">
        <v>307</v>
      </c>
      <c r="AA21" s="277"/>
      <c r="AB21" s="277" t="s">
        <v>310</v>
      </c>
      <c r="AC21" s="280"/>
      <c r="AD21" s="280">
        <f t="shared" ref="AD21" si="3">S21*V21</f>
        <v>240000</v>
      </c>
      <c r="AE21" s="297" t="s">
        <v>57</v>
      </c>
      <c r="AF21" s="17"/>
    </row>
    <row r="22" spans="1:32" s="11" customFormat="1" ht="21" customHeight="1">
      <c r="A22" s="45"/>
      <c r="B22" s="46"/>
      <c r="C22" s="46"/>
      <c r="D22" s="155">
        <f>[3]세출!E22</f>
        <v>0</v>
      </c>
      <c r="E22" s="108"/>
      <c r="F22" s="108"/>
      <c r="G22" s="108"/>
      <c r="H22" s="108"/>
      <c r="I22" s="108"/>
      <c r="J22" s="108"/>
      <c r="K22" s="108"/>
      <c r="L22" s="108"/>
      <c r="M22" s="108"/>
      <c r="N22" s="70"/>
      <c r="O22" s="279"/>
      <c r="P22" s="279"/>
      <c r="Q22" s="279"/>
      <c r="R22" s="279"/>
      <c r="S22" s="279"/>
      <c r="T22" s="277"/>
      <c r="U22" s="277"/>
      <c r="V22" s="277"/>
      <c r="W22" s="277"/>
      <c r="X22" s="277"/>
      <c r="Y22" s="277"/>
      <c r="Z22" s="277"/>
      <c r="AA22" s="277"/>
      <c r="AB22" s="277"/>
      <c r="AC22" s="280"/>
      <c r="AD22" s="280"/>
      <c r="AE22" s="297"/>
      <c r="AF22" s="17"/>
    </row>
    <row r="23" spans="1:32" s="11" customFormat="1" ht="21" customHeight="1">
      <c r="A23" s="45"/>
      <c r="B23" s="46"/>
      <c r="C23" s="46"/>
      <c r="D23" s="155">
        <f>[3]세출!E23</f>
        <v>0</v>
      </c>
      <c r="E23" s="108"/>
      <c r="F23" s="108"/>
      <c r="G23" s="108"/>
      <c r="H23" s="108"/>
      <c r="I23" s="108"/>
      <c r="J23" s="108"/>
      <c r="K23" s="108"/>
      <c r="L23" s="108"/>
      <c r="M23" s="108"/>
      <c r="N23" s="70"/>
      <c r="O23" s="356" t="s">
        <v>280</v>
      </c>
      <c r="P23" s="279"/>
      <c r="Q23" s="279"/>
      <c r="R23" s="279"/>
      <c r="S23" s="279"/>
      <c r="T23" s="277"/>
      <c r="U23" s="277"/>
      <c r="V23" s="277"/>
      <c r="W23" s="341" t="s">
        <v>276</v>
      </c>
      <c r="X23" s="341"/>
      <c r="Y23" s="341"/>
      <c r="Z23" s="341"/>
      <c r="AA23" s="341"/>
      <c r="AB23" s="341"/>
      <c r="AC23" s="342" t="s">
        <v>278</v>
      </c>
      <c r="AD23" s="342">
        <f>ROUND(SUM(AD24:AD25),-3)</f>
        <v>4901000</v>
      </c>
      <c r="AE23" s="343" t="s">
        <v>275</v>
      </c>
      <c r="AF23" s="17"/>
    </row>
    <row r="24" spans="1:32" s="11" customFormat="1" ht="21" customHeight="1">
      <c r="A24" s="45"/>
      <c r="B24" s="46"/>
      <c r="C24" s="46"/>
      <c r="D24" s="155">
        <f>[3]세출!E24</f>
        <v>0</v>
      </c>
      <c r="E24" s="108"/>
      <c r="F24" s="108"/>
      <c r="G24" s="108"/>
      <c r="H24" s="108"/>
      <c r="I24" s="108"/>
      <c r="J24" s="108"/>
      <c r="K24" s="108"/>
      <c r="L24" s="108"/>
      <c r="M24" s="108"/>
      <c r="N24" s="70"/>
      <c r="O24" s="279" t="s">
        <v>309</v>
      </c>
      <c r="P24" s="279"/>
      <c r="Q24" s="279"/>
      <c r="R24" s="294" t="s">
        <v>434</v>
      </c>
      <c r="S24" s="435">
        <v>2241000</v>
      </c>
      <c r="T24" s="277" t="s">
        <v>305</v>
      </c>
      <c r="U24" s="328" t="s">
        <v>71</v>
      </c>
      <c r="V24" s="437">
        <v>209</v>
      </c>
      <c r="W24" s="438">
        <v>1.5</v>
      </c>
      <c r="X24" s="279" t="s">
        <v>58</v>
      </c>
      <c r="Y24" s="440">
        <v>25</v>
      </c>
      <c r="Z24" s="439">
        <v>8</v>
      </c>
      <c r="AA24" s="277" t="s">
        <v>307</v>
      </c>
      <c r="AB24" s="277" t="s">
        <v>310</v>
      </c>
      <c r="AC24" s="280"/>
      <c r="AD24" s="280">
        <f>ROUNDUP(ROUNDDOWN(S24/V24*W24*Y24,-1)*Z24,-3)</f>
        <v>3217000</v>
      </c>
      <c r="AE24" s="297" t="s">
        <v>275</v>
      </c>
      <c r="AF24" s="17"/>
    </row>
    <row r="25" spans="1:32" s="11" customFormat="1" ht="21" customHeight="1">
      <c r="A25" s="45"/>
      <c r="B25" s="46"/>
      <c r="C25" s="46"/>
      <c r="D25" s="155">
        <f>[3]세출!E25</f>
        <v>0</v>
      </c>
      <c r="E25" s="108"/>
      <c r="F25" s="108"/>
      <c r="G25" s="108"/>
      <c r="H25" s="108"/>
      <c r="I25" s="108"/>
      <c r="J25" s="108"/>
      <c r="K25" s="108"/>
      <c r="L25" s="108"/>
      <c r="M25" s="108"/>
      <c r="N25" s="70"/>
      <c r="O25" s="279"/>
      <c r="P25" s="279"/>
      <c r="Q25" s="279"/>
      <c r="R25" s="279" t="s">
        <v>435</v>
      </c>
      <c r="S25" s="363">
        <v>2346000</v>
      </c>
      <c r="T25" s="277" t="s">
        <v>305</v>
      </c>
      <c r="U25" s="328" t="s">
        <v>71</v>
      </c>
      <c r="V25" s="437">
        <v>209</v>
      </c>
      <c r="W25" s="438">
        <v>1.5</v>
      </c>
      <c r="X25" s="279" t="s">
        <v>58</v>
      </c>
      <c r="Y25" s="440">
        <v>25</v>
      </c>
      <c r="Z25" s="439">
        <v>4</v>
      </c>
      <c r="AA25" s="277" t="s">
        <v>307</v>
      </c>
      <c r="AB25" s="277" t="s">
        <v>310</v>
      </c>
      <c r="AC25" s="280"/>
      <c r="AD25" s="280">
        <f>ROUND(ROUNDUP(S25/V25*W25*Y25,-1)*Z25,-3)</f>
        <v>1684000</v>
      </c>
      <c r="AE25" s="297" t="s">
        <v>293</v>
      </c>
      <c r="AF25" s="17"/>
    </row>
    <row r="26" spans="1:32" s="11" customFormat="1" ht="21" customHeight="1">
      <c r="A26" s="45"/>
      <c r="B26" s="46"/>
      <c r="C26" s="46"/>
      <c r="D26" s="155">
        <f>[3]세출!E26</f>
        <v>0</v>
      </c>
      <c r="E26" s="108"/>
      <c r="F26" s="108"/>
      <c r="G26" s="108"/>
      <c r="H26" s="108"/>
      <c r="I26" s="108"/>
      <c r="J26" s="108"/>
      <c r="K26" s="108"/>
      <c r="L26" s="108"/>
      <c r="M26" s="108"/>
      <c r="N26" s="70"/>
      <c r="O26" s="279"/>
      <c r="P26" s="279"/>
      <c r="Q26" s="279"/>
      <c r="R26" s="279"/>
      <c r="S26" s="277"/>
      <c r="T26" s="331"/>
      <c r="U26" s="359"/>
      <c r="V26" s="331"/>
      <c r="W26" s="360"/>
      <c r="X26" s="360"/>
      <c r="Y26" s="277"/>
      <c r="Z26" s="277"/>
      <c r="AA26" s="277"/>
      <c r="AB26" s="277"/>
      <c r="AC26" s="277"/>
      <c r="AD26" s="277"/>
      <c r="AE26" s="297"/>
      <c r="AF26" s="17"/>
    </row>
    <row r="27" spans="1:32" s="11" customFormat="1" ht="21" customHeight="1">
      <c r="A27" s="45"/>
      <c r="B27" s="46"/>
      <c r="C27" s="36" t="s">
        <v>9</v>
      </c>
      <c r="D27" s="157">
        <f>[3]세출!E27</f>
        <v>2869</v>
      </c>
      <c r="E27" s="113">
        <f>AD27/1000</f>
        <v>2934</v>
      </c>
      <c r="F27" s="113">
        <f>SUMIF($AB$28:$AB$28,"보조",$AD$28:$AD$28)/1000</f>
        <v>2934</v>
      </c>
      <c r="G27" s="113">
        <f>SUMIF($AB$28:$AB$28,"7종",$AD$28:$AD$28)/1000</f>
        <v>0</v>
      </c>
      <c r="H27" s="113">
        <f>SUMIF($AB$28:$AB$28,"시비",$AD$28:$AD$28)/1000</f>
        <v>0</v>
      </c>
      <c r="I27" s="113">
        <f>SUMIF($AB$28:$AB$28,"후원",$AD$28:$AD$28)/1000</f>
        <v>0</v>
      </c>
      <c r="J27" s="113">
        <f>SUMIF($AB$28:$AB$28,"입소",$AD$28:$AD$28)/1000</f>
        <v>0</v>
      </c>
      <c r="K27" s="113">
        <f>SUMIF($AB$28:$AB$28,"법인",$AD$28:$AD$28)/1000</f>
        <v>0</v>
      </c>
      <c r="L27" s="113">
        <f>SUMIF($AB$28:$AB$28,"잡수",$AD$28:$AD$28)/1000</f>
        <v>0</v>
      </c>
      <c r="M27" s="112">
        <f>E27-D27</f>
        <v>65</v>
      </c>
      <c r="N27" s="120">
        <f>IF(D27=0,0,M27/D27)</f>
        <v>2.265597769257581E-2</v>
      </c>
      <c r="O27" s="335" t="s">
        <v>35</v>
      </c>
      <c r="P27" s="450"/>
      <c r="Q27" s="336"/>
      <c r="R27" s="336"/>
      <c r="S27" s="336"/>
      <c r="T27" s="337"/>
      <c r="U27" s="337"/>
      <c r="V27" s="337"/>
      <c r="W27" s="332" t="s">
        <v>411</v>
      </c>
      <c r="X27" s="332"/>
      <c r="Y27" s="332"/>
      <c r="Z27" s="332"/>
      <c r="AA27" s="332"/>
      <c r="AB27" s="332"/>
      <c r="AC27" s="333" t="s">
        <v>412</v>
      </c>
      <c r="AD27" s="333">
        <f>ROUND(SUM(AD28:AD28),-3)</f>
        <v>2934000</v>
      </c>
      <c r="AE27" s="334" t="s">
        <v>413</v>
      </c>
      <c r="AF27" s="2"/>
    </row>
    <row r="28" spans="1:32" s="11" customFormat="1" ht="21" customHeight="1">
      <c r="A28" s="45"/>
      <c r="B28" s="46"/>
      <c r="C28" s="46"/>
      <c r="D28" s="158">
        <f>[3]세출!E28</f>
        <v>0</v>
      </c>
      <c r="E28" s="108"/>
      <c r="F28" s="108"/>
      <c r="G28" s="108"/>
      <c r="H28" s="108"/>
      <c r="I28" s="108"/>
      <c r="J28" s="108"/>
      <c r="K28" s="108"/>
      <c r="L28" s="108"/>
      <c r="M28" s="114"/>
      <c r="N28" s="70"/>
      <c r="O28" s="279"/>
      <c r="P28" s="279"/>
      <c r="Q28" s="279"/>
      <c r="R28" s="279"/>
      <c r="S28" s="277">
        <f>SUM(AD7,AD15)</f>
        <v>35206000</v>
      </c>
      <c r="T28" s="328" t="s">
        <v>413</v>
      </c>
      <c r="U28" s="328" t="s">
        <v>414</v>
      </c>
      <c r="V28" s="451">
        <v>12</v>
      </c>
      <c r="W28" s="327" t="s">
        <v>415</v>
      </c>
      <c r="X28" s="277"/>
      <c r="Y28" s="277"/>
      <c r="Z28" s="277"/>
      <c r="AA28" s="277" t="s">
        <v>416</v>
      </c>
      <c r="AB28" s="277" t="s">
        <v>417</v>
      </c>
      <c r="AC28" s="280"/>
      <c r="AD28" s="280">
        <f>ROUND(S28/V28,-3)</f>
        <v>2934000</v>
      </c>
      <c r="AE28" s="297" t="s">
        <v>413</v>
      </c>
      <c r="AF28" s="2"/>
    </row>
    <row r="29" spans="1:32" s="11" customFormat="1" ht="21" customHeight="1">
      <c r="A29" s="45"/>
      <c r="B29" s="46"/>
      <c r="C29" s="46"/>
      <c r="D29" s="159">
        <f>[3]세출!E29</f>
        <v>0</v>
      </c>
      <c r="E29" s="108"/>
      <c r="F29" s="108"/>
      <c r="G29" s="108"/>
      <c r="H29" s="108"/>
      <c r="I29" s="108"/>
      <c r="J29" s="108"/>
      <c r="K29" s="108"/>
      <c r="L29" s="108"/>
      <c r="M29" s="114"/>
      <c r="N29" s="70"/>
      <c r="O29" s="32"/>
      <c r="P29" s="32"/>
      <c r="Q29" s="32"/>
      <c r="R29" s="32"/>
      <c r="S29" s="32"/>
      <c r="T29" s="33"/>
      <c r="U29" s="33"/>
      <c r="V29" s="33"/>
      <c r="W29" s="33"/>
      <c r="X29" s="33"/>
      <c r="Y29" s="33"/>
      <c r="Z29" s="33"/>
      <c r="AA29" s="33"/>
      <c r="AB29" s="33"/>
      <c r="AC29" s="52"/>
      <c r="AD29" s="52"/>
      <c r="AE29" s="34"/>
      <c r="AF29" s="2"/>
    </row>
    <row r="30" spans="1:32" s="11" customFormat="1" ht="21" customHeight="1">
      <c r="A30" s="45"/>
      <c r="B30" s="46"/>
      <c r="C30" s="121" t="s">
        <v>81</v>
      </c>
      <c r="D30" s="157">
        <f>[3]세출!E30</f>
        <v>3327</v>
      </c>
      <c r="E30" s="113">
        <f>AD30/1000</f>
        <v>3458</v>
      </c>
      <c r="F30" s="113">
        <f>SUMIF($AB$33:$AB$49,"보조",$AD$33:$AD$49)/1000</f>
        <v>3458</v>
      </c>
      <c r="G30" s="113">
        <f>SUMIF($AB$33:$AB$49,"7종",$AD$33:$AD$49)/1000</f>
        <v>0</v>
      </c>
      <c r="H30" s="113">
        <f>SUMIF($AB$33:$AB$49,"시비",$AD$33:$AD$49)/1000</f>
        <v>0</v>
      </c>
      <c r="I30" s="113">
        <f>SUMIF($AB$33:$AB$49,"후원",$AD$33:$AD$49)/1000</f>
        <v>0</v>
      </c>
      <c r="J30" s="113">
        <f>SUMIF($AB$33:$AB$49,"입소",$AD$33:$AD$49)/1000</f>
        <v>0</v>
      </c>
      <c r="K30" s="113">
        <f>SUMIF($AB$33:$AB$49,"법인",$AD$33:$AD$49)/1000</f>
        <v>0</v>
      </c>
      <c r="L30" s="113">
        <f>SUMIF($AB$33:$AB$49,"잡수",$AD$33:$AD$49)/1000</f>
        <v>0</v>
      </c>
      <c r="M30" s="122">
        <f>E30-D30</f>
        <v>131</v>
      </c>
      <c r="N30" s="120">
        <f>IF(D30=0,0,M30/D30)</f>
        <v>3.9374812143071834E-2</v>
      </c>
      <c r="O30" s="96" t="s">
        <v>36</v>
      </c>
      <c r="P30" s="172"/>
      <c r="Q30" s="92"/>
      <c r="R30" s="92"/>
      <c r="S30" s="92"/>
      <c r="T30" s="88"/>
      <c r="U30" s="88"/>
      <c r="V30" s="88"/>
      <c r="W30" s="173" t="s">
        <v>450</v>
      </c>
      <c r="X30" s="173"/>
      <c r="Y30" s="173"/>
      <c r="Z30" s="173"/>
      <c r="AA30" s="173"/>
      <c r="AB30" s="173"/>
      <c r="AC30" s="175"/>
      <c r="AD30" s="175">
        <f>SUM(AD32,AD35,AD38,AD41,AD44,AD47)</f>
        <v>3458000</v>
      </c>
      <c r="AE30" s="174" t="s">
        <v>25</v>
      </c>
    </row>
    <row r="31" spans="1:32" s="11" customFormat="1" ht="21" customHeight="1">
      <c r="A31" s="45"/>
      <c r="B31" s="46"/>
      <c r="C31" s="46" t="s">
        <v>134</v>
      </c>
      <c r="D31" s="155">
        <f>[3]세출!E31</f>
        <v>0</v>
      </c>
      <c r="E31" s="108"/>
      <c r="F31" s="108"/>
      <c r="G31" s="108"/>
      <c r="H31" s="108"/>
      <c r="I31" s="108"/>
      <c r="J31" s="108"/>
      <c r="K31" s="108"/>
      <c r="L31" s="108"/>
      <c r="M31" s="108"/>
      <c r="N31" s="70"/>
      <c r="O31" s="154"/>
      <c r="P31" s="32"/>
      <c r="Q31" s="32"/>
      <c r="R31" s="32"/>
      <c r="S31" s="32"/>
      <c r="T31" s="33"/>
      <c r="U31" s="33"/>
      <c r="V31" s="33"/>
      <c r="W31" s="33"/>
      <c r="X31" s="33"/>
      <c r="Y31" s="33"/>
      <c r="Z31" s="33"/>
      <c r="AA31" s="33"/>
      <c r="AB31" s="33"/>
      <c r="AC31" s="52"/>
      <c r="AD31" s="52"/>
      <c r="AE31" s="34"/>
      <c r="AF31" s="2"/>
    </row>
    <row r="32" spans="1:32" s="11" customFormat="1" ht="21" customHeight="1">
      <c r="A32" s="45"/>
      <c r="B32" s="46"/>
      <c r="C32" s="46"/>
      <c r="D32" s="155">
        <f>[3]세출!E32</f>
        <v>0</v>
      </c>
      <c r="E32" s="108"/>
      <c r="F32" s="108"/>
      <c r="G32" s="108"/>
      <c r="H32" s="108"/>
      <c r="I32" s="108"/>
      <c r="J32" s="108"/>
      <c r="K32" s="108"/>
      <c r="L32" s="108"/>
      <c r="M32" s="108"/>
      <c r="N32" s="70"/>
      <c r="O32" s="356" t="s">
        <v>451</v>
      </c>
      <c r="P32" s="279"/>
      <c r="Q32" s="279"/>
      <c r="R32" s="279"/>
      <c r="S32" s="279"/>
      <c r="T32" s="277"/>
      <c r="U32" s="277"/>
      <c r="V32" s="277"/>
      <c r="W32" s="341" t="s">
        <v>452</v>
      </c>
      <c r="X32" s="341"/>
      <c r="Y32" s="341"/>
      <c r="Z32" s="341"/>
      <c r="AA32" s="341"/>
      <c r="AB32" s="341"/>
      <c r="AC32" s="342"/>
      <c r="AD32" s="342">
        <f>ROUND(SUM(AD33:AD33),-3)</f>
        <v>1585000</v>
      </c>
      <c r="AE32" s="343" t="s">
        <v>25</v>
      </c>
      <c r="AF32" s="2"/>
    </row>
    <row r="33" spans="1:32" s="11" customFormat="1" ht="21" customHeight="1">
      <c r="A33" s="45"/>
      <c r="B33" s="46"/>
      <c r="C33" s="46"/>
      <c r="D33" s="155">
        <f>[3]세출!E33</f>
        <v>0</v>
      </c>
      <c r="E33" s="108"/>
      <c r="F33" s="108"/>
      <c r="G33" s="108"/>
      <c r="H33" s="108"/>
      <c r="I33" s="108"/>
      <c r="J33" s="108"/>
      <c r="K33" s="108"/>
      <c r="L33" s="108"/>
      <c r="M33" s="108"/>
      <c r="N33" s="70"/>
      <c r="O33" s="279"/>
      <c r="P33" s="279"/>
      <c r="Q33" s="279"/>
      <c r="R33" s="279"/>
      <c r="S33" s="277">
        <f>S28</f>
        <v>35206000</v>
      </c>
      <c r="T33" s="328" t="s">
        <v>25</v>
      </c>
      <c r="U33" s="327" t="s">
        <v>26</v>
      </c>
      <c r="V33" s="474">
        <v>0.09</v>
      </c>
      <c r="W33" s="328" t="s">
        <v>453</v>
      </c>
      <c r="X33" s="361">
        <v>2</v>
      </c>
      <c r="Y33" s="330"/>
      <c r="Z33" s="330"/>
      <c r="AA33" s="328" t="s">
        <v>27</v>
      </c>
      <c r="AB33" s="277" t="s">
        <v>454</v>
      </c>
      <c r="AC33" s="280"/>
      <c r="AD33" s="280">
        <f>ROUNDUP(S33*V33/X33,-3)</f>
        <v>1585000</v>
      </c>
      <c r="AE33" s="297" t="s">
        <v>25</v>
      </c>
      <c r="AF33" s="2"/>
    </row>
    <row r="34" spans="1:32" s="11" customFormat="1" ht="21" customHeight="1">
      <c r="A34" s="45"/>
      <c r="B34" s="46"/>
      <c r="C34" s="46"/>
      <c r="D34" s="155">
        <f>[3]세출!E34</f>
        <v>0</v>
      </c>
      <c r="E34" s="108"/>
      <c r="F34" s="108"/>
      <c r="G34" s="108"/>
      <c r="H34" s="108"/>
      <c r="I34" s="108"/>
      <c r="J34" s="108"/>
      <c r="K34" s="108"/>
      <c r="L34" s="108"/>
      <c r="M34" s="108"/>
      <c r="N34" s="70"/>
      <c r="O34" s="279"/>
      <c r="P34" s="279"/>
      <c r="Q34" s="279"/>
      <c r="R34" s="279"/>
      <c r="S34" s="277"/>
      <c r="T34" s="328"/>
      <c r="U34" s="327"/>
      <c r="V34" s="474"/>
      <c r="W34" s="328"/>
      <c r="X34" s="361"/>
      <c r="Y34" s="330"/>
      <c r="Z34" s="330"/>
      <c r="AA34" s="328"/>
      <c r="AB34" s="277"/>
      <c r="AC34" s="280"/>
      <c r="AD34" s="280"/>
      <c r="AE34" s="297"/>
      <c r="AF34" s="2"/>
    </row>
    <row r="35" spans="1:32" s="11" customFormat="1" ht="21" customHeight="1">
      <c r="A35" s="45"/>
      <c r="B35" s="46"/>
      <c r="C35" s="46"/>
      <c r="D35" s="155">
        <f>[3]세출!E35</f>
        <v>0</v>
      </c>
      <c r="E35" s="108"/>
      <c r="F35" s="108"/>
      <c r="G35" s="108"/>
      <c r="H35" s="108"/>
      <c r="I35" s="108"/>
      <c r="J35" s="108"/>
      <c r="K35" s="108"/>
      <c r="L35" s="108"/>
      <c r="M35" s="108"/>
      <c r="N35" s="70"/>
      <c r="O35" s="356" t="s">
        <v>455</v>
      </c>
      <c r="P35" s="279"/>
      <c r="Q35" s="279"/>
      <c r="R35" s="279"/>
      <c r="S35" s="279"/>
      <c r="T35" s="277"/>
      <c r="U35" s="277"/>
      <c r="V35" s="475"/>
      <c r="W35" s="341" t="s">
        <v>452</v>
      </c>
      <c r="X35" s="341"/>
      <c r="Y35" s="341"/>
      <c r="Z35" s="341"/>
      <c r="AA35" s="341"/>
      <c r="AB35" s="341"/>
      <c r="AC35" s="342" t="s">
        <v>456</v>
      </c>
      <c r="AD35" s="342">
        <f>ROUND(SUM(AD36:AD36),-3)</f>
        <v>1138000</v>
      </c>
      <c r="AE35" s="343" t="s">
        <v>25</v>
      </c>
      <c r="AF35" s="2"/>
    </row>
    <row r="36" spans="1:32" s="11" customFormat="1" ht="21" customHeight="1">
      <c r="A36" s="45"/>
      <c r="B36" s="46"/>
      <c r="C36" s="46"/>
      <c r="D36" s="155">
        <f>[3]세출!E36</f>
        <v>0</v>
      </c>
      <c r="E36" s="108"/>
      <c r="F36" s="108"/>
      <c r="G36" s="108"/>
      <c r="H36" s="108"/>
      <c r="I36" s="108"/>
      <c r="J36" s="108"/>
      <c r="K36" s="108"/>
      <c r="L36" s="108"/>
      <c r="M36" s="108"/>
      <c r="N36" s="70"/>
      <c r="O36" s="279"/>
      <c r="P36" s="279"/>
      <c r="Q36" s="279"/>
      <c r="R36" s="279"/>
      <c r="S36" s="277">
        <f>S33</f>
        <v>35206000</v>
      </c>
      <c r="T36" s="328" t="s">
        <v>25</v>
      </c>
      <c r="U36" s="327" t="s">
        <v>26</v>
      </c>
      <c r="V36" s="474">
        <v>6.4600000000000005E-2</v>
      </c>
      <c r="W36" s="328" t="s">
        <v>453</v>
      </c>
      <c r="X36" s="362">
        <v>2</v>
      </c>
      <c r="Y36" s="330"/>
      <c r="Z36" s="330"/>
      <c r="AA36" s="328" t="s">
        <v>27</v>
      </c>
      <c r="AB36" s="277" t="s">
        <v>454</v>
      </c>
      <c r="AC36" s="280"/>
      <c r="AD36" s="280">
        <f>ROUNDUP(S36*V36/X36,-3)</f>
        <v>1138000</v>
      </c>
      <c r="AE36" s="297" t="s">
        <v>25</v>
      </c>
      <c r="AF36" s="2"/>
    </row>
    <row r="37" spans="1:32" s="11" customFormat="1" ht="21" customHeight="1">
      <c r="A37" s="45"/>
      <c r="B37" s="46"/>
      <c r="C37" s="46"/>
      <c r="D37" s="155">
        <f>[3]세출!E37</f>
        <v>0</v>
      </c>
      <c r="E37" s="108"/>
      <c r="F37" s="108"/>
      <c r="G37" s="108"/>
      <c r="H37" s="108"/>
      <c r="I37" s="108"/>
      <c r="J37" s="108"/>
      <c r="K37" s="108"/>
      <c r="L37" s="108"/>
      <c r="M37" s="108"/>
      <c r="N37" s="70"/>
      <c r="O37" s="279"/>
      <c r="P37" s="279"/>
      <c r="Q37" s="279"/>
      <c r="R37" s="279"/>
      <c r="S37" s="277"/>
      <c r="T37" s="328"/>
      <c r="U37" s="327"/>
      <c r="V37" s="474"/>
      <c r="W37" s="328"/>
      <c r="X37" s="362"/>
      <c r="Y37" s="330"/>
      <c r="Z37" s="330"/>
      <c r="AA37" s="328"/>
      <c r="AB37" s="277"/>
      <c r="AC37" s="280"/>
      <c r="AD37" s="280"/>
      <c r="AE37" s="297"/>
      <c r="AF37" s="2"/>
    </row>
    <row r="38" spans="1:32" s="11" customFormat="1" ht="21" customHeight="1">
      <c r="A38" s="45"/>
      <c r="B38" s="46"/>
      <c r="C38" s="46"/>
      <c r="D38" s="155">
        <f>[3]세출!E38</f>
        <v>0</v>
      </c>
      <c r="E38" s="108"/>
      <c r="F38" s="108"/>
      <c r="G38" s="108"/>
      <c r="H38" s="108"/>
      <c r="I38" s="108"/>
      <c r="J38" s="108"/>
      <c r="K38" s="108"/>
      <c r="L38" s="108"/>
      <c r="M38" s="108"/>
      <c r="N38" s="70"/>
      <c r="O38" s="356" t="s">
        <v>457</v>
      </c>
      <c r="P38" s="279"/>
      <c r="Q38" s="279"/>
      <c r="R38" s="279"/>
      <c r="S38" s="279"/>
      <c r="T38" s="277"/>
      <c r="U38" s="277"/>
      <c r="V38" s="475"/>
      <c r="W38" s="341" t="s">
        <v>452</v>
      </c>
      <c r="X38" s="341"/>
      <c r="Y38" s="341"/>
      <c r="Z38" s="341"/>
      <c r="AA38" s="341"/>
      <c r="AB38" s="341"/>
      <c r="AC38" s="342" t="s">
        <v>456</v>
      </c>
      <c r="AD38" s="342">
        <f>ROUNDUP(SUM(AD39:AD39),-3)</f>
        <v>97000</v>
      </c>
      <c r="AE38" s="343" t="s">
        <v>25</v>
      </c>
      <c r="AF38" s="2"/>
    </row>
    <row r="39" spans="1:32" s="11" customFormat="1" ht="21" customHeight="1">
      <c r="A39" s="45"/>
      <c r="B39" s="46"/>
      <c r="C39" s="46"/>
      <c r="D39" s="155">
        <f>[3]세출!E39</f>
        <v>0</v>
      </c>
      <c r="E39" s="108"/>
      <c r="F39" s="108"/>
      <c r="G39" s="108"/>
      <c r="H39" s="108"/>
      <c r="I39" s="108"/>
      <c r="J39" s="108"/>
      <c r="K39" s="108"/>
      <c r="L39" s="108"/>
      <c r="M39" s="108"/>
      <c r="N39" s="70"/>
      <c r="O39" s="279"/>
      <c r="P39" s="279"/>
      <c r="Q39" s="279"/>
      <c r="R39" s="279"/>
      <c r="S39" s="363">
        <f>AD36</f>
        <v>1138000</v>
      </c>
      <c r="T39" s="328" t="s">
        <v>25</v>
      </c>
      <c r="U39" s="327" t="s">
        <v>26</v>
      </c>
      <c r="V39" s="474">
        <v>8.5099999999999995E-2</v>
      </c>
      <c r="W39" s="327"/>
      <c r="X39" s="329"/>
      <c r="Y39" s="330"/>
      <c r="Z39" s="330"/>
      <c r="AA39" s="328" t="s">
        <v>27</v>
      </c>
      <c r="AB39" s="277" t="s">
        <v>454</v>
      </c>
      <c r="AC39" s="280"/>
      <c r="AD39" s="280">
        <f>ROUNDUP(S39*V39,-3)</f>
        <v>97000</v>
      </c>
      <c r="AE39" s="297" t="s">
        <v>25</v>
      </c>
      <c r="AF39" s="2"/>
    </row>
    <row r="40" spans="1:32" s="11" customFormat="1" ht="21" customHeight="1">
      <c r="A40" s="45"/>
      <c r="B40" s="46"/>
      <c r="C40" s="46"/>
      <c r="D40" s="155">
        <f>[3]세출!E40</f>
        <v>0</v>
      </c>
      <c r="E40" s="108"/>
      <c r="F40" s="108"/>
      <c r="G40" s="108"/>
      <c r="H40" s="108"/>
      <c r="I40" s="108"/>
      <c r="J40" s="108"/>
      <c r="K40" s="108"/>
      <c r="L40" s="108"/>
      <c r="M40" s="108"/>
      <c r="N40" s="70"/>
      <c r="O40" s="279"/>
      <c r="P40" s="279"/>
      <c r="Q40" s="279"/>
      <c r="R40" s="279"/>
      <c r="S40" s="363"/>
      <c r="T40" s="328"/>
      <c r="U40" s="327"/>
      <c r="V40" s="474"/>
      <c r="W40" s="327"/>
      <c r="X40" s="329"/>
      <c r="Y40" s="330"/>
      <c r="Z40" s="330"/>
      <c r="AA40" s="328"/>
      <c r="AB40" s="277"/>
      <c r="AC40" s="280"/>
      <c r="AD40" s="280"/>
      <c r="AE40" s="297"/>
      <c r="AF40" s="2"/>
    </row>
    <row r="41" spans="1:32" s="11" customFormat="1" ht="21" customHeight="1">
      <c r="A41" s="45"/>
      <c r="B41" s="46"/>
      <c r="C41" s="46"/>
      <c r="D41" s="155">
        <f>[3]세출!E41</f>
        <v>0</v>
      </c>
      <c r="E41" s="108"/>
      <c r="F41" s="108"/>
      <c r="G41" s="108"/>
      <c r="H41" s="108"/>
      <c r="I41" s="108"/>
      <c r="J41" s="108"/>
      <c r="K41" s="108"/>
      <c r="L41" s="108"/>
      <c r="M41" s="108"/>
      <c r="N41" s="70"/>
      <c r="O41" s="356" t="s">
        <v>458</v>
      </c>
      <c r="P41" s="279"/>
      <c r="Q41" s="279"/>
      <c r="R41" s="279"/>
      <c r="S41" s="279"/>
      <c r="T41" s="277"/>
      <c r="U41" s="277"/>
      <c r="V41" s="475"/>
      <c r="W41" s="341" t="s">
        <v>452</v>
      </c>
      <c r="X41" s="341"/>
      <c r="Y41" s="341"/>
      <c r="Z41" s="341"/>
      <c r="AA41" s="341"/>
      <c r="AB41" s="341"/>
      <c r="AC41" s="342" t="s">
        <v>456</v>
      </c>
      <c r="AD41" s="342">
        <f>ROUND(SUM(AD42:AD42),-3)</f>
        <v>317000</v>
      </c>
      <c r="AE41" s="343" t="s">
        <v>25</v>
      </c>
      <c r="AF41" s="2"/>
    </row>
    <row r="42" spans="1:32" s="11" customFormat="1" ht="21" customHeight="1">
      <c r="A42" s="45"/>
      <c r="B42" s="46"/>
      <c r="C42" s="46"/>
      <c r="D42" s="155">
        <f>[3]세출!E42</f>
        <v>0</v>
      </c>
      <c r="E42" s="108"/>
      <c r="F42" s="108"/>
      <c r="G42" s="108"/>
      <c r="H42" s="108"/>
      <c r="I42" s="108"/>
      <c r="J42" s="108"/>
      <c r="K42" s="108"/>
      <c r="L42" s="108"/>
      <c r="M42" s="108"/>
      <c r="N42" s="70"/>
      <c r="O42" s="279"/>
      <c r="P42" s="279"/>
      <c r="Q42" s="279"/>
      <c r="R42" s="279"/>
      <c r="S42" s="277">
        <f>S36</f>
        <v>35206000</v>
      </c>
      <c r="T42" s="328" t="s">
        <v>25</v>
      </c>
      <c r="U42" s="327" t="s">
        <v>26</v>
      </c>
      <c r="V42" s="474">
        <v>8.9999999999999993E-3</v>
      </c>
      <c r="W42" s="327"/>
      <c r="X42" s="329"/>
      <c r="Y42" s="330"/>
      <c r="Z42" s="330"/>
      <c r="AA42" s="328" t="s">
        <v>27</v>
      </c>
      <c r="AB42" s="277" t="s">
        <v>454</v>
      </c>
      <c r="AC42" s="280"/>
      <c r="AD42" s="280">
        <f>ROUNDUP(S42*V42,-3)</f>
        <v>317000</v>
      </c>
      <c r="AE42" s="297" t="s">
        <v>25</v>
      </c>
      <c r="AF42" s="2"/>
    </row>
    <row r="43" spans="1:32" s="11" customFormat="1" ht="21" customHeight="1">
      <c r="A43" s="45"/>
      <c r="B43" s="46"/>
      <c r="C43" s="46"/>
      <c r="D43" s="155">
        <f>[3]세출!E43</f>
        <v>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70"/>
      <c r="O43" s="279"/>
      <c r="P43" s="279"/>
      <c r="Q43" s="279"/>
      <c r="R43" s="279"/>
      <c r="S43" s="277"/>
      <c r="T43" s="328"/>
      <c r="U43" s="327"/>
      <c r="V43" s="474"/>
      <c r="W43" s="327"/>
      <c r="X43" s="329"/>
      <c r="Y43" s="330"/>
      <c r="Z43" s="330"/>
      <c r="AA43" s="328"/>
      <c r="AB43" s="277"/>
      <c r="AC43" s="280"/>
      <c r="AD43" s="280"/>
      <c r="AE43" s="297"/>
      <c r="AF43" s="2"/>
    </row>
    <row r="44" spans="1:32" s="11" customFormat="1" ht="21" customHeight="1">
      <c r="A44" s="45"/>
      <c r="B44" s="46"/>
      <c r="C44" s="46"/>
      <c r="D44" s="155">
        <f>[3]세출!E44</f>
        <v>0</v>
      </c>
      <c r="E44" s="108"/>
      <c r="F44" s="108"/>
      <c r="G44" s="108"/>
      <c r="H44" s="108"/>
      <c r="I44" s="108"/>
      <c r="J44" s="108"/>
      <c r="K44" s="108"/>
      <c r="L44" s="108"/>
      <c r="M44" s="108"/>
      <c r="N44" s="70"/>
      <c r="O44" s="492" t="s">
        <v>459</v>
      </c>
      <c r="P44" s="442"/>
      <c r="Q44" s="442"/>
      <c r="R44" s="442"/>
      <c r="S44" s="442"/>
      <c r="T44" s="441"/>
      <c r="U44" s="441"/>
      <c r="V44" s="499"/>
      <c r="W44" s="491" t="s">
        <v>452</v>
      </c>
      <c r="X44" s="491"/>
      <c r="Y44" s="491"/>
      <c r="Z44" s="491"/>
      <c r="AA44" s="491"/>
      <c r="AB44" s="491"/>
      <c r="AC44" s="381" t="s">
        <v>456</v>
      </c>
      <c r="AD44" s="381">
        <f>ROUND(SUM(AD45:AD45),-3)</f>
        <v>321000</v>
      </c>
      <c r="AE44" s="372" t="s">
        <v>25</v>
      </c>
      <c r="AF44" s="2"/>
    </row>
    <row r="45" spans="1:32" s="11" customFormat="1" ht="21" customHeight="1">
      <c r="A45" s="45"/>
      <c r="B45" s="46"/>
      <c r="C45" s="46"/>
      <c r="D45" s="155">
        <f>[3]세출!E45</f>
        <v>0</v>
      </c>
      <c r="E45" s="108"/>
      <c r="F45" s="108"/>
      <c r="G45" s="108"/>
      <c r="H45" s="108"/>
      <c r="I45" s="108"/>
      <c r="J45" s="108"/>
      <c r="K45" s="108"/>
      <c r="L45" s="108"/>
      <c r="M45" s="108"/>
      <c r="N45" s="70"/>
      <c r="O45" s="442"/>
      <c r="P45" s="442"/>
      <c r="Q45" s="442"/>
      <c r="R45" s="442"/>
      <c r="S45" s="441">
        <f>S42</f>
        <v>35206000</v>
      </c>
      <c r="T45" s="289" t="s">
        <v>25</v>
      </c>
      <c r="U45" s="364" t="s">
        <v>26</v>
      </c>
      <c r="V45" s="500">
        <v>9.1000000000000004E-3</v>
      </c>
      <c r="W45" s="364"/>
      <c r="X45" s="367"/>
      <c r="Y45" s="76"/>
      <c r="Z45" s="76"/>
      <c r="AA45" s="289" t="s">
        <v>27</v>
      </c>
      <c r="AB45" s="441" t="s">
        <v>454</v>
      </c>
      <c r="AC45" s="133"/>
      <c r="AD45" s="133">
        <f>ROUNDUP(S45*V45,-3)</f>
        <v>321000</v>
      </c>
      <c r="AE45" s="134" t="s">
        <v>25</v>
      </c>
      <c r="AF45" s="2"/>
    </row>
    <row r="46" spans="1:32" s="11" customFormat="1" ht="21" customHeight="1">
      <c r="A46" s="45"/>
      <c r="B46" s="46"/>
      <c r="C46" s="46"/>
      <c r="D46" s="155">
        <f>[3]세출!E46</f>
        <v>0</v>
      </c>
      <c r="E46" s="108"/>
      <c r="F46" s="108"/>
      <c r="G46" s="108"/>
      <c r="H46" s="108"/>
      <c r="I46" s="108"/>
      <c r="J46" s="108"/>
      <c r="K46" s="108"/>
      <c r="L46" s="108"/>
      <c r="M46" s="108"/>
      <c r="N46" s="70"/>
      <c r="O46" s="279"/>
      <c r="P46" s="279"/>
      <c r="Q46" s="279"/>
      <c r="R46" s="279"/>
      <c r="S46" s="277"/>
      <c r="T46" s="328"/>
      <c r="U46" s="327"/>
      <c r="V46" s="474"/>
      <c r="W46" s="327"/>
      <c r="X46" s="329"/>
      <c r="Y46" s="330"/>
      <c r="Z46" s="330"/>
      <c r="AA46" s="328"/>
      <c r="AB46" s="277"/>
      <c r="AC46" s="280"/>
      <c r="AD46" s="280"/>
      <c r="AE46" s="297"/>
      <c r="AF46" s="2"/>
    </row>
    <row r="47" spans="1:32" s="11" customFormat="1" ht="21" customHeight="1">
      <c r="A47" s="45"/>
      <c r="B47" s="46"/>
      <c r="C47" s="46"/>
      <c r="D47" s="155">
        <f>[3]세출!E47</f>
        <v>0</v>
      </c>
      <c r="E47" s="108"/>
      <c r="F47" s="108"/>
      <c r="G47" s="108"/>
      <c r="H47" s="108"/>
      <c r="I47" s="108"/>
      <c r="J47" s="108"/>
      <c r="K47" s="108"/>
      <c r="L47" s="108"/>
      <c r="M47" s="108"/>
      <c r="N47" s="70"/>
      <c r="O47" s="356" t="s">
        <v>460</v>
      </c>
      <c r="P47" s="279"/>
      <c r="Q47" s="279"/>
      <c r="R47" s="279"/>
      <c r="S47" s="279"/>
      <c r="T47" s="277"/>
      <c r="U47" s="277"/>
      <c r="V47" s="277"/>
      <c r="W47" s="341" t="s">
        <v>452</v>
      </c>
      <c r="X47" s="341"/>
      <c r="Y47" s="341"/>
      <c r="Z47" s="341"/>
      <c r="AA47" s="341"/>
      <c r="AB47" s="341" t="s">
        <v>461</v>
      </c>
      <c r="AC47" s="342" t="s">
        <v>456</v>
      </c>
      <c r="AD47" s="342">
        <v>0</v>
      </c>
      <c r="AE47" s="343" t="s">
        <v>25</v>
      </c>
      <c r="AF47" s="2"/>
    </row>
    <row r="48" spans="1:32" s="11" customFormat="1" ht="21" customHeight="1">
      <c r="A48" s="45"/>
      <c r="B48" s="46"/>
      <c r="C48" s="46"/>
      <c r="D48" s="155">
        <f>[3]세출!E48</f>
        <v>0</v>
      </c>
      <c r="E48" s="108"/>
      <c r="F48" s="108"/>
      <c r="G48" s="108"/>
      <c r="H48" s="108"/>
      <c r="I48" s="108"/>
      <c r="J48" s="108"/>
      <c r="K48" s="108"/>
      <c r="L48" s="108"/>
      <c r="M48" s="108"/>
      <c r="N48" s="70"/>
      <c r="O48" s="279"/>
      <c r="P48" s="279"/>
      <c r="Q48" s="279"/>
      <c r="R48" s="279"/>
      <c r="S48" s="279"/>
      <c r="T48" s="277"/>
      <c r="U48" s="277"/>
      <c r="V48" s="277"/>
      <c r="W48" s="277"/>
      <c r="X48" s="277"/>
      <c r="Y48" s="277"/>
      <c r="Z48" s="277"/>
      <c r="AA48" s="277"/>
      <c r="AB48" s="277"/>
      <c r="AC48" s="280"/>
      <c r="AD48" s="280"/>
      <c r="AE48" s="297"/>
      <c r="AF48" s="2"/>
    </row>
    <row r="49" spans="1:32" s="11" customFormat="1" ht="21" customHeight="1">
      <c r="A49" s="45"/>
      <c r="B49" s="46"/>
      <c r="C49" s="46"/>
      <c r="D49" s="155">
        <f>[3]세출!E49</f>
        <v>0</v>
      </c>
      <c r="E49" s="108"/>
      <c r="F49" s="108"/>
      <c r="G49" s="108"/>
      <c r="H49" s="108"/>
      <c r="I49" s="108"/>
      <c r="J49" s="108"/>
      <c r="K49" s="108"/>
      <c r="L49" s="108"/>
      <c r="M49" s="108"/>
      <c r="N49" s="70"/>
      <c r="O49" s="279"/>
      <c r="P49" s="279"/>
      <c r="Q49" s="279"/>
      <c r="R49" s="279"/>
      <c r="S49" s="279"/>
      <c r="T49" s="277"/>
      <c r="U49" s="277"/>
      <c r="V49" s="277"/>
      <c r="W49" s="277"/>
      <c r="X49" s="277"/>
      <c r="Y49" s="277"/>
      <c r="Z49" s="277"/>
      <c r="AA49" s="277"/>
      <c r="AB49" s="277"/>
      <c r="AC49" s="280"/>
      <c r="AD49" s="280"/>
      <c r="AE49" s="297"/>
      <c r="AF49" s="2"/>
    </row>
    <row r="50" spans="1:32" s="11" customFormat="1" ht="21" customHeight="1">
      <c r="A50" s="45"/>
      <c r="B50" s="46"/>
      <c r="C50" s="36" t="s">
        <v>82</v>
      </c>
      <c r="D50" s="157">
        <f>[3]세출!E50</f>
        <v>70</v>
      </c>
      <c r="E50" s="113">
        <f>AD50/1000</f>
        <v>110</v>
      </c>
      <c r="F50" s="113">
        <v>0</v>
      </c>
      <c r="G50" s="113">
        <f>SUMIF($AB$51:$AB$55,"7종",$AD$51:$AD$55)/1000</f>
        <v>0</v>
      </c>
      <c r="H50" s="113">
        <f>SUMIF($AB$51:$AB$55,"시비",$AD$51:$AD$55)/1000</f>
        <v>0</v>
      </c>
      <c r="I50" s="113">
        <f>SUMIF($AB$51:$AB$55,"후원",$AD$51:$AD$55)/1000</f>
        <v>20</v>
      </c>
      <c r="J50" s="113">
        <f>SUMIF($AB$51:$AB$55,"입소",$AD$51:$AD$55)/1000</f>
        <v>90</v>
      </c>
      <c r="K50" s="113">
        <f>SUMIF($AB$51:$AB$55,"법인",$AD$51:$AD$55)/1000</f>
        <v>0</v>
      </c>
      <c r="L50" s="113">
        <f>SUMIF($AB$51:$AB$55,"잡수",$AD$51:$AD$55)/1000</f>
        <v>0</v>
      </c>
      <c r="M50" s="112">
        <f>E50-D50</f>
        <v>40</v>
      </c>
      <c r="N50" s="120">
        <f>IF(D50=0,0,M50/D50)</f>
        <v>0.5714285714285714</v>
      </c>
      <c r="O50" s="298" t="s">
        <v>83</v>
      </c>
      <c r="P50" s="455"/>
      <c r="Q50" s="299"/>
      <c r="R50" s="299"/>
      <c r="S50" s="336"/>
      <c r="T50" s="300"/>
      <c r="U50" s="300"/>
      <c r="V50" s="300"/>
      <c r="W50" s="301" t="s">
        <v>133</v>
      </c>
      <c r="X50" s="301"/>
      <c r="Y50" s="301"/>
      <c r="Z50" s="301"/>
      <c r="AA50" s="301"/>
      <c r="AB50" s="301"/>
      <c r="AC50" s="302"/>
      <c r="AD50" s="302">
        <f>SUM(AD51:AD54)</f>
        <v>110000</v>
      </c>
      <c r="AE50" s="454" t="s">
        <v>25</v>
      </c>
      <c r="AF50" s="21"/>
    </row>
    <row r="51" spans="1:32" s="11" customFormat="1" ht="21" customHeight="1">
      <c r="A51" s="45"/>
      <c r="B51" s="46"/>
      <c r="C51" s="46" t="s">
        <v>136</v>
      </c>
      <c r="D51" s="155">
        <f>[3]세출!E51</f>
        <v>0</v>
      </c>
      <c r="E51" s="108"/>
      <c r="F51" s="108"/>
      <c r="G51" s="108"/>
      <c r="H51" s="108"/>
      <c r="I51" s="108"/>
      <c r="J51" s="108"/>
      <c r="K51" s="108"/>
      <c r="L51" s="108"/>
      <c r="M51" s="108"/>
      <c r="N51" s="70"/>
      <c r="O51" s="442" t="s">
        <v>311</v>
      </c>
      <c r="P51" s="442"/>
      <c r="Q51" s="442"/>
      <c r="R51" s="442"/>
      <c r="S51" s="277"/>
      <c r="T51" s="289" t="s">
        <v>312</v>
      </c>
      <c r="U51" s="364" t="s">
        <v>313</v>
      </c>
      <c r="V51" s="366"/>
      <c r="W51" s="364" t="s">
        <v>314</v>
      </c>
      <c r="X51" s="367"/>
      <c r="Y51" s="76"/>
      <c r="Z51" s="76"/>
      <c r="AA51" s="289" t="s">
        <v>315</v>
      </c>
      <c r="AB51" s="441" t="s">
        <v>423</v>
      </c>
      <c r="AC51" s="133"/>
      <c r="AD51" s="133">
        <f>ROUNDUP(S51*V51,-3)</f>
        <v>0</v>
      </c>
      <c r="AE51" s="134" t="s">
        <v>312</v>
      </c>
      <c r="AF51" s="2"/>
    </row>
    <row r="52" spans="1:32" s="11" customFormat="1" ht="21" customHeight="1">
      <c r="A52" s="45"/>
      <c r="B52" s="46"/>
      <c r="C52" s="46"/>
      <c r="D52" s="155">
        <f>[3]세출!E52</f>
        <v>0</v>
      </c>
      <c r="E52" s="108"/>
      <c r="F52" s="108"/>
      <c r="G52" s="108"/>
      <c r="H52" s="108"/>
      <c r="I52" s="108"/>
      <c r="J52" s="108"/>
      <c r="K52" s="108"/>
      <c r="L52" s="108"/>
      <c r="M52" s="108"/>
      <c r="N52" s="70"/>
      <c r="O52" s="442" t="s">
        <v>366</v>
      </c>
      <c r="P52" s="442"/>
      <c r="Q52" s="442"/>
      <c r="R52" s="442"/>
      <c r="S52" s="277">
        <v>50000</v>
      </c>
      <c r="T52" s="289" t="s">
        <v>367</v>
      </c>
      <c r="U52" s="364" t="s">
        <v>58</v>
      </c>
      <c r="V52" s="366">
        <v>1</v>
      </c>
      <c r="W52" s="364" t="s">
        <v>56</v>
      </c>
      <c r="X52" s="367"/>
      <c r="Y52" s="76"/>
      <c r="Z52" s="76"/>
      <c r="AA52" s="289"/>
      <c r="AB52" s="441" t="s">
        <v>269</v>
      </c>
      <c r="AC52" s="133"/>
      <c r="AD52" s="133">
        <f>ROUNDUP(S52*V52,-3)</f>
        <v>50000</v>
      </c>
      <c r="AE52" s="134" t="s">
        <v>367</v>
      </c>
      <c r="AF52" s="2"/>
    </row>
    <row r="53" spans="1:32" s="11" customFormat="1" ht="21" customHeight="1">
      <c r="A53" s="45"/>
      <c r="B53" s="46"/>
      <c r="C53" s="46"/>
      <c r="D53" s="155">
        <f>[3]세출!E53</f>
        <v>0</v>
      </c>
      <c r="E53" s="108"/>
      <c r="F53" s="108"/>
      <c r="G53" s="108"/>
      <c r="H53" s="108"/>
      <c r="I53" s="108"/>
      <c r="J53" s="108"/>
      <c r="K53" s="108"/>
      <c r="L53" s="108"/>
      <c r="M53" s="108"/>
      <c r="N53" s="70"/>
      <c r="O53" s="442" t="s">
        <v>486</v>
      </c>
      <c r="P53" s="442"/>
      <c r="Q53" s="442"/>
      <c r="R53" s="442"/>
      <c r="S53" s="277">
        <v>20000</v>
      </c>
      <c r="T53" s="289" t="s">
        <v>25</v>
      </c>
      <c r="U53" s="364" t="s">
        <v>26</v>
      </c>
      <c r="V53" s="366">
        <v>1</v>
      </c>
      <c r="W53" s="364" t="s">
        <v>146</v>
      </c>
      <c r="X53" s="367"/>
      <c r="Y53" s="76"/>
      <c r="Z53" s="76"/>
      <c r="AA53" s="289" t="s">
        <v>27</v>
      </c>
      <c r="AB53" s="441" t="s">
        <v>461</v>
      </c>
      <c r="AC53" s="133"/>
      <c r="AD53" s="133">
        <f>ROUNDUP(S53*V53,-3)</f>
        <v>20000</v>
      </c>
      <c r="AE53" s="134" t="s">
        <v>25</v>
      </c>
      <c r="AF53" s="2"/>
    </row>
    <row r="54" spans="1:32" s="11" customFormat="1" ht="21" customHeight="1">
      <c r="A54" s="45"/>
      <c r="B54" s="46"/>
      <c r="C54" s="46"/>
      <c r="D54" s="155">
        <f>[3]세출!E53</f>
        <v>0</v>
      </c>
      <c r="E54" s="108"/>
      <c r="F54" s="108"/>
      <c r="G54" s="108"/>
      <c r="H54" s="108"/>
      <c r="I54" s="108"/>
      <c r="J54" s="108"/>
      <c r="K54" s="108"/>
      <c r="L54" s="108"/>
      <c r="M54" s="108"/>
      <c r="N54" s="70"/>
      <c r="O54" s="442" t="s">
        <v>487</v>
      </c>
      <c r="P54" s="442"/>
      <c r="Q54" s="442"/>
      <c r="R54" s="442"/>
      <c r="S54" s="277">
        <v>20000</v>
      </c>
      <c r="T54" s="289" t="s">
        <v>57</v>
      </c>
      <c r="U54" s="364" t="s">
        <v>58</v>
      </c>
      <c r="V54" s="366">
        <v>1</v>
      </c>
      <c r="W54" s="364" t="s">
        <v>56</v>
      </c>
      <c r="X54" s="367" t="s">
        <v>26</v>
      </c>
      <c r="Y54" s="76">
        <v>2</v>
      </c>
      <c r="Z54" s="490" t="s">
        <v>488</v>
      </c>
      <c r="AA54" s="289" t="s">
        <v>53</v>
      </c>
      <c r="AB54" s="441" t="s">
        <v>269</v>
      </c>
      <c r="AC54" s="133"/>
      <c r="AD54" s="133">
        <f>ROUNDUP(S54*V54*2,-3)</f>
        <v>40000</v>
      </c>
      <c r="AE54" s="134" t="s">
        <v>57</v>
      </c>
      <c r="AF54" s="2"/>
    </row>
    <row r="55" spans="1:32" s="11" customFormat="1" ht="21" customHeight="1">
      <c r="A55" s="45"/>
      <c r="B55" s="59"/>
      <c r="C55" s="59"/>
      <c r="D55" s="156">
        <f>[3]세출!E54</f>
        <v>0</v>
      </c>
      <c r="E55" s="110"/>
      <c r="F55" s="110"/>
      <c r="G55" s="110"/>
      <c r="H55" s="110"/>
      <c r="I55" s="110"/>
      <c r="J55" s="110"/>
      <c r="K55" s="110"/>
      <c r="L55" s="110"/>
      <c r="M55" s="110"/>
      <c r="N55" s="83"/>
      <c r="O55" s="453"/>
      <c r="P55" s="453"/>
      <c r="Q55" s="453"/>
      <c r="R55" s="453"/>
      <c r="S55" s="341"/>
      <c r="T55" s="368"/>
      <c r="U55" s="368"/>
      <c r="V55" s="368"/>
      <c r="W55" s="452"/>
      <c r="X55" s="368"/>
      <c r="Y55" s="368"/>
      <c r="Z55" s="368"/>
      <c r="AA55" s="452"/>
      <c r="AB55" s="368"/>
      <c r="AC55" s="368"/>
      <c r="AD55" s="452"/>
      <c r="AE55" s="369"/>
      <c r="AF55" s="2"/>
    </row>
    <row r="56" spans="1:32" s="11" customFormat="1" ht="21" customHeight="1">
      <c r="A56" s="45"/>
      <c r="B56" s="46" t="s">
        <v>135</v>
      </c>
      <c r="C56" s="46" t="s">
        <v>5</v>
      </c>
      <c r="D56" s="108">
        <f>[3]세출!E55</f>
        <v>280</v>
      </c>
      <c r="E56" s="108">
        <f t="shared" ref="E56:L56" si="4">SUM(E57,E59,E61)</f>
        <v>240</v>
      </c>
      <c r="F56" s="108">
        <f t="shared" si="4"/>
        <v>100</v>
      </c>
      <c r="G56" s="108">
        <f t="shared" si="4"/>
        <v>0</v>
      </c>
      <c r="H56" s="108">
        <f t="shared" si="4"/>
        <v>0</v>
      </c>
      <c r="I56" s="108">
        <f t="shared" si="4"/>
        <v>0</v>
      </c>
      <c r="J56" s="108">
        <f t="shared" si="4"/>
        <v>140</v>
      </c>
      <c r="K56" s="108">
        <f t="shared" si="4"/>
        <v>0</v>
      </c>
      <c r="L56" s="108">
        <f t="shared" si="4"/>
        <v>0</v>
      </c>
      <c r="M56" s="108">
        <f>E56-D56</f>
        <v>-40</v>
      </c>
      <c r="N56" s="70">
        <f>IF(D56=0,0,M56/D56)</f>
        <v>-0.14285714285714285</v>
      </c>
      <c r="O56" s="373" t="s">
        <v>142</v>
      </c>
      <c r="P56" s="373"/>
      <c r="Q56" s="373"/>
      <c r="R56" s="373"/>
      <c r="S56" s="477"/>
      <c r="T56" s="374"/>
      <c r="U56" s="374"/>
      <c r="V56" s="374"/>
      <c r="W56" s="300"/>
      <c r="X56" s="300"/>
      <c r="Y56" s="300"/>
      <c r="Z56" s="300"/>
      <c r="AA56" s="300"/>
      <c r="AB56" s="300"/>
      <c r="AC56" s="456"/>
      <c r="AD56" s="456">
        <f>SUM(AD57,AD59,AD61)</f>
        <v>240000</v>
      </c>
      <c r="AE56" s="457" t="s">
        <v>25</v>
      </c>
      <c r="AF56" s="5"/>
    </row>
    <row r="57" spans="1:32" s="11" customFormat="1" ht="21" customHeight="1">
      <c r="A57" s="45"/>
      <c r="B57" s="46" t="s">
        <v>141</v>
      </c>
      <c r="C57" s="36" t="s">
        <v>10</v>
      </c>
      <c r="D57" s="157">
        <f>[3]세출!E56</f>
        <v>40</v>
      </c>
      <c r="E57" s="113">
        <f>AD57/1000</f>
        <v>0</v>
      </c>
      <c r="F57" s="112">
        <f>SUMIF($AB$58:$AB$58,"보조",$AD$58:$AD$58)/1000</f>
        <v>0</v>
      </c>
      <c r="G57" s="112">
        <f>SUMIF($AB$58:$AB$58,"7종",$AD$58:$AD$58)/1000</f>
        <v>0</v>
      </c>
      <c r="H57" s="112">
        <f>SUMIF($AB$58:$AB$58,"시비",$AD$58:$AD$58)/1000</f>
        <v>0</v>
      </c>
      <c r="I57" s="112">
        <f>SUMIF($AB$58:$AB$58,"후원",$AD$58:$AD$58)/1000</f>
        <v>0</v>
      </c>
      <c r="J57" s="112">
        <f>SUMIF($AB$58:$AB$58,"입소",$AD$58:$AD$58)/1000</f>
        <v>0</v>
      </c>
      <c r="K57" s="112">
        <f>SUMIF($AB$58:$AB$58,"법인",$AD$58:$AD$58)/1000</f>
        <v>0</v>
      </c>
      <c r="L57" s="112">
        <f>SUMIF($AB$58:$AB$58,"잡수",$AD$58:$AD$58)/1000</f>
        <v>0</v>
      </c>
      <c r="M57" s="112">
        <f>E57-D57</f>
        <v>-40</v>
      </c>
      <c r="N57" s="120">
        <f>IF(D57=0,0,M57/D57)</f>
        <v>-1</v>
      </c>
      <c r="O57" s="298" t="s">
        <v>37</v>
      </c>
      <c r="P57" s="458"/>
      <c r="Q57" s="303"/>
      <c r="R57" s="303"/>
      <c r="S57" s="481"/>
      <c r="T57" s="291"/>
      <c r="U57" s="291"/>
      <c r="V57" s="291"/>
      <c r="W57" s="291"/>
      <c r="X57" s="291"/>
      <c r="Y57" s="301" t="s">
        <v>144</v>
      </c>
      <c r="Z57" s="301"/>
      <c r="AA57" s="301"/>
      <c r="AB57" s="301"/>
      <c r="AC57" s="302"/>
      <c r="AD57" s="302">
        <f>AD58</f>
        <v>0</v>
      </c>
      <c r="AE57" s="454" t="s">
        <v>25</v>
      </c>
    </row>
    <row r="58" spans="1:32" s="11" customFormat="1" ht="21" customHeight="1">
      <c r="A58" s="45"/>
      <c r="B58" s="46"/>
      <c r="C58" s="59"/>
      <c r="D58" s="156">
        <f>[3]세출!E57</f>
        <v>0</v>
      </c>
      <c r="E58" s="110"/>
      <c r="F58" s="110"/>
      <c r="G58" s="110"/>
      <c r="H58" s="110"/>
      <c r="I58" s="110"/>
      <c r="J58" s="110"/>
      <c r="K58" s="110"/>
      <c r="L58" s="110"/>
      <c r="M58" s="110"/>
      <c r="N58" s="83"/>
      <c r="O58" s="510"/>
      <c r="P58" s="510"/>
      <c r="Q58" s="510"/>
      <c r="R58" s="510"/>
      <c r="S58" s="341"/>
      <c r="T58" s="371"/>
      <c r="U58" s="371"/>
      <c r="V58" s="509"/>
      <c r="W58" s="510"/>
      <c r="X58" s="509"/>
      <c r="Y58" s="509"/>
      <c r="Z58" s="509"/>
      <c r="AA58" s="509"/>
      <c r="AB58" s="509"/>
      <c r="AC58" s="509"/>
      <c r="AD58" s="509"/>
      <c r="AE58" s="372"/>
      <c r="AF58" s="2"/>
    </row>
    <row r="59" spans="1:32" s="11" customFormat="1" ht="21" customHeight="1">
      <c r="A59" s="45"/>
      <c r="B59" s="46"/>
      <c r="C59" s="46" t="s">
        <v>11</v>
      </c>
      <c r="D59" s="155">
        <f>[3]세출!E59</f>
        <v>0</v>
      </c>
      <c r="E59" s="511">
        <f>AD59/1000</f>
        <v>0</v>
      </c>
      <c r="F59" s="108">
        <v>0</v>
      </c>
      <c r="G59" s="108">
        <v>0</v>
      </c>
      <c r="H59" s="108">
        <v>0</v>
      </c>
      <c r="I59" s="108">
        <v>0</v>
      </c>
      <c r="J59" s="108">
        <v>0</v>
      </c>
      <c r="K59" s="108">
        <v>0</v>
      </c>
      <c r="L59" s="108">
        <v>0</v>
      </c>
      <c r="M59" s="108">
        <f>E59-D59</f>
        <v>0</v>
      </c>
      <c r="N59" s="70">
        <f>IF(D59=0,0,M59/D59)</f>
        <v>0</v>
      </c>
      <c r="O59" s="512" t="s">
        <v>143</v>
      </c>
      <c r="P59" s="290"/>
      <c r="Q59" s="373"/>
      <c r="R59" s="373"/>
      <c r="S59" s="373"/>
      <c r="T59" s="374"/>
      <c r="U59" s="374"/>
      <c r="V59" s="374"/>
      <c r="W59" s="374"/>
      <c r="X59" s="374"/>
      <c r="Y59" s="513" t="s">
        <v>144</v>
      </c>
      <c r="Z59" s="513"/>
      <c r="AA59" s="513"/>
      <c r="AB59" s="513"/>
      <c r="AC59" s="514"/>
      <c r="AD59" s="514">
        <v>0</v>
      </c>
      <c r="AE59" s="515" t="s">
        <v>25</v>
      </c>
      <c r="AF59" s="1"/>
    </row>
    <row r="60" spans="1:32" s="11" customFormat="1" ht="21" customHeight="1">
      <c r="A60" s="45"/>
      <c r="B60" s="46"/>
      <c r="C60" s="59"/>
      <c r="D60" s="156">
        <f>[3]세출!E60</f>
        <v>0</v>
      </c>
      <c r="E60" s="110"/>
      <c r="F60" s="110"/>
      <c r="G60" s="110"/>
      <c r="H60" s="110"/>
      <c r="I60" s="110"/>
      <c r="J60" s="110"/>
      <c r="K60" s="110"/>
      <c r="L60" s="110"/>
      <c r="M60" s="110"/>
      <c r="N60" s="83"/>
      <c r="O60" s="453"/>
      <c r="P60" s="453"/>
      <c r="Q60" s="453"/>
      <c r="R60" s="453"/>
      <c r="S60" s="452"/>
      <c r="T60" s="371"/>
      <c r="U60" s="371"/>
      <c r="V60" s="452"/>
      <c r="W60" s="453"/>
      <c r="X60" s="452"/>
      <c r="Y60" s="452"/>
      <c r="Z60" s="452"/>
      <c r="AA60" s="452"/>
      <c r="AB60" s="452"/>
      <c r="AC60" s="452"/>
      <c r="AD60" s="452"/>
      <c r="AE60" s="372"/>
      <c r="AF60" s="1"/>
    </row>
    <row r="61" spans="1:32" s="11" customFormat="1" ht="21" customHeight="1">
      <c r="A61" s="45"/>
      <c r="B61" s="46"/>
      <c r="C61" s="46" t="s">
        <v>84</v>
      </c>
      <c r="D61" s="155">
        <f>[3]세출!E61</f>
        <v>240</v>
      </c>
      <c r="E61" s="113">
        <f>AD61/1000</f>
        <v>240</v>
      </c>
      <c r="F61" s="108">
        <f>SUMIF($AB$62:$AB$64,"보조",$AD$62:$AD$64)/1000</f>
        <v>100</v>
      </c>
      <c r="G61" s="108">
        <f>SUMIF($AB$62:$AB$64,"7종",$AD$62:$AD$64)/1000</f>
        <v>0</v>
      </c>
      <c r="H61" s="108">
        <f>SUMIF($AB$62:$AB$64,"시비",$AD$62:$AD$64)/1000</f>
        <v>0</v>
      </c>
      <c r="I61" s="108">
        <f>SUMIF($AB$62:$AB$64,"후원",$AD$62:$AD$64)/1000</f>
        <v>0</v>
      </c>
      <c r="J61" s="108">
        <f>SUMIF($AB$62:$AB$64,"입소",$AD$62:$AD$64)/1000</f>
        <v>140</v>
      </c>
      <c r="K61" s="108">
        <f>SUMIF($AB$62:$AB$64,"법인",$AD$62:$AD$64)/1000</f>
        <v>0</v>
      </c>
      <c r="L61" s="108">
        <f>SUMIF($AB$62:$AB$64,"잡수",$AD$62:$AD$64)/1000</f>
        <v>0</v>
      </c>
      <c r="M61" s="108">
        <f>E61-D61</f>
        <v>0</v>
      </c>
      <c r="N61" s="70">
        <f>IF(D61=0,0,M61/D61)</f>
        <v>0</v>
      </c>
      <c r="O61" s="290" t="s">
        <v>38</v>
      </c>
      <c r="P61" s="373"/>
      <c r="Q61" s="373"/>
      <c r="R61" s="373"/>
      <c r="S61" s="478"/>
      <c r="T61" s="374"/>
      <c r="U61" s="374"/>
      <c r="V61" s="374"/>
      <c r="W61" s="374"/>
      <c r="X61" s="374"/>
      <c r="Y61" s="301" t="s">
        <v>144</v>
      </c>
      <c r="Z61" s="301"/>
      <c r="AA61" s="301"/>
      <c r="AB61" s="301"/>
      <c r="AC61" s="302"/>
      <c r="AD61" s="302">
        <f>SUM(AD62:AD64)</f>
        <v>240000</v>
      </c>
      <c r="AE61" s="454" t="s">
        <v>25</v>
      </c>
      <c r="AF61" s="1"/>
    </row>
    <row r="62" spans="1:32" s="14" customFormat="1" ht="21" customHeight="1">
      <c r="A62" s="45"/>
      <c r="B62" s="46"/>
      <c r="C62" s="46"/>
      <c r="D62" s="155">
        <f>[3]세출!E62</f>
        <v>0</v>
      </c>
      <c r="E62" s="108"/>
      <c r="F62" s="108"/>
      <c r="G62" s="108"/>
      <c r="H62" s="108"/>
      <c r="I62" s="108"/>
      <c r="J62" s="108"/>
      <c r="K62" s="108"/>
      <c r="L62" s="108"/>
      <c r="M62" s="108"/>
      <c r="N62" s="70"/>
      <c r="O62" s="442" t="s">
        <v>394</v>
      </c>
      <c r="P62" s="442"/>
      <c r="Q62" s="442"/>
      <c r="R62" s="442"/>
      <c r="S62" s="277">
        <v>50000</v>
      </c>
      <c r="T62" s="441" t="s">
        <v>395</v>
      </c>
      <c r="U62" s="442" t="s">
        <v>396</v>
      </c>
      <c r="V62" s="459">
        <v>2</v>
      </c>
      <c r="W62" s="442" t="s">
        <v>396</v>
      </c>
      <c r="X62" s="460">
        <v>1</v>
      </c>
      <c r="Y62" s="296"/>
      <c r="Z62" s="289"/>
      <c r="AA62" s="289" t="s">
        <v>397</v>
      </c>
      <c r="AB62" s="289" t="s">
        <v>428</v>
      </c>
      <c r="AC62" s="441"/>
      <c r="AD62" s="441">
        <f>S62*V62*X62</f>
        <v>100000</v>
      </c>
      <c r="AE62" s="134" t="s">
        <v>395</v>
      </c>
      <c r="AF62" s="4"/>
    </row>
    <row r="63" spans="1:32" s="14" customFormat="1" ht="21" customHeight="1">
      <c r="A63" s="45"/>
      <c r="B63" s="46"/>
      <c r="C63" s="46"/>
      <c r="D63" s="155">
        <f>[3]세출!E63</f>
        <v>0</v>
      </c>
      <c r="E63" s="108"/>
      <c r="F63" s="108"/>
      <c r="G63" s="108"/>
      <c r="H63" s="108"/>
      <c r="I63" s="108"/>
      <c r="J63" s="108"/>
      <c r="K63" s="108"/>
      <c r="L63" s="108"/>
      <c r="M63" s="108"/>
      <c r="N63" s="70"/>
      <c r="O63" s="442"/>
      <c r="P63" s="442"/>
      <c r="Q63" s="442"/>
      <c r="R63" s="442"/>
      <c r="S63" s="277">
        <v>50000</v>
      </c>
      <c r="T63" s="441" t="s">
        <v>389</v>
      </c>
      <c r="U63" s="442" t="s">
        <v>390</v>
      </c>
      <c r="V63" s="459">
        <v>2</v>
      </c>
      <c r="W63" s="442" t="s">
        <v>390</v>
      </c>
      <c r="X63" s="460">
        <v>1</v>
      </c>
      <c r="Y63" s="296"/>
      <c r="Z63" s="289"/>
      <c r="AA63" s="289" t="s">
        <v>391</v>
      </c>
      <c r="AB63" s="289" t="s">
        <v>398</v>
      </c>
      <c r="AC63" s="441"/>
      <c r="AD63" s="441">
        <f>S63*V63*X63</f>
        <v>100000</v>
      </c>
      <c r="AE63" s="134" t="s">
        <v>389</v>
      </c>
      <c r="AF63" s="4"/>
    </row>
    <row r="64" spans="1:32" s="14" customFormat="1" ht="21" customHeight="1">
      <c r="A64" s="45"/>
      <c r="B64" s="46"/>
      <c r="C64" s="46"/>
      <c r="D64" s="155">
        <f>[3]세출!E64</f>
        <v>0</v>
      </c>
      <c r="E64" s="108"/>
      <c r="F64" s="108"/>
      <c r="G64" s="108"/>
      <c r="H64" s="108"/>
      <c r="I64" s="108"/>
      <c r="J64" s="108"/>
      <c r="K64" s="108"/>
      <c r="L64" s="108"/>
      <c r="M64" s="108"/>
      <c r="N64" s="70"/>
      <c r="O64" s="442" t="s">
        <v>392</v>
      </c>
      <c r="P64" s="442"/>
      <c r="Q64" s="442"/>
      <c r="R64" s="442"/>
      <c r="S64" s="277">
        <v>10000</v>
      </c>
      <c r="T64" s="441" t="s">
        <v>389</v>
      </c>
      <c r="U64" s="442" t="s">
        <v>390</v>
      </c>
      <c r="V64" s="459">
        <v>4</v>
      </c>
      <c r="W64" s="441"/>
      <c r="X64" s="442"/>
      <c r="Y64" s="296"/>
      <c r="Z64" s="289"/>
      <c r="AA64" s="289" t="s">
        <v>391</v>
      </c>
      <c r="AB64" s="289" t="s">
        <v>398</v>
      </c>
      <c r="AC64" s="441"/>
      <c r="AD64" s="441">
        <f>S64*V64</f>
        <v>40000</v>
      </c>
      <c r="AE64" s="134" t="s">
        <v>389</v>
      </c>
      <c r="AF64" s="4"/>
    </row>
    <row r="65" spans="1:34" s="14" customFormat="1" ht="21" customHeight="1">
      <c r="A65" s="45"/>
      <c r="B65" s="46"/>
      <c r="C65" s="46"/>
      <c r="D65" s="155">
        <f>[3]세출!E65</f>
        <v>0</v>
      </c>
      <c r="E65" s="108"/>
      <c r="F65" s="108"/>
      <c r="G65" s="108"/>
      <c r="H65" s="108"/>
      <c r="I65" s="108"/>
      <c r="J65" s="108"/>
      <c r="K65" s="108"/>
      <c r="L65" s="108"/>
      <c r="M65" s="108"/>
      <c r="N65" s="70"/>
      <c r="O65" s="442"/>
      <c r="P65" s="442"/>
      <c r="Q65" s="442"/>
      <c r="R65" s="442"/>
      <c r="S65" s="277"/>
      <c r="T65" s="295"/>
      <c r="U65" s="295"/>
      <c r="V65" s="441"/>
      <c r="W65" s="442"/>
      <c r="X65" s="441"/>
      <c r="Y65" s="441"/>
      <c r="Z65" s="441"/>
      <c r="AA65" s="441"/>
      <c r="AB65" s="441"/>
      <c r="AC65" s="441"/>
      <c r="AD65" s="441"/>
      <c r="AE65" s="134"/>
      <c r="AF65" s="4"/>
    </row>
    <row r="66" spans="1:34" s="11" customFormat="1" ht="21" customHeight="1">
      <c r="A66" s="45"/>
      <c r="B66" s="36" t="s">
        <v>12</v>
      </c>
      <c r="C66" s="169" t="s">
        <v>5</v>
      </c>
      <c r="D66" s="170">
        <f>[3]세출!E66</f>
        <v>8454</v>
      </c>
      <c r="E66" s="170">
        <f t="shared" ref="E66:L66" si="5">SUM(E67,E70,E77,E83,E89,E93)</f>
        <v>9276</v>
      </c>
      <c r="F66" s="170">
        <f t="shared" si="5"/>
        <v>4156</v>
      </c>
      <c r="G66" s="170">
        <f t="shared" si="5"/>
        <v>0</v>
      </c>
      <c r="H66" s="170">
        <f t="shared" si="5"/>
        <v>0</v>
      </c>
      <c r="I66" s="170">
        <f t="shared" si="5"/>
        <v>360</v>
      </c>
      <c r="J66" s="170">
        <f t="shared" si="5"/>
        <v>4660</v>
      </c>
      <c r="K66" s="170">
        <f t="shared" si="5"/>
        <v>1</v>
      </c>
      <c r="L66" s="170">
        <f t="shared" si="5"/>
        <v>99</v>
      </c>
      <c r="M66" s="170">
        <f>E66-D66</f>
        <v>822</v>
      </c>
      <c r="N66" s="171">
        <f>IF(D66=0,0,M66/D66)</f>
        <v>9.7232079488999285E-2</v>
      </c>
      <c r="O66" s="455" t="s">
        <v>145</v>
      </c>
      <c r="P66" s="455"/>
      <c r="Q66" s="455"/>
      <c r="R66" s="455"/>
      <c r="S66" s="332"/>
      <c r="T66" s="461"/>
      <c r="U66" s="301"/>
      <c r="V66" s="569"/>
      <c r="W66" s="570"/>
      <c r="X66" s="301"/>
      <c r="Y66" s="301"/>
      <c r="Z66" s="301"/>
      <c r="AA66" s="301"/>
      <c r="AB66" s="301"/>
      <c r="AC66" s="301"/>
      <c r="AD66" s="301">
        <f>SUM(AD67,AD70,AD77,AD83,AD89,AD93)</f>
        <v>9276000</v>
      </c>
      <c r="AE66" s="454" t="s">
        <v>25</v>
      </c>
      <c r="AF66" s="1"/>
    </row>
    <row r="67" spans="1:34" s="11" customFormat="1" ht="21" customHeight="1">
      <c r="A67" s="45"/>
      <c r="B67" s="46"/>
      <c r="C67" s="46" t="s">
        <v>85</v>
      </c>
      <c r="D67" s="155">
        <f>[3]세출!E67</f>
        <v>180</v>
      </c>
      <c r="E67" s="113">
        <f>AD67/1000</f>
        <v>160</v>
      </c>
      <c r="F67" s="108">
        <f>SUMIF($AB$68:$AB$69,"보조",$AD$68:$AD$69)/1000</f>
        <v>0</v>
      </c>
      <c r="G67" s="108">
        <f>SUMIF($AB$68:$AB$69,"7종",$AD$68:$AD$69)/1000</f>
        <v>0</v>
      </c>
      <c r="H67" s="108">
        <f>SUMIF($AB$68:$AB$69,"시비",$AD$68:$AD$69)/1000</f>
        <v>0</v>
      </c>
      <c r="I67" s="108">
        <f>SUMIF($AB$68:$AB$69,"후원",$AD$68:$AD$69)/1000</f>
        <v>160</v>
      </c>
      <c r="J67" s="108">
        <f>SUMIF($AB$68:$AB$69,"입소",$AD$68:$AD$69)/1000</f>
        <v>0</v>
      </c>
      <c r="K67" s="108">
        <f>SUMIF($AB$68:$AB$69,"법인",$AD$68:$AD$69)/1000</f>
        <v>0</v>
      </c>
      <c r="L67" s="108">
        <f>SUMIF($AB$68:$AB$69,"잡수",$AD$68:$AD$69)/1000</f>
        <v>0</v>
      </c>
      <c r="M67" s="108">
        <f>E67-D67</f>
        <v>-20</v>
      </c>
      <c r="N67" s="70">
        <f>IF(D67=0,0,M67/D67)</f>
        <v>-0.1111111111111111</v>
      </c>
      <c r="O67" s="290" t="s">
        <v>40</v>
      </c>
      <c r="P67" s="373"/>
      <c r="Q67" s="373"/>
      <c r="R67" s="373"/>
      <c r="S67" s="478"/>
      <c r="T67" s="374"/>
      <c r="U67" s="374"/>
      <c r="V67" s="374"/>
      <c r="W67" s="374"/>
      <c r="X67" s="374"/>
      <c r="Y67" s="301" t="s">
        <v>144</v>
      </c>
      <c r="Z67" s="301"/>
      <c r="AA67" s="301"/>
      <c r="AB67" s="301"/>
      <c r="AC67" s="302"/>
      <c r="AD67" s="302">
        <f>SUM(AD68:AD68)</f>
        <v>160000</v>
      </c>
      <c r="AE67" s="454" t="s">
        <v>25</v>
      </c>
      <c r="AF67" s="20"/>
      <c r="AG67" s="19"/>
      <c r="AH67" s="19"/>
    </row>
    <row r="68" spans="1:34" s="11" customFormat="1" ht="21" customHeight="1">
      <c r="A68" s="45"/>
      <c r="B68" s="46"/>
      <c r="C68" s="46"/>
      <c r="D68" s="155">
        <f>[3]세출!E68</f>
        <v>0</v>
      </c>
      <c r="E68" s="108"/>
      <c r="F68" s="108"/>
      <c r="G68" s="108"/>
      <c r="H68" s="108"/>
      <c r="I68" s="108"/>
      <c r="J68" s="108"/>
      <c r="K68" s="108"/>
      <c r="L68" s="108"/>
      <c r="M68" s="108"/>
      <c r="N68" s="70"/>
      <c r="O68" s="442" t="s">
        <v>274</v>
      </c>
      <c r="P68" s="442"/>
      <c r="Q68" s="442"/>
      <c r="R68" s="442"/>
      <c r="S68" s="277">
        <v>40000</v>
      </c>
      <c r="T68" s="295" t="s">
        <v>25</v>
      </c>
      <c r="U68" s="295" t="s">
        <v>26</v>
      </c>
      <c r="V68" s="441">
        <v>1</v>
      </c>
      <c r="W68" s="295" t="s">
        <v>146</v>
      </c>
      <c r="X68" s="441" t="s">
        <v>26</v>
      </c>
      <c r="Y68" s="441">
        <v>4</v>
      </c>
      <c r="Z68" s="441" t="s">
        <v>265</v>
      </c>
      <c r="AA68" s="441" t="s">
        <v>27</v>
      </c>
      <c r="AB68" s="441" t="s">
        <v>320</v>
      </c>
      <c r="AC68" s="441"/>
      <c r="AD68" s="441">
        <f>S68*V68*Y68</f>
        <v>160000</v>
      </c>
      <c r="AE68" s="134" t="s">
        <v>264</v>
      </c>
      <c r="AF68" s="2"/>
    </row>
    <row r="69" spans="1:34" s="11" customFormat="1" ht="21" customHeight="1">
      <c r="A69" s="45"/>
      <c r="B69" s="46"/>
      <c r="C69" s="46"/>
      <c r="D69" s="155">
        <f>[3]세출!E69</f>
        <v>0</v>
      </c>
      <c r="E69" s="108"/>
      <c r="F69" s="108"/>
      <c r="G69" s="108"/>
      <c r="H69" s="108"/>
      <c r="I69" s="108"/>
      <c r="J69" s="108"/>
      <c r="K69" s="108"/>
      <c r="L69" s="108"/>
      <c r="M69" s="108"/>
      <c r="N69" s="70"/>
      <c r="O69" s="442"/>
      <c r="P69" s="442"/>
      <c r="Q69" s="442"/>
      <c r="R69" s="442"/>
      <c r="S69" s="277"/>
      <c r="T69" s="295"/>
      <c r="U69" s="295"/>
      <c r="V69" s="441"/>
      <c r="W69" s="295"/>
      <c r="X69" s="441"/>
      <c r="Y69" s="441"/>
      <c r="Z69" s="441"/>
      <c r="AA69" s="441"/>
      <c r="AB69" s="441"/>
      <c r="AC69" s="441"/>
      <c r="AD69" s="441"/>
      <c r="AE69" s="134" t="s">
        <v>67</v>
      </c>
      <c r="AF69" s="2"/>
    </row>
    <row r="70" spans="1:34" s="11" customFormat="1" ht="21" customHeight="1">
      <c r="A70" s="45"/>
      <c r="B70" s="46"/>
      <c r="C70" s="36" t="s">
        <v>41</v>
      </c>
      <c r="D70" s="157">
        <f>[3]세출!E70</f>
        <v>1383</v>
      </c>
      <c r="E70" s="113">
        <f>AD70/1000</f>
        <v>1690</v>
      </c>
      <c r="F70" s="122">
        <f>SUMIF($AB$71:$AB$76,"보조",$AD$71:$AD$76)/1000</f>
        <v>976</v>
      </c>
      <c r="G70" s="122">
        <f>SUMIF($AB$71:$AB$76,"7종",$AD$71:$AD$76)/1000</f>
        <v>0</v>
      </c>
      <c r="H70" s="122">
        <f>SUMIF($AB$71:$AB$76,"시비",$AD$71:$AD$76)/1000</f>
        <v>0</v>
      </c>
      <c r="I70" s="122">
        <f>SUMIF($AB$71:$AB$76,"후원",$AD$71:$AD$76)/1000</f>
        <v>0</v>
      </c>
      <c r="J70" s="122">
        <f>SUMIF($AB$71:$AB$76,"입소",$AD$71:$AD$76)/1000</f>
        <v>615</v>
      </c>
      <c r="K70" s="122">
        <f>SUMIF($AB$71:$AB$76,"법인",$AD$71:$AD$76)/1000</f>
        <v>0</v>
      </c>
      <c r="L70" s="122">
        <f>SUMIF($AB$71:$AB$76,"잡수",$AD$71:$AD$76)/1000</f>
        <v>99</v>
      </c>
      <c r="M70" s="112">
        <f>E70-D70</f>
        <v>307</v>
      </c>
      <c r="N70" s="120">
        <f>IF(D70=0,0,M70/D70)</f>
        <v>0.22198120028922633</v>
      </c>
      <c r="O70" s="298" t="s">
        <v>42</v>
      </c>
      <c r="P70" s="299"/>
      <c r="Q70" s="299"/>
      <c r="R70" s="299"/>
      <c r="S70" s="336"/>
      <c r="T70" s="300"/>
      <c r="U70" s="300"/>
      <c r="V70" s="300"/>
      <c r="W70" s="300"/>
      <c r="X70" s="300"/>
      <c r="Y70" s="301" t="s">
        <v>28</v>
      </c>
      <c r="Z70" s="301"/>
      <c r="AA70" s="301"/>
      <c r="AB70" s="301"/>
      <c r="AC70" s="302"/>
      <c r="AD70" s="302">
        <f>ROUNDDOWN(SUM(AD71:AD75),-3)</f>
        <v>1690000</v>
      </c>
      <c r="AE70" s="454" t="s">
        <v>25</v>
      </c>
      <c r="AF70" s="1"/>
    </row>
    <row r="71" spans="1:34" s="11" customFormat="1" ht="21" customHeight="1">
      <c r="A71" s="45"/>
      <c r="B71" s="46"/>
      <c r="C71" s="46" t="s">
        <v>150</v>
      </c>
      <c r="D71" s="155">
        <f>[3]세출!E71</f>
        <v>0</v>
      </c>
      <c r="E71" s="108"/>
      <c r="F71" s="108"/>
      <c r="G71" s="108"/>
      <c r="H71" s="108"/>
      <c r="I71" s="108"/>
      <c r="J71" s="108"/>
      <c r="K71" s="108"/>
      <c r="L71" s="108"/>
      <c r="M71" s="108"/>
      <c r="N71" s="70"/>
      <c r="O71" s="303" t="s">
        <v>321</v>
      </c>
      <c r="P71" s="442"/>
      <c r="Q71" s="442"/>
      <c r="R71" s="442"/>
      <c r="S71" s="441"/>
      <c r="T71" s="295"/>
      <c r="U71" s="441"/>
      <c r="V71" s="484"/>
      <c r="W71" s="502"/>
      <c r="X71" s="502"/>
      <c r="Y71" s="484"/>
      <c r="Z71" s="503"/>
      <c r="AA71" s="484"/>
      <c r="AB71" s="504" t="s">
        <v>428</v>
      </c>
      <c r="AC71" s="504"/>
      <c r="AD71" s="277">
        <v>532000</v>
      </c>
      <c r="AE71" s="505" t="s">
        <v>25</v>
      </c>
      <c r="AF71" s="1"/>
    </row>
    <row r="72" spans="1:34" s="11" customFormat="1" ht="21" customHeight="1">
      <c r="A72" s="45"/>
      <c r="B72" s="46"/>
      <c r="C72" s="46"/>
      <c r="D72" s="155">
        <f>[3]세출!E72</f>
        <v>0</v>
      </c>
      <c r="E72" s="108"/>
      <c r="F72" s="108"/>
      <c r="G72" s="108"/>
      <c r="H72" s="108"/>
      <c r="I72" s="108"/>
      <c r="J72" s="108"/>
      <c r="K72" s="108"/>
      <c r="L72" s="108"/>
      <c r="M72" s="108"/>
      <c r="N72" s="70"/>
      <c r="O72" s="442" t="s">
        <v>377</v>
      </c>
      <c r="P72" s="442"/>
      <c r="Q72" s="442"/>
      <c r="R72" s="442"/>
      <c r="S72" s="441"/>
      <c r="T72" s="295"/>
      <c r="U72" s="295"/>
      <c r="V72" s="484">
        <v>37000</v>
      </c>
      <c r="W72" s="502" t="s">
        <v>57</v>
      </c>
      <c r="X72" s="502" t="s">
        <v>26</v>
      </c>
      <c r="Y72" s="484">
        <v>12</v>
      </c>
      <c r="Z72" s="503" t="s">
        <v>29</v>
      </c>
      <c r="AA72" s="484" t="s">
        <v>27</v>
      </c>
      <c r="AB72" s="277" t="s">
        <v>86</v>
      </c>
      <c r="AC72" s="277"/>
      <c r="AD72" s="277">
        <f>V72*Y72</f>
        <v>444000</v>
      </c>
      <c r="AE72" s="297" t="s">
        <v>57</v>
      </c>
      <c r="AF72" s="1"/>
    </row>
    <row r="73" spans="1:34" s="11" customFormat="1" ht="21" customHeight="1">
      <c r="A73" s="45"/>
      <c r="B73" s="46"/>
      <c r="C73" s="46"/>
      <c r="D73" s="155">
        <f>[3]세출!E73</f>
        <v>0</v>
      </c>
      <c r="E73" s="108"/>
      <c r="F73" s="108"/>
      <c r="G73" s="108"/>
      <c r="H73" s="108"/>
      <c r="I73" s="108"/>
      <c r="J73" s="108"/>
      <c r="K73" s="108"/>
      <c r="L73" s="108"/>
      <c r="M73" s="108"/>
      <c r="N73" s="70"/>
      <c r="O73" s="442" t="s">
        <v>338</v>
      </c>
      <c r="P73" s="442"/>
      <c r="Q73" s="442"/>
      <c r="R73" s="442"/>
      <c r="S73" s="441"/>
      <c r="T73" s="295"/>
      <c r="U73" s="295"/>
      <c r="V73" s="441"/>
      <c r="W73" s="441"/>
      <c r="X73" s="441"/>
      <c r="Y73" s="441"/>
      <c r="Z73" s="441"/>
      <c r="AA73" s="441"/>
      <c r="AB73" s="441" t="s">
        <v>382</v>
      </c>
      <c r="AC73" s="441"/>
      <c r="AD73" s="441">
        <v>245000</v>
      </c>
      <c r="AE73" s="134" t="s">
        <v>126</v>
      </c>
      <c r="AF73" s="1"/>
    </row>
    <row r="74" spans="1:34" s="11" customFormat="1" ht="21" customHeight="1">
      <c r="A74" s="45"/>
      <c r="B74" s="46"/>
      <c r="C74" s="46"/>
      <c r="D74" s="155">
        <f>[3]세출!E74</f>
        <v>0</v>
      </c>
      <c r="E74" s="108"/>
      <c r="F74" s="108"/>
      <c r="G74" s="108"/>
      <c r="H74" s="108"/>
      <c r="I74" s="108"/>
      <c r="J74" s="108"/>
      <c r="K74" s="108"/>
      <c r="L74" s="108"/>
      <c r="M74" s="108"/>
      <c r="N74" s="70"/>
      <c r="O74" s="442" t="s">
        <v>322</v>
      </c>
      <c r="P74" s="442"/>
      <c r="Q74" s="442"/>
      <c r="R74" s="442"/>
      <c r="S74" s="441"/>
      <c r="T74" s="295"/>
      <c r="U74" s="295"/>
      <c r="V74" s="441"/>
      <c r="W74" s="442"/>
      <c r="X74" s="441"/>
      <c r="Y74" s="441"/>
      <c r="Z74" s="441"/>
      <c r="AA74" s="441"/>
      <c r="AB74" s="441" t="s">
        <v>382</v>
      </c>
      <c r="AC74" s="441"/>
      <c r="AD74" s="441">
        <v>370000</v>
      </c>
      <c r="AE74" s="134" t="s">
        <v>281</v>
      </c>
      <c r="AF74" s="20"/>
    </row>
    <row r="75" spans="1:34" s="11" customFormat="1" ht="21" customHeight="1">
      <c r="A75" s="45"/>
      <c r="B75" s="46"/>
      <c r="C75" s="46"/>
      <c r="D75" s="155">
        <f>[3]세출!E75</f>
        <v>0</v>
      </c>
      <c r="E75" s="108"/>
      <c r="F75" s="108"/>
      <c r="G75" s="108"/>
      <c r="H75" s="108"/>
      <c r="I75" s="108"/>
      <c r="J75" s="108"/>
      <c r="K75" s="108"/>
      <c r="L75" s="108"/>
      <c r="M75" s="108"/>
      <c r="N75" s="70"/>
      <c r="O75" s="442"/>
      <c r="P75" s="442"/>
      <c r="Q75" s="442"/>
      <c r="R75" s="442"/>
      <c r="S75" s="441"/>
      <c r="T75" s="295"/>
      <c r="U75" s="295"/>
      <c r="V75" s="441"/>
      <c r="W75" s="442"/>
      <c r="X75" s="441"/>
      <c r="Y75" s="441"/>
      <c r="Z75" s="441"/>
      <c r="AA75" s="441"/>
      <c r="AB75" s="441" t="s">
        <v>337</v>
      </c>
      <c r="AC75" s="441"/>
      <c r="AD75" s="441">
        <v>99000</v>
      </c>
      <c r="AE75" s="134" t="s">
        <v>126</v>
      </c>
      <c r="AF75" s="20"/>
    </row>
    <row r="76" spans="1:34" s="11" customFormat="1" ht="21" customHeight="1">
      <c r="A76" s="45"/>
      <c r="B76" s="46"/>
      <c r="C76" s="59"/>
      <c r="D76" s="156">
        <f>[3]세출!E76</f>
        <v>0</v>
      </c>
      <c r="E76" s="110"/>
      <c r="F76" s="110"/>
      <c r="G76" s="110"/>
      <c r="H76" s="110"/>
      <c r="I76" s="110"/>
      <c r="J76" s="110"/>
      <c r="K76" s="110"/>
      <c r="L76" s="110"/>
      <c r="M76" s="110"/>
      <c r="N76" s="83"/>
      <c r="O76" s="463"/>
      <c r="P76" s="463"/>
      <c r="Q76" s="463"/>
      <c r="R76" s="463"/>
      <c r="S76" s="463"/>
      <c r="T76" s="463"/>
      <c r="U76" s="463"/>
      <c r="V76" s="463"/>
      <c r="W76" s="463"/>
      <c r="X76" s="463"/>
      <c r="Y76" s="463"/>
      <c r="Z76" s="463"/>
      <c r="AA76" s="463"/>
      <c r="AB76" s="463"/>
      <c r="AC76" s="463"/>
      <c r="AD76" s="464"/>
      <c r="AE76" s="465"/>
      <c r="AF76" s="1"/>
    </row>
    <row r="77" spans="1:34" s="11" customFormat="1" ht="21" customHeight="1">
      <c r="A77" s="45"/>
      <c r="B77" s="46"/>
      <c r="C77" s="46" t="s">
        <v>39</v>
      </c>
      <c r="D77" s="155">
        <f>[3]세출!E77</f>
        <v>6280</v>
      </c>
      <c r="E77" s="113">
        <f>AD77/1000</f>
        <v>6365</v>
      </c>
      <c r="F77" s="396">
        <f>SUMIF($AB$78:$AB$82,"보조",$AD$78:$AD$82)/1000</f>
        <v>3180</v>
      </c>
      <c r="G77" s="396">
        <f>SUMIF($AB$78:$AB$82,"7종",$AD$78:$AD$82)/1000</f>
        <v>0</v>
      </c>
      <c r="H77" s="396">
        <f>SUMIF($AB$78:$AB$82,"시비",$AD$78:$AD$82)/1000</f>
        <v>0</v>
      </c>
      <c r="I77" s="396">
        <f>SUMIF($AB$78:$AB$82,"후원",$AD$78:$AD$82)/1000</f>
        <v>0</v>
      </c>
      <c r="J77" s="396">
        <f>SUMIF($AB$78:$AB$82,"입소",$AD$78:$AD$82)/1000</f>
        <v>3185</v>
      </c>
      <c r="K77" s="396">
        <f>SUMIF($AB$78:$AB$82,"법인",$AD$78:$AD$82)/1000</f>
        <v>0</v>
      </c>
      <c r="L77" s="396">
        <f>SUMIF($AB$78:$AB$82,"잡수",$AD$78:$AD$82)/1000</f>
        <v>0</v>
      </c>
      <c r="M77" s="108">
        <f>E77-D77</f>
        <v>85</v>
      </c>
      <c r="N77" s="70">
        <f>IF(D77=0,0,M77/D77)</f>
        <v>1.3535031847133758E-2</v>
      </c>
      <c r="O77" s="290" t="s">
        <v>43</v>
      </c>
      <c r="P77" s="373"/>
      <c r="Q77" s="373"/>
      <c r="R77" s="373"/>
      <c r="S77" s="373"/>
      <c r="T77" s="374"/>
      <c r="U77" s="374"/>
      <c r="V77" s="374"/>
      <c r="W77" s="374"/>
      <c r="X77" s="374"/>
      <c r="Y77" s="301" t="s">
        <v>268</v>
      </c>
      <c r="Z77" s="301"/>
      <c r="AA77" s="301"/>
      <c r="AB77" s="301"/>
      <c r="AC77" s="302"/>
      <c r="AD77" s="302">
        <f>ROUND(SUM(AD78:AD81),-3)</f>
        <v>6365000</v>
      </c>
      <c r="AE77" s="454" t="s">
        <v>25</v>
      </c>
      <c r="AF77" s="1"/>
    </row>
    <row r="78" spans="1:34" s="11" customFormat="1" ht="21" customHeight="1">
      <c r="A78" s="45"/>
      <c r="B78" s="46"/>
      <c r="C78" s="46"/>
      <c r="D78" s="155">
        <f>[3]세출!E78</f>
        <v>0</v>
      </c>
      <c r="E78" s="108"/>
      <c r="F78" s="108"/>
      <c r="G78" s="108"/>
      <c r="H78" s="108"/>
      <c r="I78" s="108"/>
      <c r="J78" s="108"/>
      <c r="K78" s="108"/>
      <c r="L78" s="108"/>
      <c r="M78" s="108"/>
      <c r="N78" s="70"/>
      <c r="O78" s="303" t="s">
        <v>323</v>
      </c>
      <c r="P78" s="442"/>
      <c r="Q78" s="442"/>
      <c r="R78" s="442"/>
      <c r="S78" s="441">
        <v>45000</v>
      </c>
      <c r="T78" s="305" t="s">
        <v>25</v>
      </c>
      <c r="U78" s="305" t="s">
        <v>26</v>
      </c>
      <c r="V78" s="304">
        <v>12</v>
      </c>
      <c r="W78" s="306" t="s">
        <v>29</v>
      </c>
      <c r="X78" s="304" t="s">
        <v>27</v>
      </c>
      <c r="Y78" s="441"/>
      <c r="Z78" s="441"/>
      <c r="AA78" s="441"/>
      <c r="AB78" s="441" t="s">
        <v>428</v>
      </c>
      <c r="AC78" s="441"/>
      <c r="AD78" s="441">
        <f>S78*V78</f>
        <v>540000</v>
      </c>
      <c r="AE78" s="134" t="s">
        <v>25</v>
      </c>
      <c r="AF78" s="1"/>
    </row>
    <row r="79" spans="1:34" s="11" customFormat="1" ht="21" customHeight="1">
      <c r="A79" s="45"/>
      <c r="B79" s="46"/>
      <c r="C79" s="46"/>
      <c r="D79" s="155">
        <f>[3]세출!E80</f>
        <v>0</v>
      </c>
      <c r="E79" s="108"/>
      <c r="F79" s="108"/>
      <c r="G79" s="108"/>
      <c r="H79" s="108"/>
      <c r="I79" s="108"/>
      <c r="J79" s="108"/>
      <c r="K79" s="108"/>
      <c r="L79" s="108"/>
      <c r="M79" s="108"/>
      <c r="N79" s="70"/>
      <c r="O79" s="442" t="s">
        <v>325</v>
      </c>
      <c r="P79" s="442"/>
      <c r="Q79" s="442"/>
      <c r="R79" s="442"/>
      <c r="S79" s="441">
        <v>440000</v>
      </c>
      <c r="T79" s="295" t="s">
        <v>264</v>
      </c>
      <c r="U79" s="295" t="s">
        <v>26</v>
      </c>
      <c r="V79" s="441">
        <v>6</v>
      </c>
      <c r="W79" s="442" t="s">
        <v>266</v>
      </c>
      <c r="X79" s="441" t="s">
        <v>27</v>
      </c>
      <c r="Y79" s="441"/>
      <c r="Z79" s="441"/>
      <c r="AA79" s="441"/>
      <c r="AB79" s="441" t="s">
        <v>400</v>
      </c>
      <c r="AC79" s="441"/>
      <c r="AD79" s="441">
        <f>S79*V79</f>
        <v>2640000</v>
      </c>
      <c r="AE79" s="134" t="s">
        <v>25</v>
      </c>
      <c r="AF79" s="1"/>
    </row>
    <row r="80" spans="1:34" s="11" customFormat="1" ht="21" customHeight="1">
      <c r="A80" s="45"/>
      <c r="B80" s="46"/>
      <c r="C80" s="46"/>
      <c r="D80" s="155">
        <f>[3]세출!E81</f>
        <v>0</v>
      </c>
      <c r="E80" s="108"/>
      <c r="F80" s="108"/>
      <c r="G80" s="108"/>
      <c r="H80" s="108"/>
      <c r="I80" s="108"/>
      <c r="J80" s="108"/>
      <c r="K80" s="108"/>
      <c r="L80" s="108"/>
      <c r="M80" s="108"/>
      <c r="N80" s="70"/>
      <c r="O80" s="442"/>
      <c r="P80" s="442"/>
      <c r="Q80" s="442"/>
      <c r="R80" s="442"/>
      <c r="S80" s="441">
        <v>500000</v>
      </c>
      <c r="T80" s="295" t="s">
        <v>57</v>
      </c>
      <c r="U80" s="295" t="s">
        <v>26</v>
      </c>
      <c r="V80" s="441">
        <v>6</v>
      </c>
      <c r="W80" s="442" t="s">
        <v>164</v>
      </c>
      <c r="X80" s="441" t="s">
        <v>27</v>
      </c>
      <c r="Y80" s="441"/>
      <c r="Z80" s="441"/>
      <c r="AA80" s="441"/>
      <c r="AB80" s="441" t="s">
        <v>269</v>
      </c>
      <c r="AC80" s="441"/>
      <c r="AD80" s="441">
        <f>S80*V80</f>
        <v>3000000</v>
      </c>
      <c r="AE80" s="134" t="s">
        <v>25</v>
      </c>
      <c r="AF80" s="1"/>
    </row>
    <row r="81" spans="1:32" s="14" customFormat="1" ht="21" customHeight="1">
      <c r="A81" s="45"/>
      <c r="B81" s="46"/>
      <c r="C81" s="46"/>
      <c r="D81" s="155">
        <f>[3]세출!E82</f>
        <v>0</v>
      </c>
      <c r="E81" s="108"/>
      <c r="F81" s="108"/>
      <c r="G81" s="108"/>
      <c r="H81" s="108"/>
      <c r="I81" s="108"/>
      <c r="J81" s="108"/>
      <c r="K81" s="108"/>
      <c r="L81" s="108"/>
      <c r="M81" s="108"/>
      <c r="N81" s="70"/>
      <c r="O81" s="442" t="s">
        <v>393</v>
      </c>
      <c r="P81" s="442"/>
      <c r="Q81" s="442"/>
      <c r="R81" s="442"/>
      <c r="S81" s="441"/>
      <c r="T81" s="295"/>
      <c r="U81" s="295"/>
      <c r="V81" s="441"/>
      <c r="W81" s="442"/>
      <c r="X81" s="441"/>
      <c r="Y81" s="441"/>
      <c r="Z81" s="441"/>
      <c r="AA81" s="441"/>
      <c r="AB81" s="441" t="s">
        <v>269</v>
      </c>
      <c r="AC81" s="441"/>
      <c r="AD81" s="441">
        <v>185000</v>
      </c>
      <c r="AE81" s="134" t="s">
        <v>25</v>
      </c>
      <c r="AF81" s="4"/>
    </row>
    <row r="82" spans="1:32" s="14" customFormat="1" ht="21" customHeight="1">
      <c r="A82" s="45"/>
      <c r="B82" s="46"/>
      <c r="C82" s="46"/>
      <c r="D82" s="155">
        <f>[3]세출!E83</f>
        <v>0</v>
      </c>
      <c r="E82" s="108"/>
      <c r="F82" s="108"/>
      <c r="G82" s="108"/>
      <c r="H82" s="108"/>
      <c r="I82" s="108"/>
      <c r="J82" s="108"/>
      <c r="K82" s="108"/>
      <c r="L82" s="108"/>
      <c r="M82" s="108"/>
      <c r="N82" s="70"/>
      <c r="O82" s="119"/>
      <c r="P82" s="50"/>
      <c r="Q82" s="50"/>
      <c r="R82" s="50"/>
      <c r="S82" s="51"/>
      <c r="T82" s="55"/>
      <c r="U82" s="55"/>
      <c r="V82" s="51"/>
      <c r="W82" s="50"/>
      <c r="X82" s="51"/>
      <c r="Y82" s="51"/>
      <c r="Z82" s="51"/>
      <c r="AA82" s="51"/>
      <c r="AB82" s="139"/>
      <c r="AC82" s="51"/>
      <c r="AD82" s="51"/>
      <c r="AE82" s="57"/>
      <c r="AF82" s="4"/>
    </row>
    <row r="83" spans="1:32" ht="21" customHeight="1">
      <c r="A83" s="45"/>
      <c r="B83" s="46"/>
      <c r="C83" s="36" t="s">
        <v>15</v>
      </c>
      <c r="D83" s="157">
        <f>[3]세출!E84</f>
        <v>411</v>
      </c>
      <c r="E83" s="113">
        <f>AD83/1000</f>
        <v>331</v>
      </c>
      <c r="F83" s="112">
        <v>0</v>
      </c>
      <c r="G83" s="112">
        <f>SUMIF($AB$84:$AB$88,"7종",$AD$84:$AD$88)/1000</f>
        <v>0</v>
      </c>
      <c r="H83" s="112">
        <f>SUMIF($AB$84:$AB$88,"시비",$AD$84:$AD$88)/1000</f>
        <v>0</v>
      </c>
      <c r="I83" s="112">
        <f>SUMIF($AB$84:$AB$88,"후원",$AD$84:$AD$88)/1000</f>
        <v>0</v>
      </c>
      <c r="J83" s="112">
        <f>SUMIF($AB$84:$AB$88,"입소",$AD$84:$AD$88)/1000</f>
        <v>330</v>
      </c>
      <c r="K83" s="112">
        <f>SUMIF($AB$84:$AB$88,"법인",$AD$84:$AD$88)/1000</f>
        <v>1</v>
      </c>
      <c r="L83" s="112">
        <f>SUMIF($AB$84:$AB$88,"잡수",$AD$84:$AD$88)/1000</f>
        <v>0</v>
      </c>
      <c r="M83" s="183">
        <f>E83-D83</f>
        <v>-80</v>
      </c>
      <c r="N83" s="120">
        <f>IF(D83=0,0,M83/D83)</f>
        <v>-0.19464720194647203</v>
      </c>
      <c r="O83" s="335" t="s">
        <v>44</v>
      </c>
      <c r="P83" s="336"/>
      <c r="Q83" s="336"/>
      <c r="R83" s="336"/>
      <c r="S83" s="336"/>
      <c r="T83" s="337"/>
      <c r="U83" s="337"/>
      <c r="V83" s="337"/>
      <c r="W83" s="337"/>
      <c r="X83" s="337"/>
      <c r="Y83" s="332" t="s">
        <v>268</v>
      </c>
      <c r="Z83" s="332"/>
      <c r="AA83" s="332"/>
      <c r="AB83" s="332"/>
      <c r="AC83" s="333"/>
      <c r="AD83" s="333">
        <f>SUM(AD84:AD88)</f>
        <v>331000</v>
      </c>
      <c r="AE83" s="334" t="s">
        <v>25</v>
      </c>
    </row>
    <row r="84" spans="1:32" s="11" customFormat="1" ht="21" customHeight="1">
      <c r="A84" s="45"/>
      <c r="B84" s="46"/>
      <c r="C84" s="46"/>
      <c r="D84" s="155">
        <f>[3]세출!E87</f>
        <v>0</v>
      </c>
      <c r="E84" s="108"/>
      <c r="F84" s="108"/>
      <c r="G84" s="108"/>
      <c r="H84" s="108"/>
      <c r="I84" s="108"/>
      <c r="J84" s="108"/>
      <c r="K84" s="108"/>
      <c r="L84" s="108"/>
      <c r="M84" s="108"/>
      <c r="N84" s="70"/>
      <c r="O84" s="279" t="s">
        <v>328</v>
      </c>
      <c r="P84" s="339"/>
      <c r="Q84" s="339"/>
      <c r="R84" s="339"/>
      <c r="S84" s="279"/>
      <c r="T84" s="280"/>
      <c r="U84" s="338"/>
      <c r="V84" s="484">
        <v>20000</v>
      </c>
      <c r="W84" s="502" t="s">
        <v>57</v>
      </c>
      <c r="X84" s="502" t="s">
        <v>26</v>
      </c>
      <c r="Y84" s="484">
        <v>1</v>
      </c>
      <c r="Z84" s="503" t="s">
        <v>330</v>
      </c>
      <c r="AA84" s="484" t="s">
        <v>27</v>
      </c>
      <c r="AB84" s="277" t="s">
        <v>420</v>
      </c>
      <c r="AC84" s="277"/>
      <c r="AD84" s="277">
        <f t="shared" ref="AD84" si="6">V84*Y84</f>
        <v>20000</v>
      </c>
      <c r="AE84" s="297" t="s">
        <v>57</v>
      </c>
      <c r="AF84" s="1"/>
    </row>
    <row r="85" spans="1:32" s="11" customFormat="1" ht="21" customHeight="1">
      <c r="A85" s="45"/>
      <c r="B85" s="46"/>
      <c r="C85" s="46"/>
      <c r="D85" s="155">
        <f>[3]세출!E88</f>
        <v>0</v>
      </c>
      <c r="E85" s="108"/>
      <c r="F85" s="108"/>
      <c r="G85" s="108"/>
      <c r="H85" s="108"/>
      <c r="I85" s="108"/>
      <c r="J85" s="108"/>
      <c r="K85" s="108"/>
      <c r="L85" s="108"/>
      <c r="M85" s="108"/>
      <c r="N85" s="70"/>
      <c r="O85" s="442" t="s">
        <v>329</v>
      </c>
      <c r="P85" s="370"/>
      <c r="Q85" s="370"/>
      <c r="R85" s="370"/>
      <c r="S85" s="441">
        <v>693300</v>
      </c>
      <c r="T85" s="295" t="s">
        <v>57</v>
      </c>
      <c r="U85" s="295" t="s">
        <v>26</v>
      </c>
      <c r="V85" s="277">
        <v>1</v>
      </c>
      <c r="W85" s="442" t="s">
        <v>72</v>
      </c>
      <c r="X85" s="289" t="s">
        <v>71</v>
      </c>
      <c r="Y85" s="468">
        <v>3</v>
      </c>
      <c r="Z85" s="441"/>
      <c r="AA85" s="441" t="s">
        <v>27</v>
      </c>
      <c r="AB85" s="441" t="s">
        <v>420</v>
      </c>
      <c r="AC85" s="441"/>
      <c r="AD85" s="506">
        <f>ROUNDDOWN(S85*V85/Y85,-4)</f>
        <v>230000</v>
      </c>
      <c r="AE85" s="134" t="s">
        <v>57</v>
      </c>
      <c r="AF85" s="1"/>
    </row>
    <row r="86" spans="1:32" s="11" customFormat="1" ht="21" customHeight="1">
      <c r="A86" s="45"/>
      <c r="B86" s="46"/>
      <c r="C86" s="46"/>
      <c r="D86" s="155">
        <f>[3]세출!E89</f>
        <v>0</v>
      </c>
      <c r="E86" s="108"/>
      <c r="F86" s="108"/>
      <c r="G86" s="108"/>
      <c r="H86" s="108"/>
      <c r="I86" s="108"/>
      <c r="J86" s="108"/>
      <c r="K86" s="108"/>
      <c r="L86" s="108"/>
      <c r="M86" s="108"/>
      <c r="N86" s="70"/>
      <c r="O86" s="279" t="s">
        <v>363</v>
      </c>
      <c r="P86" s="339"/>
      <c r="Q86" s="339"/>
      <c r="R86" s="339"/>
      <c r="S86" s="279"/>
      <c r="T86" s="280"/>
      <c r="U86" s="338"/>
      <c r="V86" s="304"/>
      <c r="W86" s="305"/>
      <c r="X86" s="305"/>
      <c r="Y86" s="304"/>
      <c r="Z86" s="306"/>
      <c r="AA86" s="304" t="s">
        <v>27</v>
      </c>
      <c r="AB86" s="441" t="s">
        <v>324</v>
      </c>
      <c r="AC86" s="441"/>
      <c r="AD86" s="441">
        <v>80000</v>
      </c>
      <c r="AE86" s="134" t="s">
        <v>57</v>
      </c>
      <c r="AF86" s="1"/>
    </row>
    <row r="87" spans="1:32" s="11" customFormat="1" ht="21" customHeight="1">
      <c r="A87" s="45"/>
      <c r="B87" s="46"/>
      <c r="C87" s="46"/>
      <c r="D87" s="155">
        <f>[3]세출!E90</f>
        <v>0</v>
      </c>
      <c r="E87" s="108"/>
      <c r="F87" s="108"/>
      <c r="G87" s="108"/>
      <c r="H87" s="108"/>
      <c r="I87" s="108"/>
      <c r="J87" s="108"/>
      <c r="K87" s="108"/>
      <c r="L87" s="108"/>
      <c r="M87" s="108"/>
      <c r="N87" s="70"/>
      <c r="O87" s="279"/>
      <c r="P87" s="339"/>
      <c r="Q87" s="339"/>
      <c r="R87" s="339"/>
      <c r="S87" s="279"/>
      <c r="T87" s="280"/>
      <c r="U87" s="338"/>
      <c r="V87" s="304"/>
      <c r="W87" s="305"/>
      <c r="X87" s="305"/>
      <c r="Y87" s="304"/>
      <c r="Z87" s="306"/>
      <c r="AA87" s="304" t="s">
        <v>27</v>
      </c>
      <c r="AB87" s="441" t="s">
        <v>470</v>
      </c>
      <c r="AC87" s="441"/>
      <c r="AD87" s="441">
        <v>1000</v>
      </c>
      <c r="AE87" s="134" t="s">
        <v>57</v>
      </c>
      <c r="AF87" s="1"/>
    </row>
    <row r="88" spans="1:32" s="11" customFormat="1" ht="21" customHeight="1">
      <c r="A88" s="45"/>
      <c r="B88" s="46"/>
      <c r="C88" s="46"/>
      <c r="D88" s="155">
        <f>[3]세출!E91</f>
        <v>0</v>
      </c>
      <c r="E88" s="108"/>
      <c r="F88" s="108"/>
      <c r="G88" s="108"/>
      <c r="H88" s="108"/>
      <c r="I88" s="108"/>
      <c r="J88" s="108"/>
      <c r="K88" s="108"/>
      <c r="L88" s="108"/>
      <c r="M88" s="108"/>
      <c r="N88" s="70"/>
      <c r="O88" s="124"/>
      <c r="P88" s="125"/>
      <c r="Q88" s="125"/>
      <c r="R88" s="125"/>
      <c r="S88" s="125"/>
      <c r="T88" s="125"/>
      <c r="U88" s="125"/>
      <c r="V88" s="125"/>
      <c r="W88" s="125"/>
      <c r="X88" s="125"/>
      <c r="Y88" s="75"/>
      <c r="Z88" s="75"/>
      <c r="AA88" s="304"/>
      <c r="AB88" s="75"/>
      <c r="AC88" s="75"/>
      <c r="AD88" s="51"/>
      <c r="AE88" s="134"/>
      <c r="AF88" s="1"/>
    </row>
    <row r="89" spans="1:32" s="11" customFormat="1" ht="21" customHeight="1">
      <c r="A89" s="45"/>
      <c r="B89" s="46"/>
      <c r="C89" s="36" t="s">
        <v>45</v>
      </c>
      <c r="D89" s="157">
        <f>[3]세출!E92</f>
        <v>0</v>
      </c>
      <c r="E89" s="113">
        <f>AD89/1000</f>
        <v>530</v>
      </c>
      <c r="F89" s="112">
        <v>0</v>
      </c>
      <c r="G89" s="112">
        <f>SUMIF($AB$90:$AB$92,"7종",$AD$90:$AD$92)/1000</f>
        <v>0</v>
      </c>
      <c r="H89" s="112">
        <f>SUMIF($AB$90:$AB$92,"시비",$AD$90:$AD$92)/1000</f>
        <v>0</v>
      </c>
      <c r="I89" s="112">
        <f>SUMIF($AB$90:$AB$92,"후원",$AD$90:$AD$92)/1000</f>
        <v>0</v>
      </c>
      <c r="J89" s="112">
        <f>SUMIF($AB$90:$AB$92,"입소",$AD$90:$AD$92)/1000</f>
        <v>530</v>
      </c>
      <c r="K89" s="112">
        <f>SUMIF($AB$90:$AB$92,"법인",$AD$90:$AD$92)/1000</f>
        <v>0</v>
      </c>
      <c r="L89" s="112">
        <f>SUMIF($AB$90:$AB$92,"잡수",$AD$90:$AD$92)/1000</f>
        <v>0</v>
      </c>
      <c r="M89" s="112">
        <f>E89-D89</f>
        <v>530</v>
      </c>
      <c r="N89" s="120">
        <f>IF(D89=0,0,M89/D89)</f>
        <v>0</v>
      </c>
      <c r="O89" s="298" t="s">
        <v>46</v>
      </c>
      <c r="P89" s="299"/>
      <c r="Q89" s="299"/>
      <c r="R89" s="299"/>
      <c r="S89" s="336"/>
      <c r="T89" s="300"/>
      <c r="U89" s="300"/>
      <c r="V89" s="300"/>
      <c r="W89" s="300"/>
      <c r="X89" s="300"/>
      <c r="Y89" s="301" t="s">
        <v>144</v>
      </c>
      <c r="Z89" s="301"/>
      <c r="AA89" s="301"/>
      <c r="AB89" s="301"/>
      <c r="AC89" s="302"/>
      <c r="AD89" s="302">
        <f>SUM(AD90:AD91)</f>
        <v>530000</v>
      </c>
      <c r="AE89" s="454" t="s">
        <v>25</v>
      </c>
      <c r="AF89" s="1"/>
    </row>
    <row r="90" spans="1:32" s="11" customFormat="1" ht="21" customHeight="1">
      <c r="A90" s="45"/>
      <c r="B90" s="46"/>
      <c r="C90" s="46"/>
      <c r="D90" s="109">
        <f>[3]세출!E93</f>
        <v>0</v>
      </c>
      <c r="E90" s="108"/>
      <c r="F90" s="108"/>
      <c r="G90" s="108"/>
      <c r="H90" s="108"/>
      <c r="I90" s="108"/>
      <c r="J90" s="108"/>
      <c r="K90" s="108"/>
      <c r="L90" s="108"/>
      <c r="M90" s="108"/>
      <c r="N90" s="70"/>
      <c r="O90" s="442" t="s">
        <v>332</v>
      </c>
      <c r="P90" s="442"/>
      <c r="Q90" s="442"/>
      <c r="R90" s="442"/>
      <c r="S90" s="277">
        <v>40000</v>
      </c>
      <c r="T90" s="295" t="s">
        <v>282</v>
      </c>
      <c r="U90" s="295" t="s">
        <v>26</v>
      </c>
      <c r="V90" s="441">
        <v>12</v>
      </c>
      <c r="W90" s="442" t="s">
        <v>285</v>
      </c>
      <c r="X90" s="441" t="s">
        <v>27</v>
      </c>
      <c r="Y90" s="441"/>
      <c r="Z90" s="441"/>
      <c r="AA90" s="441"/>
      <c r="AB90" s="441" t="s">
        <v>419</v>
      </c>
      <c r="AC90" s="441"/>
      <c r="AD90" s="441">
        <f>S90*V90</f>
        <v>480000</v>
      </c>
      <c r="AE90" s="134" t="s">
        <v>25</v>
      </c>
      <c r="AF90" s="1"/>
    </row>
    <row r="91" spans="1:32" ht="21" customHeight="1">
      <c r="A91" s="45"/>
      <c r="B91" s="46"/>
      <c r="C91" s="46"/>
      <c r="D91" s="155">
        <f>[3]세출!E94</f>
        <v>0</v>
      </c>
      <c r="E91" s="108"/>
      <c r="F91" s="108"/>
      <c r="G91" s="108"/>
      <c r="H91" s="108"/>
      <c r="I91" s="108"/>
      <c r="J91" s="108"/>
      <c r="K91" s="108"/>
      <c r="L91" s="108"/>
      <c r="M91" s="108"/>
      <c r="N91" s="70"/>
      <c r="O91" s="442" t="s">
        <v>333</v>
      </c>
      <c r="P91" s="442"/>
      <c r="Q91" s="442"/>
      <c r="R91" s="442"/>
      <c r="S91" s="277"/>
      <c r="T91" s="295"/>
      <c r="U91" s="295"/>
      <c r="V91" s="441"/>
      <c r="W91" s="442"/>
      <c r="X91" s="441"/>
      <c r="Y91" s="441"/>
      <c r="Z91" s="441"/>
      <c r="AA91" s="441"/>
      <c r="AB91" s="441" t="s">
        <v>324</v>
      </c>
      <c r="AC91" s="441"/>
      <c r="AD91" s="441">
        <v>50000</v>
      </c>
      <c r="AE91" s="134" t="s">
        <v>25</v>
      </c>
    </row>
    <row r="92" spans="1:32" s="11" customFormat="1" ht="21" customHeight="1">
      <c r="A92" s="45"/>
      <c r="B92" s="46"/>
      <c r="C92" s="59"/>
      <c r="D92" s="126">
        <f>[3]세출!E95</f>
        <v>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83"/>
      <c r="O92" s="453"/>
      <c r="P92" s="453"/>
      <c r="Q92" s="453"/>
      <c r="R92" s="453"/>
      <c r="S92" s="341"/>
      <c r="T92" s="371"/>
      <c r="U92" s="452"/>
      <c r="V92" s="567"/>
      <c r="W92" s="568"/>
      <c r="X92" s="452"/>
      <c r="Y92" s="452"/>
      <c r="Z92" s="452"/>
      <c r="AA92" s="452"/>
      <c r="AB92" s="452"/>
      <c r="AC92" s="452"/>
      <c r="AD92" s="452"/>
      <c r="AE92" s="372"/>
      <c r="AF92" s="1"/>
    </row>
    <row r="93" spans="1:32" s="11" customFormat="1" ht="21" customHeight="1">
      <c r="A93" s="45"/>
      <c r="B93" s="46"/>
      <c r="C93" s="36" t="s">
        <v>87</v>
      </c>
      <c r="D93" s="127">
        <f>[3]세출!E96</f>
        <v>200</v>
      </c>
      <c r="E93" s="113">
        <f>AD93/1000</f>
        <v>200</v>
      </c>
      <c r="F93" s="112">
        <f>SUMIF($AB$94:$AB$95,"보조",$AD$94:$AD$95)/1000</f>
        <v>0</v>
      </c>
      <c r="G93" s="112">
        <f>SUMIF($AB$94:$AB$95,"7종",$AD$94:$AD$95)/1000</f>
        <v>0</v>
      </c>
      <c r="H93" s="112">
        <f>SUMIF($AB$94:$AB$95,"시비",$AD$94:$AD$95)/1000</f>
        <v>0</v>
      </c>
      <c r="I93" s="112">
        <f>SUMIF($AB$94:$AB$95,"후원",$AD$94:$AD$95)/1000</f>
        <v>200</v>
      </c>
      <c r="J93" s="112">
        <f>SUMIF($AB$94:$AB$95,"입소",$AD$94:$AD$95)/1000</f>
        <v>0</v>
      </c>
      <c r="K93" s="112">
        <f>SUMIF($AB$94:$AB$95,"법인",$AD$94:$AD$95)/1000</f>
        <v>0</v>
      </c>
      <c r="L93" s="112">
        <f>SUMIF($AB$94:$AB$95,"잡수",$AD$94:$AD$95)/1000</f>
        <v>0</v>
      </c>
      <c r="M93" s="112">
        <f>E93-D93</f>
        <v>0</v>
      </c>
      <c r="N93" s="120">
        <f>IF(D93=0,0,M93/D93)</f>
        <v>0</v>
      </c>
      <c r="O93" s="290" t="s">
        <v>88</v>
      </c>
      <c r="P93" s="299"/>
      <c r="Q93" s="299"/>
      <c r="R93" s="299"/>
      <c r="S93" s="336"/>
      <c r="T93" s="300"/>
      <c r="U93" s="300"/>
      <c r="V93" s="300"/>
      <c r="W93" s="300"/>
      <c r="X93" s="300"/>
      <c r="Y93" s="301" t="s">
        <v>144</v>
      </c>
      <c r="Z93" s="301"/>
      <c r="AA93" s="301"/>
      <c r="AB93" s="301"/>
      <c r="AC93" s="302"/>
      <c r="AD93" s="302">
        <f>SUM(AD94:AD95)</f>
        <v>200000</v>
      </c>
      <c r="AE93" s="454" t="s">
        <v>25</v>
      </c>
      <c r="AF93" s="1"/>
    </row>
    <row r="94" spans="1:32" s="11" customFormat="1" ht="20.25" customHeight="1">
      <c r="A94" s="45"/>
      <c r="B94" s="46"/>
      <c r="C94" s="46"/>
      <c r="D94" s="128">
        <f>[3]세출!E97</f>
        <v>0</v>
      </c>
      <c r="E94" s="108"/>
      <c r="F94" s="108"/>
      <c r="G94" s="108"/>
      <c r="H94" s="108"/>
      <c r="I94" s="108"/>
      <c r="J94" s="108"/>
      <c r="K94" s="108"/>
      <c r="L94" s="108"/>
      <c r="M94" s="108"/>
      <c r="N94" s="70"/>
      <c r="O94" s="442" t="s">
        <v>331</v>
      </c>
      <c r="P94" s="442"/>
      <c r="Q94" s="442"/>
      <c r="R94" s="442"/>
      <c r="S94" s="277">
        <v>50000</v>
      </c>
      <c r="T94" s="441" t="s">
        <v>264</v>
      </c>
      <c r="U94" s="364" t="s">
        <v>270</v>
      </c>
      <c r="V94" s="441">
        <v>4</v>
      </c>
      <c r="W94" s="441" t="s">
        <v>378</v>
      </c>
      <c r="X94" s="364"/>
      <c r="Y94" s="441"/>
      <c r="Z94" s="441"/>
      <c r="AA94" s="441" t="s">
        <v>267</v>
      </c>
      <c r="AB94" s="441" t="s">
        <v>447</v>
      </c>
      <c r="AC94" s="133"/>
      <c r="AD94" s="133">
        <f>S94*V94</f>
        <v>200000</v>
      </c>
      <c r="AE94" s="134" t="s">
        <v>264</v>
      </c>
      <c r="AF94" s="2"/>
    </row>
    <row r="95" spans="1:32" s="11" customFormat="1" ht="21" customHeight="1">
      <c r="A95" s="45"/>
      <c r="B95" s="46"/>
      <c r="C95" s="47"/>
      <c r="D95" s="155">
        <f>[3]세출!E98</f>
        <v>0</v>
      </c>
      <c r="E95" s="108"/>
      <c r="F95" s="108"/>
      <c r="G95" s="108"/>
      <c r="H95" s="108"/>
      <c r="I95" s="108"/>
      <c r="J95" s="108"/>
      <c r="K95" s="108"/>
      <c r="L95" s="108"/>
      <c r="M95" s="108"/>
      <c r="N95" s="83"/>
      <c r="O95" s="453"/>
      <c r="P95" s="453"/>
      <c r="Q95" s="453"/>
      <c r="R95" s="453"/>
      <c r="S95" s="341"/>
      <c r="T95" s="453"/>
      <c r="U95" s="452"/>
      <c r="V95" s="466"/>
      <c r="W95" s="466"/>
      <c r="X95" s="452"/>
      <c r="Y95" s="452"/>
      <c r="Z95" s="452"/>
      <c r="AA95" s="452"/>
      <c r="AB95" s="452"/>
      <c r="AC95" s="452"/>
      <c r="AD95" s="452"/>
      <c r="AE95" s="372"/>
      <c r="AF95" s="2"/>
    </row>
    <row r="96" spans="1:32" s="11" customFormat="1" ht="21" customHeight="1">
      <c r="A96" s="111" t="s">
        <v>47</v>
      </c>
      <c r="B96" s="560" t="s">
        <v>20</v>
      </c>
      <c r="C96" s="560"/>
      <c r="D96" s="186">
        <f>[3]세출!E99</f>
        <v>3000</v>
      </c>
      <c r="E96" s="186">
        <f>E97</f>
        <v>6800</v>
      </c>
      <c r="F96" s="186">
        <f t="shared" ref="F96:L96" si="7">F97</f>
        <v>0</v>
      </c>
      <c r="G96" s="186">
        <f t="shared" si="7"/>
        <v>2000</v>
      </c>
      <c r="H96" s="186">
        <f t="shared" si="7"/>
        <v>0</v>
      </c>
      <c r="I96" s="186">
        <f t="shared" si="7"/>
        <v>500</v>
      </c>
      <c r="J96" s="186">
        <f t="shared" si="7"/>
        <v>4300</v>
      </c>
      <c r="K96" s="186">
        <f t="shared" si="7"/>
        <v>0</v>
      </c>
      <c r="L96" s="186">
        <f t="shared" si="7"/>
        <v>0</v>
      </c>
      <c r="M96" s="186">
        <f>E96-D96</f>
        <v>3800</v>
      </c>
      <c r="N96" s="167">
        <f>IF(D96=0,0,M96/D96)</f>
        <v>1.2666666666666666</v>
      </c>
      <c r="O96" s="180" t="s">
        <v>147</v>
      </c>
      <c r="P96" s="32"/>
      <c r="Q96" s="32"/>
      <c r="R96" s="32"/>
      <c r="S96" s="477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>
        <f>AD97</f>
        <v>6800000</v>
      </c>
      <c r="AE96" s="34" t="s">
        <v>25</v>
      </c>
      <c r="AF96" s="2"/>
    </row>
    <row r="97" spans="1:32" s="11" customFormat="1" ht="21" customHeight="1">
      <c r="A97" s="185" t="s">
        <v>154</v>
      </c>
      <c r="B97" s="46" t="s">
        <v>17</v>
      </c>
      <c r="C97" s="46" t="s">
        <v>148</v>
      </c>
      <c r="D97" s="108">
        <f>[3]세출!E100</f>
        <v>3000</v>
      </c>
      <c r="E97" s="108">
        <f>SUM(E98,E100,E106)</f>
        <v>6800</v>
      </c>
      <c r="F97" s="108">
        <f>SUM(F98,F100,F106)</f>
        <v>0</v>
      </c>
      <c r="G97" s="108">
        <f t="shared" ref="G97:L97" si="8">SUM(G98,G100,G106)</f>
        <v>2000</v>
      </c>
      <c r="H97" s="108">
        <f t="shared" si="8"/>
        <v>0</v>
      </c>
      <c r="I97" s="108">
        <f t="shared" si="8"/>
        <v>500</v>
      </c>
      <c r="J97" s="108">
        <f t="shared" si="8"/>
        <v>4300</v>
      </c>
      <c r="K97" s="108">
        <f t="shared" si="8"/>
        <v>0</v>
      </c>
      <c r="L97" s="108">
        <f t="shared" si="8"/>
        <v>0</v>
      </c>
      <c r="M97" s="108">
        <f>E97-D97</f>
        <v>3800</v>
      </c>
      <c r="N97" s="70">
        <f>IF(D97=0,0,M97/D97)</f>
        <v>1.2666666666666666</v>
      </c>
      <c r="O97" s="182" t="s">
        <v>149</v>
      </c>
      <c r="P97" s="92"/>
      <c r="Q97" s="92"/>
      <c r="R97" s="92"/>
      <c r="S97" s="336"/>
      <c r="T97" s="88"/>
      <c r="U97" s="88"/>
      <c r="V97" s="88"/>
      <c r="W97" s="88"/>
      <c r="X97" s="88"/>
      <c r="Y97" s="88"/>
      <c r="Z97" s="88"/>
      <c r="AA97" s="88"/>
      <c r="AB97" s="88"/>
      <c r="AC97" s="93"/>
      <c r="AD97" s="93">
        <f>SUM(AD98,AD100,AD106)</f>
        <v>6800000</v>
      </c>
      <c r="AE97" s="94" t="s">
        <v>25</v>
      </c>
      <c r="AF97" s="1"/>
    </row>
    <row r="98" spans="1:32" s="11" customFormat="1" ht="21" customHeight="1">
      <c r="A98" s="45"/>
      <c r="B98" s="46"/>
      <c r="C98" s="36" t="s">
        <v>149</v>
      </c>
      <c r="D98" s="183">
        <f>[3]세출!E101</f>
        <v>0</v>
      </c>
      <c r="E98" s="113">
        <f>AD98/1000</f>
        <v>0</v>
      </c>
      <c r="F98" s="183">
        <f>SUMIF($AB$99:$AB$99,"보조",$AD$99:$AD$99)/1000</f>
        <v>0</v>
      </c>
      <c r="G98" s="183">
        <f>SUMIF($AB$99:$AB$99,"7종",$AD$99:$AD$99)/1000</f>
        <v>0</v>
      </c>
      <c r="H98" s="183">
        <f>SUMIF($AB$99:$AB$99,"시비",$AD$99:$AD$99)/1000</f>
        <v>0</v>
      </c>
      <c r="I98" s="183">
        <f>SUMIF($AB$99:$AB$99,"후원",$AD$99:$AD$99)/1000</f>
        <v>0</v>
      </c>
      <c r="J98" s="183">
        <f>SUMIF($AB$99:$AB$99,"입소",$AD$99:$AD$99)/1000</f>
        <v>0</v>
      </c>
      <c r="K98" s="183">
        <f>SUMIF($AB$99:$AB$99,"법인",$AD$99:$AD$99)/1000</f>
        <v>0</v>
      </c>
      <c r="L98" s="183">
        <f>SUMIF($AB$99:$AB$99,"잡수",$AD$99:$AD$99)/1000</f>
        <v>0</v>
      </c>
      <c r="M98" s="183">
        <f>E98-D98</f>
        <v>0</v>
      </c>
      <c r="N98" s="184">
        <f>IF(D98=0,0,M98/D98)</f>
        <v>0</v>
      </c>
      <c r="O98" s="96" t="s">
        <v>48</v>
      </c>
      <c r="P98" s="182"/>
      <c r="Q98" s="182"/>
      <c r="R98" s="182"/>
      <c r="S98" s="336"/>
      <c r="T98" s="181"/>
      <c r="U98" s="181"/>
      <c r="V98" s="181"/>
      <c r="W98" s="181"/>
      <c r="X98" s="181"/>
      <c r="Y98" s="173" t="s">
        <v>144</v>
      </c>
      <c r="Z98" s="173"/>
      <c r="AA98" s="173"/>
      <c r="AB98" s="173"/>
      <c r="AC98" s="175"/>
      <c r="AD98" s="175">
        <f>SUM(AD99:AD99)</f>
        <v>0</v>
      </c>
      <c r="AE98" s="174" t="s">
        <v>25</v>
      </c>
      <c r="AF98" s="1"/>
    </row>
    <row r="99" spans="1:32" s="11" customFormat="1" ht="21" customHeight="1">
      <c r="A99" s="45"/>
      <c r="B99" s="46"/>
      <c r="C99" s="46"/>
      <c r="D99" s="109">
        <f>[3]세출!E102</f>
        <v>0</v>
      </c>
      <c r="E99" s="108"/>
      <c r="F99" s="108"/>
      <c r="G99" s="108"/>
      <c r="H99" s="108"/>
      <c r="I99" s="108"/>
      <c r="J99" s="108"/>
      <c r="K99" s="108"/>
      <c r="L99" s="108"/>
      <c r="M99" s="108"/>
      <c r="N99" s="70"/>
      <c r="O99" s="178"/>
      <c r="P99" s="141"/>
      <c r="Q99" s="141"/>
      <c r="R99" s="141"/>
      <c r="S99" s="478"/>
      <c r="T99" s="140"/>
      <c r="U99" s="140"/>
      <c r="V99" s="140"/>
      <c r="W99" s="140"/>
      <c r="X99" s="140"/>
      <c r="Y99" s="140"/>
      <c r="Z99" s="140"/>
      <c r="AA99" s="140"/>
      <c r="AB99" s="142"/>
      <c r="AC99" s="52"/>
      <c r="AD99" s="280"/>
      <c r="AE99" s="57"/>
      <c r="AF99" s="2"/>
    </row>
    <row r="100" spans="1:32" s="11" customFormat="1" ht="21" customHeight="1">
      <c r="A100" s="45"/>
      <c r="B100" s="46"/>
      <c r="C100" s="36" t="s">
        <v>18</v>
      </c>
      <c r="D100" s="157">
        <f>[3]세출!E103</f>
        <v>2800</v>
      </c>
      <c r="E100" s="113">
        <f>AD100/1000</f>
        <v>3000</v>
      </c>
      <c r="F100" s="112">
        <f>SUMIF($AB$101:$AB$105,"보조",$AD$101:$AD$105)/1000</f>
        <v>0</v>
      </c>
      <c r="G100" s="112">
        <f>SUMIF($AB$101:$AB$105,"7종",$AD$101:$AD$105)/1000</f>
        <v>2000</v>
      </c>
      <c r="H100" s="112">
        <f>SUMIF($AB$101:$AB$105,"시비",$AD$101:$AD$105)/1000</f>
        <v>0</v>
      </c>
      <c r="I100" s="112">
        <f>SUMIF($AB$101:$AB$105,"후원",$AD$101:$AD$105)/1000</f>
        <v>500</v>
      </c>
      <c r="J100" s="112">
        <f>SUMIF($AB$101:$AB$105,"입소",$AD$101:$AD$105)/1000</f>
        <v>500</v>
      </c>
      <c r="K100" s="112">
        <f>SUMIF($AB$101:$AB$105,"법인",$AD$101:$AD$105)/1000</f>
        <v>0</v>
      </c>
      <c r="L100" s="112">
        <f>SUMIF($AB$101:$AB$105,"잡수",$AD$101:$AD$105)/1000</f>
        <v>0</v>
      </c>
      <c r="M100" s="112">
        <f>E100-D100</f>
        <v>200</v>
      </c>
      <c r="N100" s="120">
        <f>IF(D100=0,0,M100/D100)</f>
        <v>7.1428571428571425E-2</v>
      </c>
      <c r="O100" s="96" t="s">
        <v>49</v>
      </c>
      <c r="P100" s="92"/>
      <c r="Q100" s="92"/>
      <c r="R100" s="92"/>
      <c r="S100" s="336"/>
      <c r="T100" s="88"/>
      <c r="U100" s="88"/>
      <c r="V100" s="88"/>
      <c r="W100" s="88"/>
      <c r="X100" s="88"/>
      <c r="Y100" s="173" t="s">
        <v>144</v>
      </c>
      <c r="Z100" s="173"/>
      <c r="AA100" s="173"/>
      <c r="AB100" s="173"/>
      <c r="AC100" s="175"/>
      <c r="AD100" s="175">
        <f>SUM(AD101:AD104)</f>
        <v>3000000</v>
      </c>
      <c r="AE100" s="174" t="s">
        <v>25</v>
      </c>
      <c r="AF100" s="1"/>
    </row>
    <row r="101" spans="1:32" s="11" customFormat="1" ht="21" customHeight="1">
      <c r="A101" s="45"/>
      <c r="B101" s="46"/>
      <c r="C101" s="46"/>
      <c r="D101" s="109">
        <f>[3]세출!E104</f>
        <v>0</v>
      </c>
      <c r="E101" s="108"/>
      <c r="F101" s="108"/>
      <c r="G101" s="108"/>
      <c r="H101" s="108"/>
      <c r="I101" s="108"/>
      <c r="J101" s="108"/>
      <c r="K101" s="108"/>
      <c r="L101" s="108"/>
      <c r="M101" s="108"/>
      <c r="N101" s="70"/>
      <c r="O101" s="442" t="s">
        <v>489</v>
      </c>
      <c r="P101" s="442"/>
      <c r="Q101" s="442"/>
      <c r="R101" s="442"/>
      <c r="S101" s="277"/>
      <c r="T101" s="295"/>
      <c r="U101" s="295"/>
      <c r="V101" s="441"/>
      <c r="W101" s="442"/>
      <c r="X101" s="441"/>
      <c r="Y101" s="441"/>
      <c r="Z101" s="441"/>
      <c r="AA101" s="441"/>
      <c r="AB101" s="441" t="s">
        <v>399</v>
      </c>
      <c r="AC101" s="441"/>
      <c r="AD101" s="441">
        <v>2000000</v>
      </c>
      <c r="AE101" s="134" t="s">
        <v>25</v>
      </c>
      <c r="AF101" s="2"/>
    </row>
    <row r="102" spans="1:32" s="11" customFormat="1" ht="21" customHeight="1">
      <c r="A102" s="45"/>
      <c r="B102" s="46"/>
      <c r="C102" s="46"/>
      <c r="D102" s="109"/>
      <c r="E102" s="108"/>
      <c r="F102" s="108"/>
      <c r="G102" s="108"/>
      <c r="H102" s="108"/>
      <c r="I102" s="108"/>
      <c r="J102" s="108"/>
      <c r="K102" s="108"/>
      <c r="L102" s="108"/>
      <c r="M102" s="108"/>
      <c r="N102" s="70"/>
      <c r="O102" s="442"/>
      <c r="P102" s="442"/>
      <c r="Q102" s="442"/>
      <c r="R102" s="442"/>
      <c r="S102" s="277"/>
      <c r="T102" s="295"/>
      <c r="U102" s="295"/>
      <c r="V102" s="441"/>
      <c r="W102" s="442"/>
      <c r="X102" s="441"/>
      <c r="Y102" s="441"/>
      <c r="Z102" s="441"/>
      <c r="AA102" s="441"/>
      <c r="AB102" s="441" t="s">
        <v>439</v>
      </c>
      <c r="AC102" s="441"/>
      <c r="AD102" s="441">
        <v>500000</v>
      </c>
      <c r="AE102" s="134" t="s">
        <v>25</v>
      </c>
      <c r="AF102" s="2"/>
    </row>
    <row r="103" spans="1:32" s="11" customFormat="1" ht="21" customHeight="1">
      <c r="A103" s="45"/>
      <c r="B103" s="46"/>
      <c r="C103" s="46"/>
      <c r="D103" s="109">
        <f>[3]세출!E105</f>
        <v>0</v>
      </c>
      <c r="E103" s="108"/>
      <c r="F103" s="108"/>
      <c r="G103" s="108"/>
      <c r="H103" s="108"/>
      <c r="I103" s="108"/>
      <c r="J103" s="108"/>
      <c r="K103" s="108"/>
      <c r="L103" s="108"/>
      <c r="M103" s="108"/>
      <c r="N103" s="70"/>
      <c r="O103" s="442"/>
      <c r="P103" s="442"/>
      <c r="Q103" s="442"/>
      <c r="R103" s="442"/>
      <c r="S103" s="277"/>
      <c r="T103" s="295"/>
      <c r="U103" s="295"/>
      <c r="V103" s="441"/>
      <c r="W103" s="442"/>
      <c r="X103" s="441"/>
      <c r="Y103" s="441"/>
      <c r="Z103" s="441"/>
      <c r="AA103" s="441"/>
      <c r="AB103" s="441" t="s">
        <v>292</v>
      </c>
      <c r="AC103" s="441"/>
      <c r="AD103" s="441">
        <v>500000</v>
      </c>
      <c r="AE103" s="134" t="s">
        <v>430</v>
      </c>
      <c r="AF103" s="2"/>
    </row>
    <row r="104" spans="1:32" s="11" customFormat="1" ht="21" customHeight="1">
      <c r="A104" s="45"/>
      <c r="B104" s="46"/>
      <c r="C104" s="46"/>
      <c r="D104" s="109">
        <f>[3]세출!E106</f>
        <v>0</v>
      </c>
      <c r="E104" s="108"/>
      <c r="F104" s="108"/>
      <c r="G104" s="108"/>
      <c r="H104" s="108"/>
      <c r="I104" s="108"/>
      <c r="J104" s="108"/>
      <c r="K104" s="108"/>
      <c r="L104" s="108"/>
      <c r="M104" s="108"/>
      <c r="N104" s="70"/>
      <c r="O104" s="442" t="s">
        <v>334</v>
      </c>
      <c r="P104" s="442"/>
      <c r="Q104" s="442"/>
      <c r="R104" s="442"/>
      <c r="S104" s="277"/>
      <c r="T104" s="295"/>
      <c r="U104" s="295"/>
      <c r="V104" s="441"/>
      <c r="W104" s="442"/>
      <c r="X104" s="441"/>
      <c r="Y104" s="441"/>
      <c r="Z104" s="441"/>
      <c r="AA104" s="441"/>
      <c r="AB104" s="441" t="s">
        <v>409</v>
      </c>
      <c r="AC104" s="441"/>
      <c r="AD104" s="441"/>
      <c r="AE104" s="134" t="s">
        <v>57</v>
      </c>
      <c r="AF104" s="2"/>
    </row>
    <row r="105" spans="1:32" s="11" customFormat="1" ht="21" customHeight="1">
      <c r="A105" s="45"/>
      <c r="B105" s="46"/>
      <c r="C105" s="46"/>
      <c r="D105" s="109">
        <f>[3]세출!E107</f>
        <v>0</v>
      </c>
      <c r="E105" s="108"/>
      <c r="F105" s="108"/>
      <c r="G105" s="108"/>
      <c r="H105" s="108"/>
      <c r="I105" s="108"/>
      <c r="J105" s="108"/>
      <c r="K105" s="108"/>
      <c r="L105" s="108"/>
      <c r="M105" s="108"/>
      <c r="N105" s="70"/>
      <c r="O105" s="152"/>
      <c r="P105" s="50"/>
      <c r="Q105" s="50"/>
      <c r="R105" s="50"/>
      <c r="S105" s="277"/>
      <c r="T105" s="116"/>
      <c r="U105" s="55"/>
      <c r="V105" s="68"/>
      <c r="W105" s="68"/>
      <c r="X105" s="51"/>
      <c r="Y105" s="51"/>
      <c r="Z105" s="51"/>
      <c r="AA105" s="51"/>
      <c r="AB105" s="51"/>
      <c r="AC105" s="51"/>
      <c r="AD105" s="51"/>
      <c r="AE105" s="57"/>
      <c r="AF105" s="2"/>
    </row>
    <row r="106" spans="1:32" s="11" customFormat="1" ht="21" customHeight="1">
      <c r="A106" s="45"/>
      <c r="B106" s="46"/>
      <c r="C106" s="36" t="s">
        <v>50</v>
      </c>
      <c r="D106" s="157">
        <f>[3]세출!E108</f>
        <v>200</v>
      </c>
      <c r="E106" s="113">
        <f>AD106/1000</f>
        <v>3800</v>
      </c>
      <c r="F106" s="112">
        <f>SUMIF($AB$107:$AB$111,"보조",$AD$107:$AD$111)/1000</f>
        <v>0</v>
      </c>
      <c r="G106" s="112">
        <f>SUMIF($AB$107:$AB$111,"7종",$AD$107:$AD$111)/1000</f>
        <v>0</v>
      </c>
      <c r="H106" s="112">
        <f>SUMIF($AB$107:$AB$111,"시비",$AD$107:$AD$111)/1000</f>
        <v>0</v>
      </c>
      <c r="I106" s="112">
        <f>SUMIF($AB$107:$AB$111,"후원",$AD$107:$AD$111)/1000</f>
        <v>0</v>
      </c>
      <c r="J106" s="112">
        <f>SUMIF($AB$107:$AB$111,"입소",$AD$107:$AD$111)/1000</f>
        <v>3800</v>
      </c>
      <c r="K106" s="112">
        <f>SUMIF($AB$107:$AB$111,"법인",$AD$107:$AD$111)/1000</f>
        <v>0</v>
      </c>
      <c r="L106" s="112">
        <f>SUMIF($AB$107:$AB$111,"잡수",$AD$107:$AD$111)/1000</f>
        <v>0</v>
      </c>
      <c r="M106" s="112">
        <f>E106-D106</f>
        <v>3600</v>
      </c>
      <c r="N106" s="120">
        <f>IF(D106=0,0,M106/D106)</f>
        <v>18</v>
      </c>
      <c r="O106" s="96" t="s">
        <v>51</v>
      </c>
      <c r="P106" s="92"/>
      <c r="Q106" s="92"/>
      <c r="R106" s="92"/>
      <c r="S106" s="336"/>
      <c r="T106" s="88"/>
      <c r="U106" s="88"/>
      <c r="V106" s="88"/>
      <c r="W106" s="88"/>
      <c r="X106" s="88"/>
      <c r="Y106" s="173" t="s">
        <v>144</v>
      </c>
      <c r="Z106" s="173"/>
      <c r="AA106" s="173"/>
      <c r="AB106" s="173"/>
      <c r="AC106" s="175"/>
      <c r="AD106" s="175">
        <f>SUM(AD107:AD110)</f>
        <v>3800000</v>
      </c>
      <c r="AE106" s="174" t="s">
        <v>25</v>
      </c>
      <c r="AF106" s="1"/>
    </row>
    <row r="107" spans="1:32" s="1" customFormat="1" ht="21" customHeight="1">
      <c r="A107" s="45"/>
      <c r="B107" s="46"/>
      <c r="C107" s="46" t="s">
        <v>159</v>
      </c>
      <c r="D107" s="155">
        <f>[3]세출!E109</f>
        <v>0</v>
      </c>
      <c r="E107" s="108"/>
      <c r="F107" s="108"/>
      <c r="G107" s="108"/>
      <c r="H107" s="108"/>
      <c r="I107" s="108"/>
      <c r="J107" s="108"/>
      <c r="K107" s="108"/>
      <c r="L107" s="108"/>
      <c r="M107" s="108"/>
      <c r="N107" s="70"/>
      <c r="O107" s="442" t="s">
        <v>380</v>
      </c>
      <c r="P107" s="358"/>
      <c r="Q107" s="358"/>
      <c r="R107" s="358"/>
      <c r="S107" s="277"/>
      <c r="T107" s="295"/>
      <c r="U107" s="295"/>
      <c r="V107" s="357"/>
      <c r="W107" s="358"/>
      <c r="X107" s="357"/>
      <c r="Y107" s="357"/>
      <c r="Z107" s="357"/>
      <c r="AA107" s="357"/>
      <c r="AB107" s="357" t="s">
        <v>288</v>
      </c>
      <c r="AC107" s="357"/>
      <c r="AD107" s="357"/>
      <c r="AE107" s="134" t="s">
        <v>25</v>
      </c>
      <c r="AF107" s="2"/>
    </row>
    <row r="108" spans="1:32" s="1" customFormat="1" ht="21" customHeight="1">
      <c r="A108" s="45"/>
      <c r="B108" s="46"/>
      <c r="C108" s="46"/>
      <c r="D108" s="155">
        <f>[3]세출!E110</f>
        <v>0</v>
      </c>
      <c r="E108" s="108"/>
      <c r="F108" s="108"/>
      <c r="G108" s="108"/>
      <c r="H108" s="108"/>
      <c r="I108" s="108"/>
      <c r="J108" s="108"/>
      <c r="K108" s="108"/>
      <c r="L108" s="108"/>
      <c r="M108" s="108"/>
      <c r="N108" s="70"/>
      <c r="O108" s="442" t="s">
        <v>490</v>
      </c>
      <c r="P108" s="358"/>
      <c r="Q108" s="358"/>
      <c r="R108" s="358"/>
      <c r="S108" s="277"/>
      <c r="T108" s="295"/>
      <c r="U108" s="295"/>
      <c r="V108" s="357"/>
      <c r="W108" s="358"/>
      <c r="X108" s="357"/>
      <c r="Y108" s="357"/>
      <c r="Z108" s="357"/>
      <c r="AA108" s="357"/>
      <c r="AB108" s="397" t="s">
        <v>471</v>
      </c>
      <c r="AC108" s="357"/>
      <c r="AD108" s="357">
        <v>3700000</v>
      </c>
      <c r="AE108" s="134" t="s">
        <v>281</v>
      </c>
      <c r="AF108" s="2"/>
    </row>
    <row r="109" spans="1:32" s="1" customFormat="1" ht="21" customHeight="1">
      <c r="A109" s="45"/>
      <c r="B109" s="46"/>
      <c r="C109" s="46"/>
      <c r="D109" s="155"/>
      <c r="E109" s="108"/>
      <c r="F109" s="108"/>
      <c r="G109" s="108"/>
      <c r="H109" s="108"/>
      <c r="I109" s="108"/>
      <c r="J109" s="108"/>
      <c r="K109" s="108"/>
      <c r="L109" s="108"/>
      <c r="M109" s="108"/>
      <c r="N109" s="70"/>
      <c r="O109" s="279" t="s">
        <v>326</v>
      </c>
      <c r="P109" s="339"/>
      <c r="Q109" s="339"/>
      <c r="R109" s="339"/>
      <c r="S109" s="279"/>
      <c r="T109" s="280"/>
      <c r="U109" s="338"/>
      <c r="V109" s="484">
        <v>60000</v>
      </c>
      <c r="W109" s="305" t="s">
        <v>57</v>
      </c>
      <c r="X109" s="305" t="s">
        <v>26</v>
      </c>
      <c r="Y109" s="304">
        <v>1</v>
      </c>
      <c r="Z109" s="306" t="s">
        <v>72</v>
      </c>
      <c r="AA109" s="304" t="s">
        <v>27</v>
      </c>
      <c r="AB109" s="441" t="s">
        <v>269</v>
      </c>
      <c r="AC109" s="441"/>
      <c r="AD109" s="441">
        <f t="shared" ref="AD109:AD110" si="9">V109*Y109</f>
        <v>60000</v>
      </c>
      <c r="AE109" s="134" t="s">
        <v>57</v>
      </c>
      <c r="AF109" s="2"/>
    </row>
    <row r="110" spans="1:32" s="1" customFormat="1" ht="21" customHeight="1">
      <c r="A110" s="45"/>
      <c r="B110" s="46"/>
      <c r="C110" s="46"/>
      <c r="D110" s="155"/>
      <c r="E110" s="108"/>
      <c r="F110" s="108"/>
      <c r="G110" s="108"/>
      <c r="H110" s="108"/>
      <c r="I110" s="108"/>
      <c r="J110" s="108"/>
      <c r="K110" s="108"/>
      <c r="L110" s="108"/>
      <c r="M110" s="108"/>
      <c r="N110" s="70"/>
      <c r="O110" s="279" t="s">
        <v>327</v>
      </c>
      <c r="P110" s="339"/>
      <c r="Q110" s="339"/>
      <c r="R110" s="339"/>
      <c r="S110" s="279"/>
      <c r="T110" s="280"/>
      <c r="U110" s="338"/>
      <c r="V110" s="484">
        <v>40000</v>
      </c>
      <c r="W110" s="305" t="s">
        <v>57</v>
      </c>
      <c r="X110" s="305" t="s">
        <v>26</v>
      </c>
      <c r="Y110" s="304">
        <v>1</v>
      </c>
      <c r="Z110" s="306" t="s">
        <v>72</v>
      </c>
      <c r="AA110" s="304" t="s">
        <v>27</v>
      </c>
      <c r="AB110" s="441" t="s">
        <v>269</v>
      </c>
      <c r="AC110" s="441"/>
      <c r="AD110" s="441">
        <f t="shared" si="9"/>
        <v>40000</v>
      </c>
      <c r="AE110" s="134" t="s">
        <v>57</v>
      </c>
      <c r="AF110" s="2"/>
    </row>
    <row r="111" spans="1:32" s="1" customFormat="1" ht="21" customHeight="1">
      <c r="A111" s="45"/>
      <c r="B111" s="46"/>
      <c r="C111" s="46"/>
      <c r="D111" s="155">
        <f>[3]세출!E111</f>
        <v>0</v>
      </c>
      <c r="E111" s="108"/>
      <c r="F111" s="108"/>
      <c r="G111" s="108"/>
      <c r="H111" s="108"/>
      <c r="I111" s="108"/>
      <c r="J111" s="108"/>
      <c r="K111" s="108"/>
      <c r="L111" s="108"/>
      <c r="M111" s="108"/>
      <c r="N111" s="70"/>
      <c r="O111" s="152"/>
      <c r="P111" s="50"/>
      <c r="Q111" s="50"/>
      <c r="R111" s="50"/>
      <c r="S111" s="277"/>
      <c r="T111" s="55"/>
      <c r="U111" s="55"/>
      <c r="V111" s="51"/>
      <c r="W111" s="50"/>
      <c r="X111" s="51"/>
      <c r="Y111" s="51"/>
      <c r="Z111" s="51"/>
      <c r="AA111" s="51"/>
      <c r="AB111" s="123"/>
      <c r="AC111" s="51"/>
      <c r="AD111" s="51"/>
      <c r="AE111" s="57"/>
      <c r="AF111" s="2"/>
    </row>
    <row r="112" spans="1:32" s="11" customFormat="1" ht="21" customHeight="1">
      <c r="A112" s="187" t="s">
        <v>19</v>
      </c>
      <c r="B112" s="558" t="s">
        <v>20</v>
      </c>
      <c r="C112" s="559"/>
      <c r="D112" s="188">
        <f>[3]세출!E112</f>
        <v>15515</v>
      </c>
      <c r="E112" s="188">
        <f t="shared" ref="E112:L112" si="10">SUM(E113,E137)</f>
        <v>15868</v>
      </c>
      <c r="F112" s="188">
        <f t="shared" si="10"/>
        <v>4800</v>
      </c>
      <c r="G112" s="188">
        <f t="shared" si="10"/>
        <v>0</v>
      </c>
      <c r="H112" s="188">
        <f t="shared" si="10"/>
        <v>0</v>
      </c>
      <c r="I112" s="188">
        <f t="shared" si="10"/>
        <v>2663</v>
      </c>
      <c r="J112" s="188">
        <f t="shared" si="10"/>
        <v>7085</v>
      </c>
      <c r="K112" s="188">
        <f t="shared" si="10"/>
        <v>0</v>
      </c>
      <c r="L112" s="188">
        <f t="shared" si="10"/>
        <v>1320</v>
      </c>
      <c r="M112" s="188">
        <f>SUM(M113,M123,M127,M130,M134)</f>
        <v>626</v>
      </c>
      <c r="N112" s="189">
        <f>IF(D112=0,0,M112/D112)</f>
        <v>4.034805027392846E-2</v>
      </c>
      <c r="O112" s="182" t="s">
        <v>151</v>
      </c>
      <c r="P112" s="92"/>
      <c r="Q112" s="92"/>
      <c r="R112" s="92"/>
      <c r="S112" s="336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>
        <f>SUM(AD113,AD137)</f>
        <v>15868000</v>
      </c>
      <c r="AE112" s="94" t="s">
        <v>25</v>
      </c>
      <c r="AF112" s="13"/>
    </row>
    <row r="113" spans="1:32" s="11" customFormat="1" ht="21" customHeight="1">
      <c r="A113" s="46"/>
      <c r="B113" s="36" t="s">
        <v>92</v>
      </c>
      <c r="C113" s="36" t="s">
        <v>152</v>
      </c>
      <c r="D113" s="112">
        <f>[3]세출!E113</f>
        <v>11910</v>
      </c>
      <c r="E113" s="112">
        <f t="shared" ref="E113:L113" si="11">SUM(E114,E123,E127,E130,E134)</f>
        <v>12223</v>
      </c>
      <c r="F113" s="112">
        <f t="shared" si="11"/>
        <v>4800</v>
      </c>
      <c r="G113" s="112">
        <f t="shared" si="11"/>
        <v>0</v>
      </c>
      <c r="H113" s="112">
        <f t="shared" si="11"/>
        <v>0</v>
      </c>
      <c r="I113" s="112">
        <f t="shared" si="11"/>
        <v>1663</v>
      </c>
      <c r="J113" s="112">
        <f t="shared" si="11"/>
        <v>4440</v>
      </c>
      <c r="K113" s="112">
        <f t="shared" si="11"/>
        <v>0</v>
      </c>
      <c r="L113" s="112">
        <f t="shared" si="11"/>
        <v>1320</v>
      </c>
      <c r="M113" s="112">
        <f>E113-D113</f>
        <v>313</v>
      </c>
      <c r="N113" s="120">
        <f>IF(D113=0,0,M113/D113)</f>
        <v>2.6280436607892529E-2</v>
      </c>
      <c r="O113" s="92"/>
      <c r="P113" s="92"/>
      <c r="Q113" s="92"/>
      <c r="R113" s="92"/>
      <c r="S113" s="336"/>
      <c r="T113" s="88"/>
      <c r="U113" s="88"/>
      <c r="V113" s="88"/>
      <c r="W113" s="88"/>
      <c r="X113" s="88"/>
      <c r="Y113" s="88" t="s">
        <v>28</v>
      </c>
      <c r="Z113" s="88"/>
      <c r="AA113" s="88"/>
      <c r="AB113" s="88"/>
      <c r="AC113" s="93"/>
      <c r="AD113" s="93">
        <f>SUM(AD114,AD123,AD127,AD130,AD134)</f>
        <v>12223000</v>
      </c>
      <c r="AE113" s="94" t="s">
        <v>25</v>
      </c>
      <c r="AF113" s="1"/>
    </row>
    <row r="114" spans="1:32" s="11" customFormat="1" ht="21" customHeight="1">
      <c r="A114" s="46"/>
      <c r="B114" s="46"/>
      <c r="C114" s="36" t="s">
        <v>59</v>
      </c>
      <c r="D114" s="157">
        <f>[3]세출!E114</f>
        <v>10520</v>
      </c>
      <c r="E114" s="486">
        <f>AD114/1000</f>
        <v>10520</v>
      </c>
      <c r="F114" s="112">
        <f>SUMIF($AB$115:$AB$122,"보조",$AD$115:$AD$122)/1000</f>
        <v>4800</v>
      </c>
      <c r="G114" s="112">
        <f>SUMIF($AB$115:$AB$122,"7종",$AD$115:$AD$122)/1000</f>
        <v>0</v>
      </c>
      <c r="H114" s="112">
        <f>SUMIF($AB$115:$AB$122,"시비",$AD$115:$AD$122)/1000</f>
        <v>0</v>
      </c>
      <c r="I114" s="112">
        <f>SUMIF($AB$115:$AB$122,"후원",$AD$115:$AD$122)/1000</f>
        <v>1200</v>
      </c>
      <c r="J114" s="112">
        <f>SUMIF($AB$115:$AB$122,"입소",$AD$115:$AD$122)/1000</f>
        <v>3200</v>
      </c>
      <c r="K114" s="112">
        <f>SUMIF($AB$115:$AB$122,"법인",$AD$115:$AD$122)/1000</f>
        <v>0</v>
      </c>
      <c r="L114" s="112">
        <f>SUMIF($AB$115:$AB$122,"잡수",$AD$115:$AD$122)/1000</f>
        <v>1320</v>
      </c>
      <c r="M114" s="112">
        <f>E114-D114</f>
        <v>0</v>
      </c>
      <c r="N114" s="120">
        <f>IF(D114=0,0,M114/D114)</f>
        <v>0</v>
      </c>
      <c r="O114" s="298" t="s">
        <v>93</v>
      </c>
      <c r="P114" s="299"/>
      <c r="Q114" s="299"/>
      <c r="R114" s="299"/>
      <c r="S114" s="336"/>
      <c r="T114" s="300"/>
      <c r="U114" s="300"/>
      <c r="V114" s="300"/>
      <c r="W114" s="300"/>
      <c r="X114" s="300"/>
      <c r="Y114" s="462" t="s">
        <v>144</v>
      </c>
      <c r="Z114" s="462"/>
      <c r="AA114" s="462"/>
      <c r="AB114" s="462"/>
      <c r="AC114" s="302"/>
      <c r="AD114" s="302">
        <f>ROUNDDOWN(SUM(AD115:AD121),-3)</f>
        <v>10520000</v>
      </c>
      <c r="AE114" s="454" t="s">
        <v>25</v>
      </c>
      <c r="AF114" s="1"/>
    </row>
    <row r="115" spans="1:32" s="11" customFormat="1" ht="21" customHeight="1">
      <c r="A115" s="46"/>
      <c r="B115" s="46"/>
      <c r="C115" s="46"/>
      <c r="D115" s="109">
        <f>[3]세출!E115</f>
        <v>0</v>
      </c>
      <c r="E115" s="487"/>
      <c r="F115" s="108"/>
      <c r="G115" s="108"/>
      <c r="H115" s="108"/>
      <c r="I115" s="108"/>
      <c r="J115" s="108"/>
      <c r="K115" s="108"/>
      <c r="L115" s="108"/>
      <c r="M115" s="108"/>
      <c r="N115" s="70"/>
      <c r="O115" s="442" t="s">
        <v>465</v>
      </c>
      <c r="P115" s="442"/>
      <c r="Q115" s="441"/>
      <c r="R115" s="441"/>
      <c r="S115" s="277">
        <v>200000</v>
      </c>
      <c r="T115" s="441" t="s">
        <v>282</v>
      </c>
      <c r="U115" s="295" t="s">
        <v>283</v>
      </c>
      <c r="V115" s="441">
        <v>6</v>
      </c>
      <c r="W115" s="441" t="s">
        <v>285</v>
      </c>
      <c r="X115" s="295" t="s">
        <v>283</v>
      </c>
      <c r="Y115" s="441">
        <v>4</v>
      </c>
      <c r="Z115" s="441" t="s">
        <v>284</v>
      </c>
      <c r="AA115" s="289" t="s">
        <v>286</v>
      </c>
      <c r="AB115" s="441" t="s">
        <v>288</v>
      </c>
      <c r="AC115" s="133"/>
      <c r="AD115" s="133">
        <f t="shared" ref="AD115:AD120" si="12">ROUNDDOWN(S115*V115*Y115,-3)</f>
        <v>4800000</v>
      </c>
      <c r="AE115" s="134" t="s">
        <v>25</v>
      </c>
      <c r="AF115" s="2"/>
    </row>
    <row r="116" spans="1:32" s="11" customFormat="1" ht="21" customHeight="1">
      <c r="A116" s="46"/>
      <c r="B116" s="46"/>
      <c r="C116" s="46"/>
      <c r="D116" s="109">
        <f>[3]세출!E116</f>
        <v>0</v>
      </c>
      <c r="E116" s="487"/>
      <c r="F116" s="108"/>
      <c r="G116" s="108"/>
      <c r="H116" s="108"/>
      <c r="I116" s="108"/>
      <c r="J116" s="108"/>
      <c r="K116" s="108"/>
      <c r="L116" s="108"/>
      <c r="M116" s="108"/>
      <c r="N116" s="70"/>
      <c r="O116" s="442" t="s">
        <v>464</v>
      </c>
      <c r="P116" s="442"/>
      <c r="Q116" s="442"/>
      <c r="R116" s="442"/>
      <c r="S116" s="277">
        <v>200000</v>
      </c>
      <c r="T116" s="441" t="s">
        <v>126</v>
      </c>
      <c r="U116" s="295" t="s">
        <v>270</v>
      </c>
      <c r="V116" s="441">
        <v>3</v>
      </c>
      <c r="W116" s="441" t="s">
        <v>462</v>
      </c>
      <c r="X116" s="295" t="s">
        <v>270</v>
      </c>
      <c r="Y116" s="441">
        <v>4</v>
      </c>
      <c r="Z116" s="441" t="s">
        <v>284</v>
      </c>
      <c r="AA116" s="289" t="s">
        <v>267</v>
      </c>
      <c r="AB116" s="441" t="s">
        <v>382</v>
      </c>
      <c r="AC116" s="133"/>
      <c r="AD116" s="133">
        <f t="shared" si="12"/>
        <v>2400000</v>
      </c>
      <c r="AE116" s="134" t="s">
        <v>25</v>
      </c>
      <c r="AF116" s="2"/>
    </row>
    <row r="117" spans="1:32" s="11" customFormat="1" ht="21" customHeight="1">
      <c r="A117" s="46"/>
      <c r="B117" s="46"/>
      <c r="C117" s="46"/>
      <c r="D117" s="109">
        <f>[3]세출!E117</f>
        <v>0</v>
      </c>
      <c r="E117" s="487"/>
      <c r="F117" s="108"/>
      <c r="G117" s="108"/>
      <c r="H117" s="108"/>
      <c r="I117" s="108"/>
      <c r="J117" s="108"/>
      <c r="K117" s="108"/>
      <c r="L117" s="108"/>
      <c r="M117" s="108"/>
      <c r="N117" s="70"/>
      <c r="O117" s="442" t="s">
        <v>464</v>
      </c>
      <c r="P117" s="442"/>
      <c r="Q117" s="442"/>
      <c r="R117" s="442"/>
      <c r="S117" s="277">
        <v>50000</v>
      </c>
      <c r="T117" s="441" t="s">
        <v>126</v>
      </c>
      <c r="U117" s="295" t="s">
        <v>270</v>
      </c>
      <c r="V117" s="441">
        <v>3</v>
      </c>
      <c r="W117" s="441" t="s">
        <v>472</v>
      </c>
      <c r="X117" s="295" t="s">
        <v>270</v>
      </c>
      <c r="Y117" s="441">
        <v>4</v>
      </c>
      <c r="Z117" s="441" t="s">
        <v>284</v>
      </c>
      <c r="AA117" s="289" t="s">
        <v>267</v>
      </c>
      <c r="AB117" s="441" t="s">
        <v>382</v>
      </c>
      <c r="AC117" s="133"/>
      <c r="AD117" s="133">
        <f t="shared" si="12"/>
        <v>600000</v>
      </c>
      <c r="AE117" s="134" t="s">
        <v>25</v>
      </c>
      <c r="AF117" s="2"/>
    </row>
    <row r="118" spans="1:32" s="11" customFormat="1" ht="21" customHeight="1">
      <c r="A118" s="46"/>
      <c r="B118" s="46"/>
      <c r="C118" s="46"/>
      <c r="D118" s="109">
        <f>[3]세출!E118</f>
        <v>0</v>
      </c>
      <c r="E118" s="487"/>
      <c r="F118" s="108"/>
      <c r="G118" s="108"/>
      <c r="H118" s="108"/>
      <c r="I118" s="108"/>
      <c r="J118" s="108"/>
      <c r="K118" s="108"/>
      <c r="L118" s="108"/>
      <c r="M118" s="108"/>
      <c r="N118" s="70"/>
      <c r="O118" s="442" t="s">
        <v>465</v>
      </c>
      <c r="P118" s="442"/>
      <c r="Q118" s="442"/>
      <c r="R118" s="442"/>
      <c r="S118" s="277">
        <v>100000</v>
      </c>
      <c r="T118" s="441" t="s">
        <v>126</v>
      </c>
      <c r="U118" s="295" t="s">
        <v>270</v>
      </c>
      <c r="V118" s="441">
        <v>3</v>
      </c>
      <c r="W118" s="441" t="s">
        <v>463</v>
      </c>
      <c r="X118" s="295" t="s">
        <v>270</v>
      </c>
      <c r="Y118" s="441">
        <v>4</v>
      </c>
      <c r="Z118" s="441" t="s">
        <v>284</v>
      </c>
      <c r="AA118" s="289" t="s">
        <v>267</v>
      </c>
      <c r="AB118" s="441" t="s">
        <v>429</v>
      </c>
      <c r="AC118" s="133"/>
      <c r="AD118" s="133">
        <f t="shared" si="12"/>
        <v>1200000</v>
      </c>
      <c r="AE118" s="134" t="s">
        <v>25</v>
      </c>
      <c r="AF118" s="2"/>
    </row>
    <row r="119" spans="1:32" s="11" customFormat="1" ht="21" customHeight="1">
      <c r="A119" s="46"/>
      <c r="B119" s="46"/>
      <c r="C119" s="46"/>
      <c r="D119" s="109">
        <f>[3]세출!E119</f>
        <v>0</v>
      </c>
      <c r="E119" s="487"/>
      <c r="F119" s="108"/>
      <c r="G119" s="108"/>
      <c r="H119" s="108"/>
      <c r="I119" s="108"/>
      <c r="J119" s="108"/>
      <c r="K119" s="108"/>
      <c r="L119" s="108"/>
      <c r="M119" s="108"/>
      <c r="N119" s="70"/>
      <c r="O119" s="442" t="s">
        <v>465</v>
      </c>
      <c r="P119" s="442"/>
      <c r="Q119" s="442"/>
      <c r="R119" s="442"/>
      <c r="S119" s="277">
        <v>50000</v>
      </c>
      <c r="T119" s="441" t="s">
        <v>126</v>
      </c>
      <c r="U119" s="295" t="s">
        <v>270</v>
      </c>
      <c r="V119" s="441">
        <v>3</v>
      </c>
      <c r="W119" s="441" t="s">
        <v>468</v>
      </c>
      <c r="X119" s="295" t="s">
        <v>270</v>
      </c>
      <c r="Y119" s="441">
        <v>4</v>
      </c>
      <c r="Z119" s="441" t="s">
        <v>284</v>
      </c>
      <c r="AA119" s="289" t="s">
        <v>267</v>
      </c>
      <c r="AB119" s="441" t="s">
        <v>467</v>
      </c>
      <c r="AC119" s="133"/>
      <c r="AD119" s="133">
        <f t="shared" si="12"/>
        <v>600000</v>
      </c>
      <c r="AE119" s="134" t="s">
        <v>25</v>
      </c>
      <c r="AF119" s="2"/>
    </row>
    <row r="120" spans="1:32" s="11" customFormat="1" ht="21" customHeight="1">
      <c r="A120" s="46"/>
      <c r="B120" s="46"/>
      <c r="C120" s="46"/>
      <c r="D120" s="109">
        <f>[3]세출!E120</f>
        <v>0</v>
      </c>
      <c r="E120" s="487"/>
      <c r="F120" s="108"/>
      <c r="G120" s="108"/>
      <c r="H120" s="108"/>
      <c r="I120" s="108"/>
      <c r="J120" s="108"/>
      <c r="K120" s="108"/>
      <c r="L120" s="108"/>
      <c r="M120" s="108"/>
      <c r="N120" s="70"/>
      <c r="O120" s="442" t="s">
        <v>466</v>
      </c>
      <c r="P120" s="442"/>
      <c r="Q120" s="442"/>
      <c r="R120" s="442"/>
      <c r="S120" s="277">
        <v>60000</v>
      </c>
      <c r="T120" s="441" t="s">
        <v>126</v>
      </c>
      <c r="U120" s="295" t="s">
        <v>270</v>
      </c>
      <c r="V120" s="441">
        <v>12</v>
      </c>
      <c r="W120" s="441" t="s">
        <v>469</v>
      </c>
      <c r="X120" s="295" t="s">
        <v>270</v>
      </c>
      <c r="Y120" s="441">
        <v>1</v>
      </c>
      <c r="Z120" s="441" t="s">
        <v>284</v>
      </c>
      <c r="AA120" s="289" t="s">
        <v>267</v>
      </c>
      <c r="AB120" s="441" t="s">
        <v>337</v>
      </c>
      <c r="AC120" s="133"/>
      <c r="AD120" s="133">
        <f t="shared" si="12"/>
        <v>720000</v>
      </c>
      <c r="AE120" s="134" t="s">
        <v>336</v>
      </c>
      <c r="AF120" s="2"/>
    </row>
    <row r="121" spans="1:32" s="11" customFormat="1" ht="21" customHeight="1">
      <c r="A121" s="46"/>
      <c r="B121" s="46"/>
      <c r="C121" s="46"/>
      <c r="D121" s="109">
        <f>[3]세출!E121</f>
        <v>0</v>
      </c>
      <c r="E121" s="487"/>
      <c r="F121" s="108"/>
      <c r="G121" s="108"/>
      <c r="H121" s="108"/>
      <c r="I121" s="108"/>
      <c r="J121" s="108"/>
      <c r="K121" s="108"/>
      <c r="L121" s="108"/>
      <c r="M121" s="108"/>
      <c r="N121" s="70"/>
      <c r="O121" s="442" t="s">
        <v>335</v>
      </c>
      <c r="P121" s="442"/>
      <c r="Q121" s="441"/>
      <c r="R121" s="441"/>
      <c r="S121" s="277"/>
      <c r="T121" s="441"/>
      <c r="U121" s="295"/>
      <c r="V121" s="441"/>
      <c r="W121" s="441"/>
      <c r="X121" s="295"/>
      <c r="Y121" s="441"/>
      <c r="Z121" s="441"/>
      <c r="AA121" s="289"/>
      <c r="AB121" s="441" t="s">
        <v>388</v>
      </c>
      <c r="AC121" s="133"/>
      <c r="AD121" s="133">
        <v>200000</v>
      </c>
      <c r="AE121" s="134" t="s">
        <v>25</v>
      </c>
      <c r="AF121" s="2"/>
    </row>
    <row r="122" spans="1:32" s="11" customFormat="1" ht="21" customHeight="1">
      <c r="A122" s="46"/>
      <c r="B122" s="46"/>
      <c r="C122" s="59"/>
      <c r="D122" s="156">
        <f>[3]세출!E122</f>
        <v>0</v>
      </c>
      <c r="E122" s="488"/>
      <c r="F122" s="110"/>
      <c r="G122" s="110"/>
      <c r="H122" s="110"/>
      <c r="I122" s="110"/>
      <c r="J122" s="110"/>
      <c r="K122" s="110"/>
      <c r="L122" s="110"/>
      <c r="M122" s="110"/>
      <c r="N122" s="83"/>
      <c r="O122" s="469"/>
      <c r="P122" s="469"/>
      <c r="Q122" s="469"/>
      <c r="R122" s="469"/>
      <c r="S122" s="479"/>
      <c r="T122" s="469"/>
      <c r="U122" s="469"/>
      <c r="V122" s="469"/>
      <c r="W122" s="469"/>
      <c r="X122" s="469"/>
      <c r="Y122" s="469"/>
      <c r="Z122" s="469"/>
      <c r="AA122" s="469"/>
      <c r="AB122" s="469"/>
      <c r="AC122" s="469"/>
      <c r="AD122" s="470"/>
      <c r="AE122" s="369"/>
      <c r="AF122" s="2"/>
    </row>
    <row r="123" spans="1:32" s="11" customFormat="1" ht="21" customHeight="1">
      <c r="A123" s="46"/>
      <c r="B123" s="46"/>
      <c r="C123" s="46" t="s">
        <v>94</v>
      </c>
      <c r="D123" s="155">
        <f>[3]세출!E123</f>
        <v>400</v>
      </c>
      <c r="E123" s="486">
        <f>AD123/1000</f>
        <v>463</v>
      </c>
      <c r="F123" s="108">
        <v>0</v>
      </c>
      <c r="G123" s="108">
        <f>SUMIF($AB$124:$AB$126,"7종",$AD$124:$AD$126)/1000</f>
        <v>0</v>
      </c>
      <c r="H123" s="108">
        <f>SUMIF($AB$124:$AB$126,"시비",$AD$124:$AD$126)/1000</f>
        <v>0</v>
      </c>
      <c r="I123" s="108">
        <f>SUMIF($AB$124:$AB$126,"후원",$AD$124:$AD$126)/1000</f>
        <v>463</v>
      </c>
      <c r="J123" s="108">
        <f>SUMIF($AB$124:$AB$126,"입소",$AD$124:$AD$126)/1000</f>
        <v>0</v>
      </c>
      <c r="K123" s="108">
        <f>SUMIF($AB$124:$AB$126,"법인",$AD$124:$AD$126)/1000</f>
        <v>0</v>
      </c>
      <c r="L123" s="108">
        <f>SUMIF($AB$124:$AB$126,"잡수",$AD$124:$AD$126)/1000</f>
        <v>0</v>
      </c>
      <c r="M123" s="108">
        <f>E123-D123</f>
        <v>63</v>
      </c>
      <c r="N123" s="70">
        <f>IF(D123=0,0,M123/D123)</f>
        <v>0.1575</v>
      </c>
      <c r="O123" s="298" t="s">
        <v>95</v>
      </c>
      <c r="P123" s="299"/>
      <c r="Q123" s="299"/>
      <c r="R123" s="299"/>
      <c r="S123" s="336"/>
      <c r="T123" s="300"/>
      <c r="U123" s="300"/>
      <c r="V123" s="300"/>
      <c r="W123" s="300"/>
      <c r="X123" s="300"/>
      <c r="Y123" s="301" t="s">
        <v>144</v>
      </c>
      <c r="Z123" s="301"/>
      <c r="AA123" s="301"/>
      <c r="AB123" s="301"/>
      <c r="AC123" s="302"/>
      <c r="AD123" s="302">
        <f>SUM(AD124:AD126)</f>
        <v>463000</v>
      </c>
      <c r="AE123" s="454" t="s">
        <v>25</v>
      </c>
      <c r="AF123" s="1"/>
    </row>
    <row r="124" spans="1:32" s="11" customFormat="1" ht="21" customHeight="1">
      <c r="A124" s="46"/>
      <c r="B124" s="46"/>
      <c r="C124" s="46" t="s">
        <v>153</v>
      </c>
      <c r="D124" s="155">
        <f>[3]세출!E124</f>
        <v>0</v>
      </c>
      <c r="E124" s="487"/>
      <c r="F124" s="108"/>
      <c r="G124" s="108"/>
      <c r="H124" s="108"/>
      <c r="I124" s="108"/>
      <c r="J124" s="108"/>
      <c r="K124" s="108"/>
      <c r="L124" s="108"/>
      <c r="M124" s="108"/>
      <c r="N124" s="70"/>
      <c r="O124" s="442" t="s">
        <v>379</v>
      </c>
      <c r="P124" s="442"/>
      <c r="Q124" s="442"/>
      <c r="R124" s="442"/>
      <c r="S124" s="277"/>
      <c r="T124" s="295"/>
      <c r="U124" s="295"/>
      <c r="V124" s="441">
        <v>50000</v>
      </c>
      <c r="W124" s="295" t="s">
        <v>57</v>
      </c>
      <c r="X124" s="295" t="s">
        <v>26</v>
      </c>
      <c r="Y124" s="304">
        <v>6</v>
      </c>
      <c r="Z124" s="306" t="s">
        <v>29</v>
      </c>
      <c r="AA124" s="304" t="s">
        <v>27</v>
      </c>
      <c r="AB124" s="441" t="s">
        <v>292</v>
      </c>
      <c r="AC124" s="441"/>
      <c r="AD124" s="441">
        <f>V124*Y124</f>
        <v>300000</v>
      </c>
      <c r="AE124" s="134" t="s">
        <v>281</v>
      </c>
      <c r="AF124" s="2"/>
    </row>
    <row r="125" spans="1:32" s="11" customFormat="1" ht="21" customHeight="1">
      <c r="A125" s="46"/>
      <c r="B125" s="46"/>
      <c r="C125" s="46"/>
      <c r="D125" s="155">
        <f>[3]세출!E125</f>
        <v>0</v>
      </c>
      <c r="E125" s="487"/>
      <c r="F125" s="108"/>
      <c r="G125" s="108"/>
      <c r="H125" s="108"/>
      <c r="I125" s="108"/>
      <c r="J125" s="108"/>
      <c r="K125" s="108"/>
      <c r="L125" s="108"/>
      <c r="M125" s="108"/>
      <c r="N125" s="70"/>
      <c r="O125" s="442" t="s">
        <v>339</v>
      </c>
      <c r="P125" s="442"/>
      <c r="Q125" s="442"/>
      <c r="R125" s="442"/>
      <c r="S125" s="277"/>
      <c r="T125" s="295"/>
      <c r="U125" s="295"/>
      <c r="V125" s="441"/>
      <c r="W125" s="441"/>
      <c r="X125" s="441"/>
      <c r="Y125" s="441"/>
      <c r="Z125" s="441"/>
      <c r="AA125" s="441"/>
      <c r="AB125" s="441" t="s">
        <v>292</v>
      </c>
      <c r="AC125" s="441"/>
      <c r="AD125" s="441">
        <v>163000</v>
      </c>
      <c r="AE125" s="134" t="s">
        <v>281</v>
      </c>
      <c r="AF125" s="2"/>
    </row>
    <row r="126" spans="1:32" s="11" customFormat="1" ht="21" customHeight="1">
      <c r="A126" s="46"/>
      <c r="B126" s="46"/>
      <c r="C126" s="46"/>
      <c r="D126" s="155">
        <f>[3]세출!E126</f>
        <v>0</v>
      </c>
      <c r="E126" s="108"/>
      <c r="F126" s="108"/>
      <c r="G126" s="108"/>
      <c r="H126" s="108"/>
      <c r="I126" s="108"/>
      <c r="J126" s="108"/>
      <c r="K126" s="108"/>
      <c r="L126" s="108"/>
      <c r="M126" s="108"/>
      <c r="N126" s="70"/>
      <c r="O126" s="453"/>
      <c r="P126" s="453"/>
      <c r="Q126" s="453"/>
      <c r="R126" s="453"/>
      <c r="S126" s="341"/>
      <c r="T126" s="371"/>
      <c r="U126" s="295"/>
      <c r="V126" s="381"/>
      <c r="W126" s="452"/>
      <c r="X126" s="452"/>
      <c r="Y126" s="452"/>
      <c r="Z126" s="452"/>
      <c r="AA126" s="452"/>
      <c r="AB126" s="452"/>
      <c r="AC126" s="452"/>
      <c r="AD126" s="452"/>
      <c r="AE126" s="372"/>
      <c r="AF126" s="1"/>
    </row>
    <row r="127" spans="1:32" s="11" customFormat="1" ht="21" customHeight="1">
      <c r="A127" s="46"/>
      <c r="B127" s="46"/>
      <c r="C127" s="36" t="s">
        <v>89</v>
      </c>
      <c r="D127" s="157">
        <f>[3]세출!E127</f>
        <v>600</v>
      </c>
      <c r="E127" s="113">
        <f>AD127/1000</f>
        <v>800</v>
      </c>
      <c r="F127" s="112">
        <v>0</v>
      </c>
      <c r="G127" s="112">
        <f>SUMIF($AB$128:$AB$129,"7종",$AD$128:$AD$129)/1000</f>
        <v>0</v>
      </c>
      <c r="H127" s="112">
        <f>SUMIF($AB$128:$AB$129,"시비",$AD$128:$AD$129)/1000</f>
        <v>0</v>
      </c>
      <c r="I127" s="112">
        <f>SUMIF($AB$128:$AB$129,"후원",$AD$128:$AD$129)/1000</f>
        <v>0</v>
      </c>
      <c r="J127" s="112">
        <f>SUMIF($AB$128:$AB$129,"입소",$AD$128:$AD$129)/1000</f>
        <v>800</v>
      </c>
      <c r="K127" s="112">
        <f>SUMIF($AB$128:$AB$129,"법인",$AD$128:$AD$129)/1000</f>
        <v>0</v>
      </c>
      <c r="L127" s="112">
        <f>SUMIF($AB$128:$AB$129,"잡수",$AD$128:$AD$129)/1000</f>
        <v>0</v>
      </c>
      <c r="M127" s="112">
        <f>E127-D127</f>
        <v>200</v>
      </c>
      <c r="N127" s="120">
        <f>IF(D127=0,0,M127/D127)</f>
        <v>0.33333333333333331</v>
      </c>
      <c r="O127" s="298" t="s">
        <v>139</v>
      </c>
      <c r="P127" s="455"/>
      <c r="Q127" s="299"/>
      <c r="R127" s="299"/>
      <c r="S127" s="336"/>
      <c r="T127" s="300"/>
      <c r="U127" s="300"/>
      <c r="V127" s="300"/>
      <c r="W127" s="300"/>
      <c r="X127" s="300"/>
      <c r="Y127" s="301" t="s">
        <v>144</v>
      </c>
      <c r="Z127" s="301"/>
      <c r="AA127" s="301"/>
      <c r="AB127" s="301"/>
      <c r="AC127" s="302"/>
      <c r="AD127" s="302">
        <f>SUM(AD128:AD129)</f>
        <v>800000</v>
      </c>
      <c r="AE127" s="454" t="s">
        <v>25</v>
      </c>
      <c r="AF127" s="1"/>
    </row>
    <row r="128" spans="1:32" s="11" customFormat="1" ht="21" customHeight="1">
      <c r="A128" s="46"/>
      <c r="B128" s="46"/>
      <c r="C128" s="46"/>
      <c r="D128" s="109">
        <f>[3]세출!E128</f>
        <v>0</v>
      </c>
      <c r="E128" s="108"/>
      <c r="F128" s="108"/>
      <c r="G128" s="108"/>
      <c r="H128" s="108"/>
      <c r="I128" s="108"/>
      <c r="J128" s="108"/>
      <c r="K128" s="108"/>
      <c r="L128" s="108"/>
      <c r="M128" s="108"/>
      <c r="N128" s="70"/>
      <c r="O128" s="442" t="s">
        <v>422</v>
      </c>
      <c r="P128" s="442"/>
      <c r="Q128" s="441"/>
      <c r="R128" s="441"/>
      <c r="S128" s="277">
        <v>200000</v>
      </c>
      <c r="T128" s="441" t="s">
        <v>282</v>
      </c>
      <c r="U128" s="442" t="s">
        <v>283</v>
      </c>
      <c r="V128" s="441">
        <v>4</v>
      </c>
      <c r="W128" s="441" t="s">
        <v>56</v>
      </c>
      <c r="X128" s="442"/>
      <c r="Y128" s="441"/>
      <c r="Z128" s="441"/>
      <c r="AA128" s="441" t="s">
        <v>286</v>
      </c>
      <c r="AB128" s="441" t="s">
        <v>269</v>
      </c>
      <c r="AC128" s="133"/>
      <c r="AD128" s="133">
        <f>S128*V128</f>
        <v>800000</v>
      </c>
      <c r="AE128" s="134" t="s">
        <v>25</v>
      </c>
      <c r="AF128" s="1"/>
    </row>
    <row r="129" spans="1:33" s="11" customFormat="1" ht="21" customHeight="1">
      <c r="A129" s="46"/>
      <c r="B129" s="46"/>
      <c r="C129" s="46"/>
      <c r="D129" s="155">
        <f>[3]세출!E129</f>
        <v>0</v>
      </c>
      <c r="E129" s="108"/>
      <c r="F129" s="108"/>
      <c r="G129" s="108"/>
      <c r="H129" s="108"/>
      <c r="I129" s="108"/>
      <c r="J129" s="108"/>
      <c r="K129" s="108"/>
      <c r="L129" s="108"/>
      <c r="M129" s="108"/>
      <c r="N129" s="70"/>
      <c r="O129" s="442"/>
      <c r="P129" s="442"/>
      <c r="Q129" s="441"/>
      <c r="R129" s="441"/>
      <c r="S129" s="277"/>
      <c r="T129" s="441"/>
      <c r="U129" s="442"/>
      <c r="V129" s="441"/>
      <c r="W129" s="441"/>
      <c r="X129" s="442"/>
      <c r="Y129" s="441"/>
      <c r="Z129" s="441"/>
      <c r="AA129" s="441"/>
      <c r="AB129" s="441"/>
      <c r="AC129" s="133"/>
      <c r="AD129" s="133"/>
      <c r="AE129" s="134"/>
      <c r="AF129" s="1"/>
    </row>
    <row r="130" spans="1:33" s="11" customFormat="1" ht="21" customHeight="1">
      <c r="A130" s="46"/>
      <c r="B130" s="46"/>
      <c r="C130" s="36" t="s">
        <v>90</v>
      </c>
      <c r="D130" s="157">
        <f>[3]세출!E130</f>
        <v>210</v>
      </c>
      <c r="E130" s="113">
        <f>AD130/1000</f>
        <v>260</v>
      </c>
      <c r="F130" s="112">
        <v>0</v>
      </c>
      <c r="G130" s="112">
        <f>SUMIF($AB$131:$AB$133,"7종",$AD$131:$AD$133)/1000</f>
        <v>0</v>
      </c>
      <c r="H130" s="112">
        <f>SUMIF($AB$131:$AB$133,"시비",$AD$131:$AD$133)/1000</f>
        <v>0</v>
      </c>
      <c r="I130" s="112">
        <f>SUMIF($AB$131:$AB$133,"후원",$AD$131:$AD$133)/1000</f>
        <v>0</v>
      </c>
      <c r="J130" s="112">
        <f>SUMIF($AB$131:$AB$133,"입소",$AD$131:$AD$133)/1000</f>
        <v>260</v>
      </c>
      <c r="K130" s="112">
        <f>SUMIF($AB$131:$AB$133,"법인",$AD$131:$AD$133)/1000</f>
        <v>0</v>
      </c>
      <c r="L130" s="112">
        <f>SUMIF($AB$131:$AB$133,"잡수",$AD$131:$AD$133)/1000</f>
        <v>0</v>
      </c>
      <c r="M130" s="112">
        <f>E130-D130</f>
        <v>50</v>
      </c>
      <c r="N130" s="120">
        <f>IF(D130=0,0,M130/D130)</f>
        <v>0.23809523809523808</v>
      </c>
      <c r="O130" s="298" t="s">
        <v>140</v>
      </c>
      <c r="P130" s="455"/>
      <c r="Q130" s="299"/>
      <c r="R130" s="299"/>
      <c r="S130" s="336"/>
      <c r="T130" s="300"/>
      <c r="U130" s="300"/>
      <c r="V130" s="300"/>
      <c r="W130" s="300"/>
      <c r="X130" s="300"/>
      <c r="Y130" s="301" t="s">
        <v>144</v>
      </c>
      <c r="Z130" s="301"/>
      <c r="AA130" s="301"/>
      <c r="AB130" s="301"/>
      <c r="AC130" s="302"/>
      <c r="AD130" s="302">
        <f>SUM(AD131:AD132)</f>
        <v>260000</v>
      </c>
      <c r="AE130" s="454" t="s">
        <v>25</v>
      </c>
      <c r="AF130" s="1"/>
    </row>
    <row r="131" spans="1:33" s="14" customFormat="1" ht="21" customHeight="1">
      <c r="A131" s="46"/>
      <c r="B131" s="46"/>
      <c r="C131" s="46"/>
      <c r="D131" s="155">
        <f>[3]세출!E131</f>
        <v>0</v>
      </c>
      <c r="E131" s="108"/>
      <c r="F131" s="108"/>
      <c r="G131" s="108"/>
      <c r="H131" s="108"/>
      <c r="I131" s="108"/>
      <c r="J131" s="108"/>
      <c r="K131" s="108"/>
      <c r="L131" s="108"/>
      <c r="M131" s="108"/>
      <c r="N131" s="70"/>
      <c r="O131" s="442" t="s">
        <v>316</v>
      </c>
      <c r="P131" s="442"/>
      <c r="Q131" s="441"/>
      <c r="R131" s="441"/>
      <c r="S131" s="277">
        <v>40000</v>
      </c>
      <c r="T131" s="441" t="s">
        <v>282</v>
      </c>
      <c r="U131" s="442" t="s">
        <v>283</v>
      </c>
      <c r="V131" s="441">
        <v>1</v>
      </c>
      <c r="W131" s="441" t="s">
        <v>287</v>
      </c>
      <c r="X131" s="442" t="s">
        <v>283</v>
      </c>
      <c r="Y131" s="441">
        <v>4</v>
      </c>
      <c r="Z131" s="441" t="s">
        <v>284</v>
      </c>
      <c r="AA131" s="441" t="s">
        <v>286</v>
      </c>
      <c r="AB131" s="441" t="s">
        <v>419</v>
      </c>
      <c r="AC131" s="133"/>
      <c r="AD131" s="133">
        <f>S131*V131*Y131</f>
        <v>160000</v>
      </c>
      <c r="AE131" s="134" t="s">
        <v>25</v>
      </c>
      <c r="AF131" s="5"/>
    </row>
    <row r="132" spans="1:33" s="14" customFormat="1" ht="21" customHeight="1">
      <c r="A132" s="46"/>
      <c r="B132" s="46"/>
      <c r="C132" s="46"/>
      <c r="D132" s="155">
        <f>[3]세출!E132</f>
        <v>0</v>
      </c>
      <c r="E132" s="108"/>
      <c r="F132" s="108"/>
      <c r="G132" s="108"/>
      <c r="H132" s="108"/>
      <c r="I132" s="108"/>
      <c r="J132" s="108"/>
      <c r="K132" s="108"/>
      <c r="L132" s="108"/>
      <c r="M132" s="108"/>
      <c r="N132" s="278"/>
      <c r="O132" s="284" t="s">
        <v>317</v>
      </c>
      <c r="P132" s="442"/>
      <c r="Q132" s="441"/>
      <c r="R132" s="441"/>
      <c r="S132" s="277"/>
      <c r="T132" s="441"/>
      <c r="U132" s="442"/>
      <c r="V132" s="441"/>
      <c r="W132" s="441"/>
      <c r="X132" s="442"/>
      <c r="Y132" s="441"/>
      <c r="Z132" s="441"/>
      <c r="AA132" s="441"/>
      <c r="AB132" s="441" t="s">
        <v>419</v>
      </c>
      <c r="AC132" s="133"/>
      <c r="AD132" s="133">
        <v>100000</v>
      </c>
      <c r="AE132" s="134" t="s">
        <v>381</v>
      </c>
      <c r="AF132" s="5"/>
    </row>
    <row r="133" spans="1:33" s="11" customFormat="1" ht="21" customHeight="1">
      <c r="A133" s="46"/>
      <c r="B133" s="46"/>
      <c r="C133" s="59"/>
      <c r="D133" s="156">
        <f>[3]세출!E133</f>
        <v>0</v>
      </c>
      <c r="E133" s="162"/>
      <c r="F133" s="162"/>
      <c r="G133" s="162"/>
      <c r="H133" s="162"/>
      <c r="I133" s="162"/>
      <c r="J133" s="162"/>
      <c r="K133" s="162"/>
      <c r="L133" s="162"/>
      <c r="M133" s="130"/>
      <c r="N133" s="83"/>
      <c r="O133" s="377"/>
      <c r="P133" s="377"/>
      <c r="Q133" s="377"/>
      <c r="R133" s="377"/>
      <c r="S133" s="480"/>
      <c r="T133" s="131"/>
      <c r="U133" s="441"/>
      <c r="V133" s="289"/>
      <c r="W133" s="441"/>
      <c r="X133" s="441"/>
      <c r="Y133" s="441"/>
      <c r="Z133" s="441"/>
      <c r="AA133" s="441"/>
      <c r="AB133" s="441"/>
      <c r="AC133" s="441"/>
      <c r="AD133" s="441"/>
      <c r="AE133" s="134"/>
      <c r="AF133" s="1"/>
    </row>
    <row r="134" spans="1:33" s="11" customFormat="1" ht="21" customHeight="1">
      <c r="A134" s="46"/>
      <c r="B134" s="46"/>
      <c r="C134" s="46" t="s">
        <v>91</v>
      </c>
      <c r="D134" s="128">
        <f>[3]세출!E134</f>
        <v>180</v>
      </c>
      <c r="E134" s="113">
        <f>AD134/1000</f>
        <v>180</v>
      </c>
      <c r="F134" s="108">
        <v>0</v>
      </c>
      <c r="G134" s="108">
        <f>SUMIF($AB$135:$AB$136,"7종",$AD$135:$AD$136)/1000</f>
        <v>0</v>
      </c>
      <c r="H134" s="108">
        <f>SUMIF($AB$135:$AB$136,"시비",$AD$135:$AD$136)/1000</f>
        <v>0</v>
      </c>
      <c r="I134" s="108">
        <f>SUMIF($AB$135:$AB$136,"후원",$AD$135:$AD$136)/1000</f>
        <v>0</v>
      </c>
      <c r="J134" s="108">
        <f>SUMIF($AB$135:$AB$136,"입소",$AD$135:$AD$136)/1000</f>
        <v>180</v>
      </c>
      <c r="K134" s="108">
        <f>SUMIF($AB$135:$AB$136,"법인",$AD$135:$AD$136)/1000</f>
        <v>0</v>
      </c>
      <c r="L134" s="108">
        <f>SUMIF($AB$135:$AB$136,"잡수",$AD$135:$AD$136)/1000</f>
        <v>0</v>
      </c>
      <c r="M134" s="108">
        <f>E134-D134</f>
        <v>0</v>
      </c>
      <c r="N134" s="70">
        <f>IF(D134=0,0,M134/D134)</f>
        <v>0</v>
      </c>
      <c r="O134" s="298" t="s">
        <v>96</v>
      </c>
      <c r="P134" s="299"/>
      <c r="Q134" s="299"/>
      <c r="R134" s="299"/>
      <c r="S134" s="336"/>
      <c r="T134" s="300"/>
      <c r="U134" s="300"/>
      <c r="V134" s="300"/>
      <c r="W134" s="300"/>
      <c r="X134" s="300"/>
      <c r="Y134" s="301" t="s">
        <v>144</v>
      </c>
      <c r="Z134" s="301"/>
      <c r="AA134" s="301"/>
      <c r="AB134" s="301"/>
      <c r="AC134" s="302"/>
      <c r="AD134" s="302">
        <f>ROUND(SUM(AD135:AD135),-3)</f>
        <v>180000</v>
      </c>
      <c r="AE134" s="454" t="s">
        <v>25</v>
      </c>
      <c r="AF134" s="1"/>
    </row>
    <row r="135" spans="1:33" s="11" customFormat="1" ht="21" customHeight="1">
      <c r="A135" s="46"/>
      <c r="B135" s="46"/>
      <c r="C135" s="46"/>
      <c r="D135" s="155">
        <f>[3]세출!E135</f>
        <v>0</v>
      </c>
      <c r="E135" s="108"/>
      <c r="F135" s="108"/>
      <c r="G135" s="108"/>
      <c r="H135" s="108"/>
      <c r="I135" s="108"/>
      <c r="J135" s="108"/>
      <c r="K135" s="108"/>
      <c r="L135" s="108"/>
      <c r="M135" s="108"/>
      <c r="N135" s="70"/>
      <c r="O135" s="442" t="s">
        <v>340</v>
      </c>
      <c r="P135" s="442"/>
      <c r="Q135" s="442"/>
      <c r="R135" s="442"/>
      <c r="S135" s="277">
        <v>30000</v>
      </c>
      <c r="T135" s="295" t="s">
        <v>282</v>
      </c>
      <c r="U135" s="295" t="s">
        <v>26</v>
      </c>
      <c r="V135" s="441">
        <v>6</v>
      </c>
      <c r="W135" s="441" t="s">
        <v>285</v>
      </c>
      <c r="X135" s="289"/>
      <c r="Y135" s="375"/>
      <c r="Z135" s="365"/>
      <c r="AA135" s="376" t="s">
        <v>286</v>
      </c>
      <c r="AB135" s="441" t="s">
        <v>419</v>
      </c>
      <c r="AC135" s="441"/>
      <c r="AD135" s="441">
        <f>S135*V135</f>
        <v>180000</v>
      </c>
      <c r="AE135" s="134" t="s">
        <v>25</v>
      </c>
      <c r="AF135" s="1"/>
    </row>
    <row r="136" spans="1:33" s="11" customFormat="1" ht="21" customHeight="1">
      <c r="A136" s="46"/>
      <c r="B136" s="46"/>
      <c r="C136" s="46"/>
      <c r="D136" s="155">
        <f>[3]세출!E136</f>
        <v>0</v>
      </c>
      <c r="E136" s="108"/>
      <c r="F136" s="108"/>
      <c r="G136" s="108"/>
      <c r="H136" s="108"/>
      <c r="I136" s="108"/>
      <c r="J136" s="108"/>
      <c r="K136" s="108"/>
      <c r="L136" s="108"/>
      <c r="M136" s="108"/>
      <c r="N136" s="70"/>
      <c r="O136" s="442"/>
      <c r="P136" s="442"/>
      <c r="Q136" s="442"/>
      <c r="R136" s="442"/>
      <c r="S136" s="277"/>
      <c r="T136" s="295"/>
      <c r="U136" s="442"/>
      <c r="V136" s="441"/>
      <c r="W136" s="442"/>
      <c r="X136" s="441"/>
      <c r="Y136" s="441"/>
      <c r="Z136" s="441"/>
      <c r="AA136" s="441"/>
      <c r="AB136" s="441"/>
      <c r="AC136" s="441"/>
      <c r="AD136" s="441"/>
      <c r="AE136" s="134"/>
      <c r="AF136" s="1"/>
    </row>
    <row r="137" spans="1:33" s="11" customFormat="1" ht="21" customHeight="1">
      <c r="A137" s="46"/>
      <c r="B137" s="36" t="s">
        <v>97</v>
      </c>
      <c r="C137" s="169" t="s">
        <v>148</v>
      </c>
      <c r="D137" s="170">
        <f>[3]세출!E137</f>
        <v>3605</v>
      </c>
      <c r="E137" s="170">
        <f t="shared" ref="E137:L137" si="13">SUM(E138,E141,E144,E147,E152,E158,E162)</f>
        <v>3645</v>
      </c>
      <c r="F137" s="170">
        <f t="shared" si="13"/>
        <v>0</v>
      </c>
      <c r="G137" s="170">
        <f t="shared" si="13"/>
        <v>0</v>
      </c>
      <c r="H137" s="170">
        <f t="shared" si="13"/>
        <v>0</v>
      </c>
      <c r="I137" s="170">
        <f t="shared" si="13"/>
        <v>1000</v>
      </c>
      <c r="J137" s="170">
        <f t="shared" si="13"/>
        <v>2645</v>
      </c>
      <c r="K137" s="170">
        <f t="shared" si="13"/>
        <v>0</v>
      </c>
      <c r="L137" s="170">
        <f t="shared" si="13"/>
        <v>0</v>
      </c>
      <c r="M137" s="170">
        <f>E137-D137</f>
        <v>40</v>
      </c>
      <c r="N137" s="171">
        <f>IF(D137=0,0,M137/D137)</f>
        <v>1.1095700416088766E-2</v>
      </c>
      <c r="O137" s="172"/>
      <c r="P137" s="172"/>
      <c r="Q137" s="172"/>
      <c r="R137" s="172"/>
      <c r="S137" s="450"/>
      <c r="T137" s="173"/>
      <c r="U137" s="173"/>
      <c r="V137" s="173"/>
      <c r="W137" s="173"/>
      <c r="X137" s="173"/>
      <c r="Y137" s="173" t="s">
        <v>28</v>
      </c>
      <c r="Z137" s="173"/>
      <c r="AA137" s="173"/>
      <c r="AB137" s="173"/>
      <c r="AC137" s="175"/>
      <c r="AD137" s="175">
        <f>SUM(AD138,AD141,AD144,AD147,AD152,AD158,AD162)</f>
        <v>3645000</v>
      </c>
      <c r="AE137" s="174" t="s">
        <v>25</v>
      </c>
      <c r="AF137" s="1"/>
    </row>
    <row r="138" spans="1:33" s="15" customFormat="1" ht="24" customHeight="1">
      <c r="A138" s="46"/>
      <c r="B138" s="46" t="s">
        <v>294</v>
      </c>
      <c r="C138" s="36" t="s">
        <v>341</v>
      </c>
      <c r="D138" s="412">
        <f>[3]세출!E138</f>
        <v>200</v>
      </c>
      <c r="E138" s="113">
        <f>AD138/1000</f>
        <v>200</v>
      </c>
      <c r="F138" s="108">
        <f>SUMIF($AB$139:$AB$140,"보조",$AD$139:$AD$140)/1000</f>
        <v>0</v>
      </c>
      <c r="G138" s="108">
        <f>SUMIF($AB$139:$AB$140,"7종",$AD$139:$AD$140)/1000</f>
        <v>0</v>
      </c>
      <c r="H138" s="108">
        <f>SUMIF($AB$139:$AB$140,"시비",$AD$139:$AD$140)/1000</f>
        <v>0</v>
      </c>
      <c r="I138" s="108">
        <f>SUMIF($AB$139:$AB$140,"후원",$AD$139:$AD$140)/1000</f>
        <v>0</v>
      </c>
      <c r="J138" s="108">
        <f>SUMIF($AB$139:$AB$140,"입소",$AD$139:$AD$140)/1000</f>
        <v>200</v>
      </c>
      <c r="K138" s="108">
        <f>SUMIF($AB$139:$AB$140,"법인",$AD$139:$AD$140)/1000</f>
        <v>0</v>
      </c>
      <c r="L138" s="108">
        <f>SUMIF($AB$139:$AB$140,"잡수",$AD$139:$AD$140)/1000</f>
        <v>0</v>
      </c>
      <c r="M138" s="108">
        <f>E138-D138</f>
        <v>0</v>
      </c>
      <c r="N138" s="70">
        <f>IF(D138=0,0,M138/D138)</f>
        <v>0</v>
      </c>
      <c r="O138" s="401"/>
      <c r="P138" s="161"/>
      <c r="Q138" s="161"/>
      <c r="R138" s="161"/>
      <c r="S138" s="481"/>
      <c r="T138" s="87"/>
      <c r="U138" s="87"/>
      <c r="V138" s="87"/>
      <c r="W138" s="145" t="s">
        <v>138</v>
      </c>
      <c r="X138" s="145"/>
      <c r="Y138" s="145"/>
      <c r="Z138" s="145"/>
      <c r="AA138" s="145"/>
      <c r="AB138" s="145"/>
      <c r="AC138" s="146"/>
      <c r="AD138" s="146">
        <f>SUM(AD139:AD139)</f>
        <v>200000</v>
      </c>
      <c r="AE138" s="147" t="s">
        <v>25</v>
      </c>
      <c r="AF138" s="16"/>
    </row>
    <row r="139" spans="1:33" s="15" customFormat="1" ht="24" customHeight="1">
      <c r="A139" s="46"/>
      <c r="B139" s="46"/>
      <c r="C139" s="46" t="s">
        <v>342</v>
      </c>
      <c r="D139" s="158">
        <f>[3]세출!E139</f>
        <v>0</v>
      </c>
      <c r="E139" s="108"/>
      <c r="F139" s="108"/>
      <c r="G139" s="108"/>
      <c r="H139" s="108"/>
      <c r="I139" s="108"/>
      <c r="J139" s="108"/>
      <c r="K139" s="108"/>
      <c r="L139" s="108"/>
      <c r="M139" s="108"/>
      <c r="N139" s="70"/>
      <c r="O139" s="442" t="s">
        <v>343</v>
      </c>
      <c r="P139" s="400"/>
      <c r="Q139" s="400"/>
      <c r="R139" s="400"/>
      <c r="S139" s="277">
        <v>50000</v>
      </c>
      <c r="T139" s="295" t="s">
        <v>57</v>
      </c>
      <c r="U139" s="295" t="s">
        <v>26</v>
      </c>
      <c r="V139" s="441">
        <v>4</v>
      </c>
      <c r="W139" s="441" t="s">
        <v>344</v>
      </c>
      <c r="X139" s="295" t="s">
        <v>26</v>
      </c>
      <c r="Y139" s="375">
        <v>1</v>
      </c>
      <c r="Z139" s="365" t="s">
        <v>383</v>
      </c>
      <c r="AA139" s="376" t="s">
        <v>53</v>
      </c>
      <c r="AB139" s="441" t="s">
        <v>324</v>
      </c>
      <c r="AC139" s="441"/>
      <c r="AD139" s="441">
        <f>S139*V139*Y139</f>
        <v>200000</v>
      </c>
      <c r="AE139" s="134" t="s">
        <v>25</v>
      </c>
      <c r="AF139" s="16"/>
    </row>
    <row r="140" spans="1:33" s="15" customFormat="1" ht="24" customHeight="1">
      <c r="A140" s="46"/>
      <c r="B140" s="46"/>
      <c r="C140" s="59"/>
      <c r="D140" s="156">
        <f>[3]세출!E140</f>
        <v>0</v>
      </c>
      <c r="E140" s="110"/>
      <c r="F140" s="110"/>
      <c r="G140" s="110"/>
      <c r="H140" s="110"/>
      <c r="I140" s="110"/>
      <c r="J140" s="110"/>
      <c r="K140" s="110"/>
      <c r="L140" s="110"/>
      <c r="M140" s="110"/>
      <c r="N140" s="83"/>
      <c r="O140" s="399"/>
      <c r="P140" s="399"/>
      <c r="Q140" s="399"/>
      <c r="R140" s="399"/>
      <c r="S140" s="341"/>
      <c r="T140" s="398"/>
      <c r="U140" s="399"/>
      <c r="V140" s="398"/>
      <c r="W140" s="398"/>
      <c r="X140" s="398"/>
      <c r="Y140" s="398"/>
      <c r="Z140" s="398"/>
      <c r="AA140" s="398"/>
      <c r="AB140" s="398"/>
      <c r="AC140" s="398"/>
      <c r="AD140" s="398"/>
      <c r="AE140" s="372"/>
      <c r="AF140" s="16"/>
    </row>
    <row r="141" spans="1:33" s="15" customFormat="1" ht="24" customHeight="1">
      <c r="A141" s="46"/>
      <c r="B141" s="46"/>
      <c r="C141" s="36" t="s">
        <v>345</v>
      </c>
      <c r="D141" s="157">
        <f>[3]세출!E141</f>
        <v>200</v>
      </c>
      <c r="E141" s="113">
        <f>AD141/1000</f>
        <v>200</v>
      </c>
      <c r="F141" s="108">
        <f>SUMIF($AB$142:$AB$143,"보조",$AD$142:$AD$143)/1000</f>
        <v>0</v>
      </c>
      <c r="G141" s="108">
        <f>SUMIF($AB$142:$AB$143,"7종",$AD$142:$AD$143)/1000</f>
        <v>0</v>
      </c>
      <c r="H141" s="108">
        <f>SUMIF($AB$142:$AB$143,"시비",$AD$142:$AD$143)/1000</f>
        <v>0</v>
      </c>
      <c r="I141" s="108">
        <f>SUMIF($AB$142:$AB$143,"후원",$AD$142:$AD$143)/1000</f>
        <v>0</v>
      </c>
      <c r="J141" s="108">
        <f>SUMIF($AB$142:$AB$143,"입소",$AD$142:$AD$143)/1000</f>
        <v>200</v>
      </c>
      <c r="K141" s="108">
        <f>SUMIF($AB$142:$AB$143,"법인",$AD$142:$AD$143)/1000</f>
        <v>0</v>
      </c>
      <c r="L141" s="108">
        <f>SUMIF($AB$142:$AB$143,"잡수",$AD$142:$AD$143)/1000</f>
        <v>0</v>
      </c>
      <c r="M141" s="108">
        <f>E141-D141</f>
        <v>0</v>
      </c>
      <c r="N141" s="70">
        <f>IF(D141=0,0,M141/D141)</f>
        <v>0</v>
      </c>
      <c r="O141" s="287"/>
      <c r="P141" s="299"/>
      <c r="Q141" s="299"/>
      <c r="R141" s="405"/>
      <c r="S141" s="482"/>
      <c r="T141" s="405"/>
      <c r="U141" s="405"/>
      <c r="V141" s="405"/>
      <c r="W141" s="406" t="s">
        <v>138</v>
      </c>
      <c r="X141" s="406"/>
      <c r="Y141" s="406"/>
      <c r="Z141" s="406"/>
      <c r="AA141" s="406"/>
      <c r="AB141" s="406"/>
      <c r="AC141" s="407"/>
      <c r="AD141" s="407">
        <f>SUM(AD142:AD142)</f>
        <v>200000</v>
      </c>
      <c r="AE141" s="408" t="s">
        <v>25</v>
      </c>
      <c r="AF141" s="16"/>
    </row>
    <row r="142" spans="1:33" s="15" customFormat="1" ht="24" customHeight="1">
      <c r="A142" s="46"/>
      <c r="B142" s="46"/>
      <c r="C142" s="46" t="s">
        <v>294</v>
      </c>
      <c r="D142" s="158">
        <f>[3]세출!E142</f>
        <v>0</v>
      </c>
      <c r="E142" s="108"/>
      <c r="F142" s="108"/>
      <c r="G142" s="108"/>
      <c r="H142" s="108"/>
      <c r="I142" s="108"/>
      <c r="J142" s="108"/>
      <c r="K142" s="108"/>
      <c r="L142" s="108"/>
      <c r="M142" s="108"/>
      <c r="N142" s="70"/>
      <c r="O142" s="442" t="s">
        <v>346</v>
      </c>
      <c r="P142" s="400"/>
      <c r="Q142" s="400"/>
      <c r="R142" s="400"/>
      <c r="S142" s="277">
        <v>200000</v>
      </c>
      <c r="T142" s="295" t="s">
        <v>57</v>
      </c>
      <c r="U142" s="295" t="s">
        <v>26</v>
      </c>
      <c r="V142" s="441">
        <v>1</v>
      </c>
      <c r="W142" s="442" t="s">
        <v>72</v>
      </c>
      <c r="X142" s="441"/>
      <c r="Y142" s="378"/>
      <c r="Z142" s="378" t="s">
        <v>53</v>
      </c>
      <c r="AA142" s="378"/>
      <c r="AB142" s="378" t="s">
        <v>269</v>
      </c>
      <c r="AC142" s="378"/>
      <c r="AD142" s="379">
        <f>S142*V142</f>
        <v>200000</v>
      </c>
      <c r="AE142" s="380" t="s">
        <v>57</v>
      </c>
      <c r="AF142" s="16"/>
    </row>
    <row r="143" spans="1:33" s="15" customFormat="1" ht="24" customHeight="1">
      <c r="A143" s="46"/>
      <c r="B143" s="46"/>
      <c r="C143" s="59"/>
      <c r="D143" s="159">
        <f>[3]세출!E143</f>
        <v>0</v>
      </c>
      <c r="E143" s="110"/>
      <c r="F143" s="110"/>
      <c r="G143" s="110"/>
      <c r="H143" s="110"/>
      <c r="I143" s="110"/>
      <c r="J143" s="110"/>
      <c r="K143" s="110"/>
      <c r="L143" s="110"/>
      <c r="M143" s="110"/>
      <c r="N143" s="83"/>
      <c r="O143" s="399"/>
      <c r="P143" s="399"/>
      <c r="Q143" s="399"/>
      <c r="R143" s="399"/>
      <c r="S143" s="356"/>
      <c r="T143" s="398"/>
      <c r="U143" s="398"/>
      <c r="V143" s="398"/>
      <c r="W143" s="398"/>
      <c r="X143" s="398"/>
      <c r="Y143" s="398"/>
      <c r="Z143" s="398"/>
      <c r="AA143" s="398"/>
      <c r="AB143" s="398"/>
      <c r="AC143" s="381"/>
      <c r="AD143" s="381"/>
      <c r="AE143" s="372"/>
      <c r="AF143" s="16"/>
      <c r="AG143" s="16"/>
    </row>
    <row r="144" spans="1:33" s="15" customFormat="1" ht="24" customHeight="1">
      <c r="A144" s="46"/>
      <c r="B144" s="46"/>
      <c r="C144" s="36" t="s">
        <v>347</v>
      </c>
      <c r="D144" s="412">
        <f>[3]세출!E144</f>
        <v>300</v>
      </c>
      <c r="E144" s="113">
        <f>AD144/1000</f>
        <v>300</v>
      </c>
      <c r="F144" s="112">
        <f>SUMIF($AB$145:$AB$146,"보조",$AD$145:$AD$146)/1000</f>
        <v>0</v>
      </c>
      <c r="G144" s="112">
        <f>SUMIF($AB$145:$AB$146,"7종",$AD$145:$AD$146)/1000</f>
        <v>0</v>
      </c>
      <c r="H144" s="112">
        <f>SUMIF($AB$145:$AB$146,"시비",$AD$145:$AD$146)/1000</f>
        <v>0</v>
      </c>
      <c r="I144" s="112">
        <f>SUMIF($AB$145:$AB$146,"후원",$AD$145:$AD$146)/1000</f>
        <v>0</v>
      </c>
      <c r="J144" s="112">
        <f>SUMIF($AB$145:$AB$146,"입소",$AD$145:$AD$146)/1000</f>
        <v>300</v>
      </c>
      <c r="K144" s="112">
        <f>SUMIF($AB$145:$AB$146,"법인",$AD$145:$AD$146)/1000</f>
        <v>0</v>
      </c>
      <c r="L144" s="112">
        <f>SUMIF($AB$145:$AB$146,"잡수",$AD$145:$AD$146)/1000</f>
        <v>0</v>
      </c>
      <c r="M144" s="112">
        <f>E144-D144</f>
        <v>0</v>
      </c>
      <c r="N144" s="120">
        <f>IF(D144=0,0,M144/D144)</f>
        <v>0</v>
      </c>
      <c r="O144" s="287"/>
      <c r="P144" s="299"/>
      <c r="Q144" s="299"/>
      <c r="R144" s="405"/>
      <c r="S144" s="482"/>
      <c r="T144" s="405"/>
      <c r="U144" s="405"/>
      <c r="V144" s="405"/>
      <c r="W144" s="406" t="s">
        <v>138</v>
      </c>
      <c r="X144" s="406"/>
      <c r="Y144" s="406"/>
      <c r="Z144" s="406"/>
      <c r="AA144" s="406"/>
      <c r="AB144" s="406"/>
      <c r="AC144" s="407"/>
      <c r="AD144" s="407">
        <f>SUM(AD145:AD145)</f>
        <v>300000</v>
      </c>
      <c r="AE144" s="408" t="s">
        <v>25</v>
      </c>
      <c r="AF144" s="16"/>
      <c r="AG144" s="16"/>
    </row>
    <row r="145" spans="1:33" s="15" customFormat="1" ht="24" customHeight="1">
      <c r="A145" s="46"/>
      <c r="B145" s="46"/>
      <c r="C145" s="46" t="s">
        <v>342</v>
      </c>
      <c r="D145" s="158">
        <f>[3]세출!E145</f>
        <v>0</v>
      </c>
      <c r="E145" s="108"/>
      <c r="F145" s="108"/>
      <c r="G145" s="108"/>
      <c r="H145" s="108"/>
      <c r="I145" s="108"/>
      <c r="J145" s="108"/>
      <c r="K145" s="108"/>
      <c r="L145" s="108"/>
      <c r="M145" s="108"/>
      <c r="N145" s="70"/>
      <c r="O145" s="442" t="s">
        <v>348</v>
      </c>
      <c r="P145" s="373"/>
      <c r="Q145" s="373"/>
      <c r="R145" s="370"/>
      <c r="S145" s="277">
        <v>10000</v>
      </c>
      <c r="T145" s="441" t="s">
        <v>57</v>
      </c>
      <c r="U145" s="442" t="s">
        <v>58</v>
      </c>
      <c r="V145" s="441">
        <v>5</v>
      </c>
      <c r="W145" s="441" t="s">
        <v>56</v>
      </c>
      <c r="X145" s="442" t="s">
        <v>58</v>
      </c>
      <c r="Y145" s="473">
        <v>6</v>
      </c>
      <c r="Z145" s="289" t="s">
        <v>72</v>
      </c>
      <c r="AA145" s="289" t="s">
        <v>53</v>
      </c>
      <c r="AB145" s="441" t="s">
        <v>269</v>
      </c>
      <c r="AC145" s="133"/>
      <c r="AD145" s="441">
        <f>S145*V145*Y145</f>
        <v>300000</v>
      </c>
      <c r="AE145" s="134" t="s">
        <v>57</v>
      </c>
      <c r="AF145" s="16"/>
      <c r="AG145" s="16"/>
    </row>
    <row r="146" spans="1:33" s="15" customFormat="1" ht="24" customHeight="1">
      <c r="A146" s="46"/>
      <c r="B146" s="46"/>
      <c r="C146" s="59"/>
      <c r="D146" s="156">
        <f>[3]세출!E146</f>
        <v>0</v>
      </c>
      <c r="E146" s="110"/>
      <c r="F146" s="110"/>
      <c r="G146" s="110"/>
      <c r="H146" s="110"/>
      <c r="I146" s="110"/>
      <c r="J146" s="110"/>
      <c r="K146" s="110"/>
      <c r="L146" s="110"/>
      <c r="M146" s="110"/>
      <c r="N146" s="83"/>
      <c r="O146" s="399"/>
      <c r="P146" s="399"/>
      <c r="Q146" s="399"/>
      <c r="R146" s="399"/>
      <c r="S146" s="356"/>
      <c r="T146" s="398"/>
      <c r="U146" s="398"/>
      <c r="V146" s="398"/>
      <c r="W146" s="398"/>
      <c r="X146" s="398"/>
      <c r="Y146" s="398"/>
      <c r="Z146" s="398"/>
      <c r="AA146" s="398"/>
      <c r="AB146" s="398"/>
      <c r="AC146" s="381"/>
      <c r="AD146" s="409"/>
      <c r="AE146" s="372"/>
      <c r="AF146" s="16"/>
    </row>
    <row r="147" spans="1:33" s="15" customFormat="1" ht="24" customHeight="1">
      <c r="A147" s="46"/>
      <c r="B147" s="46"/>
      <c r="C147" s="36" t="s">
        <v>442</v>
      </c>
      <c r="D147" s="157">
        <f>[3]세출!E147</f>
        <v>2050</v>
      </c>
      <c r="E147" s="113">
        <f>AD147/1000</f>
        <v>2050</v>
      </c>
      <c r="F147" s="112">
        <f>SUMIF($AB$148:$AB$151,"보조",$AD$148:$AD$151)/1000</f>
        <v>0</v>
      </c>
      <c r="G147" s="112">
        <f>SUMIF($AB$148:$AB$151,"7종",$AD$148:$AD$151)/1000</f>
        <v>0</v>
      </c>
      <c r="H147" s="112">
        <f>SUMIF($AB$148:$AB$151,"시비",$AD$148:$AD$151)/1000</f>
        <v>0</v>
      </c>
      <c r="I147" s="112">
        <f>SUMIF($AB$148:$AB$151,"후원",$AD$148:$AD$151)/1000</f>
        <v>1000</v>
      </c>
      <c r="J147" s="112">
        <f>SUMIF($AB$148:$AB$151,"입소",$AD$148:$AD$151)/1000</f>
        <v>1050</v>
      </c>
      <c r="K147" s="112">
        <f>SUMIF($AB$148:$AB$151,"법인",$AD$148:$AD$151)/1000</f>
        <v>0</v>
      </c>
      <c r="L147" s="112">
        <f>SUMIF($AB$148:$AB$151,"잡수",$AD$148:$AD$151)/1000</f>
        <v>0</v>
      </c>
      <c r="M147" s="112">
        <f>E147-D147</f>
        <v>0</v>
      </c>
      <c r="N147" s="120">
        <f>IF(D147=0,0,M147/D147)</f>
        <v>0</v>
      </c>
      <c r="O147" s="287"/>
      <c r="P147" s="299"/>
      <c r="Q147" s="299"/>
      <c r="R147" s="405"/>
      <c r="S147" s="482"/>
      <c r="T147" s="405"/>
      <c r="U147" s="405"/>
      <c r="V147" s="405"/>
      <c r="W147" s="406" t="s">
        <v>138</v>
      </c>
      <c r="X147" s="406"/>
      <c r="Y147" s="406"/>
      <c r="Z147" s="406"/>
      <c r="AA147" s="406"/>
      <c r="AB147" s="406"/>
      <c r="AC147" s="407"/>
      <c r="AD147" s="407">
        <f>SUM(AD148:AD150)</f>
        <v>2050000</v>
      </c>
      <c r="AE147" s="408" t="s">
        <v>25</v>
      </c>
      <c r="AF147" s="16"/>
    </row>
    <row r="148" spans="1:33" s="15" customFormat="1" ht="24" customHeight="1">
      <c r="A148" s="46"/>
      <c r="B148" s="46"/>
      <c r="C148" s="46"/>
      <c r="D148" s="155">
        <f>[3]세출!E148</f>
        <v>0</v>
      </c>
      <c r="E148" s="108"/>
      <c r="F148" s="108"/>
      <c r="G148" s="108"/>
      <c r="H148" s="108"/>
      <c r="I148" s="108"/>
      <c r="J148" s="108"/>
      <c r="K148" s="108"/>
      <c r="L148" s="108"/>
      <c r="M148" s="108"/>
      <c r="N148" s="70"/>
      <c r="O148" s="377" t="s">
        <v>349</v>
      </c>
      <c r="P148" s="377"/>
      <c r="Q148" s="377"/>
      <c r="R148" s="377"/>
      <c r="S148" s="277">
        <v>250000</v>
      </c>
      <c r="T148" s="295" t="s">
        <v>57</v>
      </c>
      <c r="U148" s="295" t="s">
        <v>26</v>
      </c>
      <c r="V148" s="441">
        <v>4</v>
      </c>
      <c r="W148" s="442" t="s">
        <v>56</v>
      </c>
      <c r="X148" s="441"/>
      <c r="Y148" s="378"/>
      <c r="Z148" s="378" t="s">
        <v>53</v>
      </c>
      <c r="AA148" s="378"/>
      <c r="AB148" s="378" t="s">
        <v>269</v>
      </c>
      <c r="AC148" s="378"/>
      <c r="AD148" s="379">
        <f t="shared" ref="AD148:AD150" si="14">S148*V148</f>
        <v>1000000</v>
      </c>
      <c r="AE148" s="380" t="s">
        <v>57</v>
      </c>
      <c r="AF148" s="16"/>
    </row>
    <row r="149" spans="1:33" s="15" customFormat="1" ht="24" customHeight="1">
      <c r="A149" s="46"/>
      <c r="B149" s="46"/>
      <c r="C149" s="46"/>
      <c r="D149" s="155">
        <f>[3]세출!E149</f>
        <v>0</v>
      </c>
      <c r="E149" s="108"/>
      <c r="F149" s="108"/>
      <c r="G149" s="108"/>
      <c r="H149" s="108"/>
      <c r="I149" s="108"/>
      <c r="J149" s="108"/>
      <c r="K149" s="108"/>
      <c r="L149" s="108"/>
      <c r="M149" s="108"/>
      <c r="N149" s="70"/>
      <c r="O149" s="377" t="s">
        <v>443</v>
      </c>
      <c r="P149" s="377"/>
      <c r="Q149" s="377"/>
      <c r="R149" s="377"/>
      <c r="S149" s="277">
        <v>10000</v>
      </c>
      <c r="T149" s="295" t="s">
        <v>57</v>
      </c>
      <c r="U149" s="295" t="s">
        <v>26</v>
      </c>
      <c r="V149" s="441">
        <v>5</v>
      </c>
      <c r="W149" s="442" t="s">
        <v>56</v>
      </c>
      <c r="X149" s="441"/>
      <c r="Y149" s="378"/>
      <c r="Z149" s="378" t="s">
        <v>53</v>
      </c>
      <c r="AA149" s="378"/>
      <c r="AB149" s="378" t="s">
        <v>269</v>
      </c>
      <c r="AC149" s="378"/>
      <c r="AD149" s="379">
        <f t="shared" si="14"/>
        <v>50000</v>
      </c>
      <c r="AE149" s="380" t="s">
        <v>57</v>
      </c>
      <c r="AF149" s="16"/>
    </row>
    <row r="150" spans="1:33" s="15" customFormat="1" ht="24" customHeight="1">
      <c r="A150" s="46"/>
      <c r="B150" s="46"/>
      <c r="C150" s="46"/>
      <c r="D150" s="155">
        <f>[3]세출!E150</f>
        <v>0</v>
      </c>
      <c r="E150" s="108"/>
      <c r="F150" s="108"/>
      <c r="G150" s="108"/>
      <c r="H150" s="108"/>
      <c r="I150" s="108"/>
      <c r="J150" s="108"/>
      <c r="K150" s="108"/>
      <c r="L150" s="108"/>
      <c r="M150" s="108"/>
      <c r="N150" s="70"/>
      <c r="O150" s="377" t="s">
        <v>473</v>
      </c>
      <c r="P150" s="377"/>
      <c r="Q150" s="377"/>
      <c r="R150" s="377"/>
      <c r="S150" s="277">
        <v>1000000</v>
      </c>
      <c r="T150" s="295" t="s">
        <v>57</v>
      </c>
      <c r="U150" s="295" t="s">
        <v>26</v>
      </c>
      <c r="V150" s="441">
        <v>1</v>
      </c>
      <c r="W150" s="442" t="s">
        <v>56</v>
      </c>
      <c r="X150" s="441"/>
      <c r="Y150" s="378"/>
      <c r="Z150" s="378" t="s">
        <v>53</v>
      </c>
      <c r="AA150" s="378"/>
      <c r="AB150" s="378" t="s">
        <v>474</v>
      </c>
      <c r="AC150" s="378"/>
      <c r="AD150" s="379">
        <f t="shared" si="14"/>
        <v>1000000</v>
      </c>
      <c r="AE150" s="380" t="s">
        <v>57</v>
      </c>
      <c r="AF150" s="16"/>
    </row>
    <row r="151" spans="1:33" s="15" customFormat="1" ht="24" customHeight="1">
      <c r="A151" s="46"/>
      <c r="B151" s="46"/>
      <c r="C151" s="59"/>
      <c r="D151" s="156">
        <f>[3]세출!E151</f>
        <v>0</v>
      </c>
      <c r="E151" s="110"/>
      <c r="F151" s="110"/>
      <c r="G151" s="110"/>
      <c r="H151" s="110"/>
      <c r="I151" s="110"/>
      <c r="J151" s="110"/>
      <c r="K151" s="110"/>
      <c r="L151" s="110"/>
      <c r="M151" s="110"/>
      <c r="N151" s="83"/>
      <c r="O151" s="402"/>
      <c r="P151" s="402"/>
      <c r="Q151" s="402"/>
      <c r="R151" s="402"/>
      <c r="S151" s="341"/>
      <c r="T151" s="371"/>
      <c r="U151" s="371"/>
      <c r="V151" s="398"/>
      <c r="W151" s="399"/>
      <c r="X151" s="398"/>
      <c r="Y151" s="402"/>
      <c r="Z151" s="402"/>
      <c r="AA151" s="402"/>
      <c r="AB151" s="402"/>
      <c r="AC151" s="402"/>
      <c r="AD151" s="403"/>
      <c r="AE151" s="404"/>
      <c r="AF151" s="16"/>
    </row>
    <row r="152" spans="1:33" s="15" customFormat="1" ht="24" customHeight="1">
      <c r="A152" s="46"/>
      <c r="B152" s="46"/>
      <c r="C152" s="36" t="s">
        <v>350</v>
      </c>
      <c r="D152" s="157">
        <f>[3]세출!E152</f>
        <v>430</v>
      </c>
      <c r="E152" s="113">
        <f>AD152/1000</f>
        <v>430</v>
      </c>
      <c r="F152" s="112">
        <f>SUMIF($AB$153:$AB$157,"보조",$AD$153:$AD$157)/1000</f>
        <v>0</v>
      </c>
      <c r="G152" s="112">
        <f>SUMIF($AB$153:$AB$157,"7종",$AD$153:$AD$157)/1000</f>
        <v>0</v>
      </c>
      <c r="H152" s="112">
        <f>SUMIF($AB$153:$AB$157,"시비",$AD$153:$AD$157)/1000</f>
        <v>0</v>
      </c>
      <c r="I152" s="112">
        <f>SUMIF($AB$153:$AB$157,"후원",$AD$153:$AD$157)/1000</f>
        <v>0</v>
      </c>
      <c r="J152" s="112">
        <f>SUMIF($AB$153:$AB$157,"입소",$AD$153:$AD$157)/1000</f>
        <v>430</v>
      </c>
      <c r="K152" s="112">
        <f>SUMIF($AB$153:$AB$157,"법인",$AD$153:$AD$157)/1000</f>
        <v>0</v>
      </c>
      <c r="L152" s="112">
        <f>SUMIF($AB$153:$AB$157,"잡수",$AD$153:$AD$157)/1000</f>
        <v>0</v>
      </c>
      <c r="M152" s="112">
        <f>E152-D152</f>
        <v>0</v>
      </c>
      <c r="N152" s="120">
        <f>IF(D152=0,0,M152/D152)</f>
        <v>0</v>
      </c>
      <c r="O152" s="287"/>
      <c r="P152" s="299"/>
      <c r="Q152" s="299"/>
      <c r="R152" s="405"/>
      <c r="S152" s="482"/>
      <c r="T152" s="405"/>
      <c r="U152" s="405"/>
      <c r="V152" s="405"/>
      <c r="W152" s="406" t="s">
        <v>138</v>
      </c>
      <c r="X152" s="406"/>
      <c r="Y152" s="406"/>
      <c r="Z152" s="406"/>
      <c r="AA152" s="406"/>
      <c r="AB152" s="406"/>
      <c r="AC152" s="407"/>
      <c r="AD152" s="407">
        <f>SUM(AD153:AD156)</f>
        <v>430000</v>
      </c>
      <c r="AE152" s="408" t="s">
        <v>25</v>
      </c>
      <c r="AF152" s="16"/>
    </row>
    <row r="153" spans="1:33" s="15" customFormat="1" ht="24" customHeight="1">
      <c r="A153" s="46"/>
      <c r="B153" s="46"/>
      <c r="C153" s="46" t="s">
        <v>342</v>
      </c>
      <c r="D153" s="155">
        <f>[3]세출!E153</f>
        <v>0</v>
      </c>
      <c r="E153" s="108"/>
      <c r="F153" s="108"/>
      <c r="G153" s="108"/>
      <c r="H153" s="108"/>
      <c r="I153" s="108"/>
      <c r="J153" s="108"/>
      <c r="K153" s="108"/>
      <c r="L153" s="108"/>
      <c r="M153" s="108"/>
      <c r="N153" s="70"/>
      <c r="O153" s="442" t="s">
        <v>384</v>
      </c>
      <c r="P153" s="377"/>
      <c r="Q153" s="377"/>
      <c r="R153" s="377"/>
      <c r="S153" s="277">
        <v>5000</v>
      </c>
      <c r="T153" s="295" t="s">
        <v>57</v>
      </c>
      <c r="U153" s="295" t="s">
        <v>26</v>
      </c>
      <c r="V153" s="441">
        <v>1</v>
      </c>
      <c r="W153" s="442" t="s">
        <v>344</v>
      </c>
      <c r="X153" s="295" t="s">
        <v>26</v>
      </c>
      <c r="Y153" s="473">
        <v>6</v>
      </c>
      <c r="Z153" s="289" t="s">
        <v>72</v>
      </c>
      <c r="AA153" s="378" t="s">
        <v>53</v>
      </c>
      <c r="AB153" s="378" t="s">
        <v>269</v>
      </c>
      <c r="AC153" s="378"/>
      <c r="AD153" s="379">
        <f>S153*V153*Y153</f>
        <v>30000</v>
      </c>
      <c r="AE153" s="380" t="s">
        <v>57</v>
      </c>
      <c r="AF153" s="16"/>
    </row>
    <row r="154" spans="1:33" s="15" customFormat="1" ht="24" customHeight="1">
      <c r="A154" s="46"/>
      <c r="B154" s="46"/>
      <c r="C154" s="46"/>
      <c r="D154" s="155">
        <f>[3]세출!E154</f>
        <v>0</v>
      </c>
      <c r="E154" s="108"/>
      <c r="F154" s="108"/>
      <c r="G154" s="108"/>
      <c r="H154" s="108"/>
      <c r="I154" s="108"/>
      <c r="J154" s="108"/>
      <c r="K154" s="108"/>
      <c r="L154" s="108"/>
      <c r="M154" s="108"/>
      <c r="N154" s="70"/>
      <c r="O154" s="442" t="s">
        <v>385</v>
      </c>
      <c r="P154" s="410"/>
      <c r="Q154" s="410"/>
      <c r="R154" s="410"/>
      <c r="S154" s="277">
        <v>10000</v>
      </c>
      <c r="T154" s="295" t="s">
        <v>57</v>
      </c>
      <c r="U154" s="295" t="s">
        <v>26</v>
      </c>
      <c r="V154" s="441">
        <v>5</v>
      </c>
      <c r="W154" s="442" t="s">
        <v>344</v>
      </c>
      <c r="X154" s="295" t="s">
        <v>26</v>
      </c>
      <c r="Y154" s="489">
        <v>4</v>
      </c>
      <c r="Z154" s="472" t="s">
        <v>386</v>
      </c>
      <c r="AA154" s="378" t="s">
        <v>387</v>
      </c>
      <c r="AB154" s="378" t="s">
        <v>269</v>
      </c>
      <c r="AC154" s="378"/>
      <c r="AD154" s="379">
        <f>S154*V154*Y154</f>
        <v>200000</v>
      </c>
      <c r="AE154" s="380" t="s">
        <v>57</v>
      </c>
      <c r="AF154" s="16"/>
    </row>
    <row r="155" spans="1:33" s="15" customFormat="1" ht="24" customHeight="1">
      <c r="A155" s="46"/>
      <c r="B155" s="46"/>
      <c r="C155" s="46"/>
      <c r="D155" s="155">
        <f>[3]세출!E155</f>
        <v>0</v>
      </c>
      <c r="E155" s="108"/>
      <c r="F155" s="108"/>
      <c r="G155" s="108"/>
      <c r="H155" s="108"/>
      <c r="I155" s="108"/>
      <c r="J155" s="108"/>
      <c r="K155" s="108"/>
      <c r="L155" s="108"/>
      <c r="M155" s="108"/>
      <c r="N155" s="70"/>
      <c r="O155" s="442" t="s">
        <v>448</v>
      </c>
      <c r="P155" s="410"/>
      <c r="Q155" s="410"/>
      <c r="R155" s="410"/>
      <c r="S155" s="277">
        <v>20000</v>
      </c>
      <c r="T155" s="295" t="s">
        <v>57</v>
      </c>
      <c r="U155" s="295" t="s">
        <v>26</v>
      </c>
      <c r="V155" s="441">
        <v>5</v>
      </c>
      <c r="W155" s="442" t="s">
        <v>284</v>
      </c>
      <c r="X155" s="295" t="s">
        <v>26</v>
      </c>
      <c r="Y155" s="489">
        <v>1</v>
      </c>
      <c r="Z155" s="472" t="s">
        <v>265</v>
      </c>
      <c r="AA155" s="378" t="s">
        <v>267</v>
      </c>
      <c r="AB155" s="378" t="s">
        <v>269</v>
      </c>
      <c r="AC155" s="378"/>
      <c r="AD155" s="379">
        <f>S155*V155*Y155</f>
        <v>100000</v>
      </c>
      <c r="AE155" s="380" t="s">
        <v>57</v>
      </c>
      <c r="AF155" s="16"/>
    </row>
    <row r="156" spans="1:33" s="15" customFormat="1" ht="24" customHeight="1">
      <c r="A156" s="46"/>
      <c r="B156" s="46"/>
      <c r="C156" s="46"/>
      <c r="D156" s="155">
        <f>[3]세출!E156</f>
        <v>0</v>
      </c>
      <c r="E156" s="108"/>
      <c r="F156" s="108"/>
      <c r="G156" s="108"/>
      <c r="H156" s="108"/>
      <c r="I156" s="108"/>
      <c r="J156" s="108"/>
      <c r="K156" s="108"/>
      <c r="L156" s="108"/>
      <c r="M156" s="108"/>
      <c r="N156" s="70"/>
      <c r="O156" s="442" t="s">
        <v>440</v>
      </c>
      <c r="P156" s="410"/>
      <c r="Q156" s="410"/>
      <c r="R156" s="410"/>
      <c r="S156" s="277">
        <v>10000</v>
      </c>
      <c r="T156" s="295" t="s">
        <v>25</v>
      </c>
      <c r="U156" s="295" t="s">
        <v>26</v>
      </c>
      <c r="V156" s="441">
        <v>5</v>
      </c>
      <c r="W156" s="442" t="s">
        <v>146</v>
      </c>
      <c r="X156" s="295" t="s">
        <v>26</v>
      </c>
      <c r="Y156" s="489">
        <v>2</v>
      </c>
      <c r="Z156" s="472" t="s">
        <v>436</v>
      </c>
      <c r="AA156" s="378" t="s">
        <v>27</v>
      </c>
      <c r="AB156" s="378" t="s">
        <v>439</v>
      </c>
      <c r="AC156" s="378"/>
      <c r="AD156" s="379">
        <f>S156*V156*Y156</f>
        <v>100000</v>
      </c>
      <c r="AE156" s="380" t="s">
        <v>441</v>
      </c>
      <c r="AF156" s="16"/>
    </row>
    <row r="157" spans="1:33" s="15" customFormat="1" ht="24" customHeight="1">
      <c r="A157" s="46"/>
      <c r="B157" s="46"/>
      <c r="C157" s="59"/>
      <c r="D157" s="156">
        <f>[3]세출!E157</f>
        <v>0</v>
      </c>
      <c r="E157" s="110"/>
      <c r="F157" s="110"/>
      <c r="G157" s="110"/>
      <c r="H157" s="110"/>
      <c r="I157" s="110"/>
      <c r="J157" s="110"/>
      <c r="K157" s="110"/>
      <c r="L157" s="110"/>
      <c r="M157" s="110"/>
      <c r="N157" s="83"/>
      <c r="O157" s="399"/>
      <c r="P157" s="399"/>
      <c r="Q157" s="399"/>
      <c r="R157" s="399"/>
      <c r="S157" s="356"/>
      <c r="T157" s="398"/>
      <c r="U157" s="398"/>
      <c r="V157" s="398"/>
      <c r="W157" s="398"/>
      <c r="X157" s="398"/>
      <c r="Y157" s="398"/>
      <c r="Z157" s="398"/>
      <c r="AA157" s="398"/>
      <c r="AB157" s="398"/>
      <c r="AC157" s="381"/>
      <c r="AD157" s="409"/>
      <c r="AE157" s="372"/>
      <c r="AF157" s="16"/>
    </row>
    <row r="158" spans="1:33" s="15" customFormat="1" ht="24" customHeight="1">
      <c r="A158" s="46"/>
      <c r="B158" s="46"/>
      <c r="C158" s="36" t="s">
        <v>351</v>
      </c>
      <c r="D158" s="157">
        <f>[3]세출!E158</f>
        <v>225</v>
      </c>
      <c r="E158" s="113">
        <f>AD158/1000</f>
        <v>225</v>
      </c>
      <c r="F158" s="112">
        <f>SUMIF($AB$159:$AB$161,"보조",$AD$159:$AD$161)/1000</f>
        <v>0</v>
      </c>
      <c r="G158" s="112">
        <f>SUMIF($AB$159:$AB$161,"7종",$AD$159:$AD$161)/1000</f>
        <v>0</v>
      </c>
      <c r="H158" s="112">
        <f>SUMIF($AB$159:$AB$161,"시비",$AD$159:$AD$161)/1000</f>
        <v>0</v>
      </c>
      <c r="I158" s="112">
        <f>SUMIF($AB$159:$AB$161,"후원",$AD$159:$AD$161)/1000</f>
        <v>0</v>
      </c>
      <c r="J158" s="112">
        <f>SUMIF($AB$159:$AB$161,"입소",$AD$159:$AD$161)/1000</f>
        <v>225</v>
      </c>
      <c r="K158" s="112">
        <f>SUMIF($AB$159:$AB$161,"법인",$AD$159:$AD$161)/1000</f>
        <v>0</v>
      </c>
      <c r="L158" s="112">
        <f>SUMIF($AB$159:$AB$161,"잡수",$AD$159:$AD$161)/1000</f>
        <v>0</v>
      </c>
      <c r="M158" s="112">
        <f>E158-D158</f>
        <v>0</v>
      </c>
      <c r="N158" s="120">
        <f>IF(D158=0,0,M158/D158)</f>
        <v>0</v>
      </c>
      <c r="O158" s="303"/>
      <c r="P158" s="303"/>
      <c r="Q158" s="303"/>
      <c r="R158" s="303"/>
      <c r="S158" s="481"/>
      <c r="T158" s="291"/>
      <c r="U158" s="291"/>
      <c r="V158" s="291"/>
      <c r="W158" s="406" t="s">
        <v>138</v>
      </c>
      <c r="X158" s="406"/>
      <c r="Y158" s="406"/>
      <c r="Z158" s="406"/>
      <c r="AA158" s="406"/>
      <c r="AB158" s="406"/>
      <c r="AC158" s="407"/>
      <c r="AD158" s="407">
        <f>SUM(AD159:AD160)</f>
        <v>225000</v>
      </c>
      <c r="AE158" s="408" t="s">
        <v>25</v>
      </c>
      <c r="AF158" s="16"/>
    </row>
    <row r="159" spans="1:33" s="15" customFormat="1" ht="24" customHeight="1">
      <c r="A159" s="46"/>
      <c r="B159" s="46"/>
      <c r="C159" s="46" t="s">
        <v>294</v>
      </c>
      <c r="D159" s="155">
        <f>[3]세출!E159</f>
        <v>0</v>
      </c>
      <c r="E159" s="108"/>
      <c r="F159" s="108"/>
      <c r="G159" s="108"/>
      <c r="H159" s="108"/>
      <c r="I159" s="108"/>
      <c r="J159" s="108"/>
      <c r="K159" s="108"/>
      <c r="L159" s="108"/>
      <c r="M159" s="108"/>
      <c r="N159" s="70"/>
      <c r="O159" s="442" t="s">
        <v>352</v>
      </c>
      <c r="P159" s="400"/>
      <c r="Q159" s="400"/>
      <c r="R159" s="400"/>
      <c r="S159" s="277">
        <v>5000</v>
      </c>
      <c r="T159" s="441" t="s">
        <v>57</v>
      </c>
      <c r="U159" s="442" t="s">
        <v>58</v>
      </c>
      <c r="V159" s="441">
        <v>5</v>
      </c>
      <c r="W159" s="441" t="s">
        <v>56</v>
      </c>
      <c r="X159" s="442" t="s">
        <v>58</v>
      </c>
      <c r="Y159" s="296">
        <v>2</v>
      </c>
      <c r="Z159" s="289" t="s">
        <v>72</v>
      </c>
      <c r="AA159" s="289" t="s">
        <v>53</v>
      </c>
      <c r="AB159" s="441" t="s">
        <v>269</v>
      </c>
      <c r="AC159" s="133"/>
      <c r="AD159" s="441">
        <f>S159*V159*Y159</f>
        <v>50000</v>
      </c>
      <c r="AE159" s="134" t="s">
        <v>57</v>
      </c>
      <c r="AF159" s="16"/>
    </row>
    <row r="160" spans="1:33" s="15" customFormat="1" ht="24" customHeight="1">
      <c r="A160" s="46"/>
      <c r="B160" s="46"/>
      <c r="C160" s="46"/>
      <c r="D160" s="155">
        <f>[3]세출!E160</f>
        <v>0</v>
      </c>
      <c r="E160" s="108"/>
      <c r="F160" s="108"/>
      <c r="G160" s="108"/>
      <c r="H160" s="108"/>
      <c r="I160" s="108"/>
      <c r="J160" s="108"/>
      <c r="K160" s="108"/>
      <c r="L160" s="108"/>
      <c r="M160" s="108"/>
      <c r="N160" s="70"/>
      <c r="O160" s="377" t="s">
        <v>418</v>
      </c>
      <c r="P160" s="373"/>
      <c r="Q160" s="373"/>
      <c r="R160" s="370"/>
      <c r="S160" s="277">
        <v>35000</v>
      </c>
      <c r="T160" s="441" t="s">
        <v>57</v>
      </c>
      <c r="U160" s="442" t="s">
        <v>58</v>
      </c>
      <c r="V160" s="441">
        <v>5</v>
      </c>
      <c r="W160" s="441" t="s">
        <v>56</v>
      </c>
      <c r="X160" s="442" t="s">
        <v>58</v>
      </c>
      <c r="Y160" s="296">
        <v>1</v>
      </c>
      <c r="Z160" s="289" t="s">
        <v>72</v>
      </c>
      <c r="AA160" s="289" t="s">
        <v>53</v>
      </c>
      <c r="AB160" s="441" t="s">
        <v>269</v>
      </c>
      <c r="AC160" s="133"/>
      <c r="AD160" s="441">
        <f>S160*V160*Y160</f>
        <v>175000</v>
      </c>
      <c r="AE160" s="134" t="s">
        <v>57</v>
      </c>
      <c r="AF160" s="16"/>
    </row>
    <row r="161" spans="1:32" s="15" customFormat="1" ht="24" customHeight="1">
      <c r="A161" s="46"/>
      <c r="B161" s="46"/>
      <c r="C161" s="59"/>
      <c r="D161" s="156">
        <f>[3]세출!E161</f>
        <v>0</v>
      </c>
      <c r="E161" s="110"/>
      <c r="F161" s="110"/>
      <c r="G161" s="110"/>
      <c r="H161" s="110"/>
      <c r="I161" s="110"/>
      <c r="J161" s="110"/>
      <c r="K161" s="110"/>
      <c r="L161" s="110"/>
      <c r="M161" s="110"/>
      <c r="N161" s="83"/>
      <c r="O161" s="402"/>
      <c r="P161" s="402"/>
      <c r="Q161" s="402"/>
      <c r="R161" s="402"/>
      <c r="S161" s="483"/>
      <c r="T161" s="402"/>
      <c r="U161" s="402"/>
      <c r="V161" s="402"/>
      <c r="W161" s="402"/>
      <c r="X161" s="402"/>
      <c r="Y161" s="402"/>
      <c r="Z161" s="402"/>
      <c r="AA161" s="402"/>
      <c r="AB161" s="402"/>
      <c r="AC161" s="402"/>
      <c r="AD161" s="403"/>
      <c r="AE161" s="404"/>
      <c r="AF161" s="16"/>
    </row>
    <row r="162" spans="1:32" s="15" customFormat="1" ht="24" customHeight="1">
      <c r="A162" s="46"/>
      <c r="B162" s="46"/>
      <c r="C162" s="36" t="s">
        <v>296</v>
      </c>
      <c r="D162" s="157">
        <f>[3]세출!E162</f>
        <v>200</v>
      </c>
      <c r="E162" s="113">
        <f>AD162/1000</f>
        <v>240</v>
      </c>
      <c r="F162" s="112">
        <f>SUMIF($AB$163:$AB$166,"보조",$AD$163:$AD$166)/1000</f>
        <v>0</v>
      </c>
      <c r="G162" s="112">
        <f>SUMIF($AB$163:$AB$166,"7종",$AD$163:$AD$166)/1000</f>
        <v>0</v>
      </c>
      <c r="H162" s="112">
        <f>SUMIF($AB$163:$AB$166,"시비",$AD$163:$AD$166)/1000</f>
        <v>0</v>
      </c>
      <c r="I162" s="112">
        <f>SUMIF($AB$163:$AB$166,"후원",$AD$163:$AD$166)/1000</f>
        <v>0</v>
      </c>
      <c r="J162" s="112">
        <f>SUMIF($AB$163:$AB$166,"입소",$AD$163:$AD$166)/1000</f>
        <v>240</v>
      </c>
      <c r="K162" s="112">
        <f>SUMIF($AB$163:$AB$166,"법인",$AD$163:$AD$166)/1000</f>
        <v>0</v>
      </c>
      <c r="L162" s="112">
        <f>SUMIF($AB$163:$AB$166,"잡수",$AD$163:$AD$166)/1000</f>
        <v>0</v>
      </c>
      <c r="M162" s="112">
        <f>E162-D162</f>
        <v>40</v>
      </c>
      <c r="N162" s="120">
        <f>IF(D162=0,0,M162/D162)</f>
        <v>0.2</v>
      </c>
      <c r="O162" s="287"/>
      <c r="P162" s="299"/>
      <c r="Q162" s="299"/>
      <c r="R162" s="405"/>
      <c r="S162" s="482"/>
      <c r="T162" s="405"/>
      <c r="U162" s="405"/>
      <c r="V162" s="405"/>
      <c r="W162" s="406" t="s">
        <v>138</v>
      </c>
      <c r="X162" s="406"/>
      <c r="Y162" s="406"/>
      <c r="Z162" s="406"/>
      <c r="AA162" s="406"/>
      <c r="AB162" s="406"/>
      <c r="AC162" s="407"/>
      <c r="AD162" s="407">
        <f>SUM(AD163:AD166)</f>
        <v>240000</v>
      </c>
      <c r="AE162" s="408" t="s">
        <v>25</v>
      </c>
      <c r="AF162" s="16"/>
    </row>
    <row r="163" spans="1:32" s="15" customFormat="1" ht="24" customHeight="1">
      <c r="A163" s="46"/>
      <c r="B163" s="46"/>
      <c r="C163" s="46" t="s">
        <v>295</v>
      </c>
      <c r="D163" s="155">
        <f>[3]세출!E163</f>
        <v>0</v>
      </c>
      <c r="E163" s="108"/>
      <c r="F163" s="108"/>
      <c r="G163" s="108"/>
      <c r="H163" s="108"/>
      <c r="I163" s="108"/>
      <c r="J163" s="108"/>
      <c r="K163" s="108"/>
      <c r="L163" s="108"/>
      <c r="M163" s="108"/>
      <c r="N163" s="70"/>
      <c r="O163" s="442" t="s">
        <v>353</v>
      </c>
      <c r="P163" s="373"/>
      <c r="Q163" s="373"/>
      <c r="R163" s="370"/>
      <c r="S163" s="277">
        <v>100000</v>
      </c>
      <c r="T163" s="441" t="s">
        <v>57</v>
      </c>
      <c r="U163" s="442" t="s">
        <v>58</v>
      </c>
      <c r="V163" s="441">
        <v>1</v>
      </c>
      <c r="W163" s="441" t="s">
        <v>437</v>
      </c>
      <c r="X163" s="442"/>
      <c r="Y163" s="296"/>
      <c r="Z163" s="289" t="s">
        <v>53</v>
      </c>
      <c r="AA163" s="289"/>
      <c r="AB163" s="441" t="s">
        <v>269</v>
      </c>
      <c r="AC163" s="133"/>
      <c r="AD163" s="441">
        <f>S163*V163</f>
        <v>100000</v>
      </c>
      <c r="AE163" s="134" t="s">
        <v>57</v>
      </c>
      <c r="AF163" s="16"/>
    </row>
    <row r="164" spans="1:32" s="15" customFormat="1" ht="24" customHeight="1">
      <c r="A164" s="46"/>
      <c r="B164" s="46"/>
      <c r="C164" s="46" t="s">
        <v>491</v>
      </c>
      <c r="D164" s="155">
        <f>[3]세출!E164</f>
        <v>0</v>
      </c>
      <c r="E164" s="108"/>
      <c r="F164" s="108"/>
      <c r="G164" s="108"/>
      <c r="H164" s="108"/>
      <c r="I164" s="108"/>
      <c r="J164" s="108"/>
      <c r="K164" s="108"/>
      <c r="L164" s="108"/>
      <c r="M164" s="108"/>
      <c r="N164" s="70"/>
      <c r="O164" s="442" t="s">
        <v>438</v>
      </c>
      <c r="P164" s="373"/>
      <c r="Q164" s="373"/>
      <c r="R164" s="370"/>
      <c r="S164" s="277">
        <v>100000</v>
      </c>
      <c r="T164" s="441" t="s">
        <v>57</v>
      </c>
      <c r="U164" s="442" t="s">
        <v>58</v>
      </c>
      <c r="V164" s="441">
        <v>1</v>
      </c>
      <c r="W164" s="441" t="s">
        <v>437</v>
      </c>
      <c r="X164" s="442"/>
      <c r="Y164" s="296"/>
      <c r="Z164" s="289" t="s">
        <v>53</v>
      </c>
      <c r="AA164" s="289"/>
      <c r="AB164" s="441" t="s">
        <v>269</v>
      </c>
      <c r="AC164" s="133"/>
      <c r="AD164" s="441">
        <f>S164*V164</f>
        <v>100000</v>
      </c>
      <c r="AE164" s="134" t="s">
        <v>57</v>
      </c>
      <c r="AF164" s="16"/>
    </row>
    <row r="165" spans="1:32" s="15" customFormat="1" ht="24" customHeight="1">
      <c r="A165" s="46"/>
      <c r="B165" s="46"/>
      <c r="C165" s="46"/>
      <c r="D165" s="155"/>
      <c r="E165" s="108"/>
      <c r="F165" s="108"/>
      <c r="G165" s="108"/>
      <c r="H165" s="108"/>
      <c r="I165" s="108"/>
      <c r="J165" s="108"/>
      <c r="K165" s="108"/>
      <c r="L165" s="108"/>
      <c r="M165" s="108"/>
      <c r="N165" s="70"/>
      <c r="O165" s="442" t="s">
        <v>493</v>
      </c>
      <c r="P165" s="373"/>
      <c r="Q165" s="373"/>
      <c r="R165" s="370"/>
      <c r="S165" s="277"/>
      <c r="T165" s="441"/>
      <c r="U165" s="442"/>
      <c r="V165" s="441"/>
      <c r="W165" s="441"/>
      <c r="X165" s="442"/>
      <c r="Y165" s="296"/>
      <c r="Z165" s="507"/>
      <c r="AA165" s="507"/>
      <c r="AB165" s="441" t="s">
        <v>269</v>
      </c>
      <c r="AC165" s="133"/>
      <c r="AD165" s="441">
        <v>40000</v>
      </c>
      <c r="AE165" s="134" t="s">
        <v>492</v>
      </c>
      <c r="AF165" s="16"/>
    </row>
    <row r="166" spans="1:32" s="15" customFormat="1" ht="24" customHeight="1">
      <c r="A166" s="46"/>
      <c r="B166" s="46"/>
      <c r="C166" s="59"/>
      <c r="D166" s="156">
        <f>[3]세출!E165</f>
        <v>0</v>
      </c>
      <c r="E166" s="110"/>
      <c r="F166" s="110"/>
      <c r="G166" s="110"/>
      <c r="H166" s="110"/>
      <c r="I166" s="110"/>
      <c r="J166" s="110"/>
      <c r="K166" s="110"/>
      <c r="L166" s="110"/>
      <c r="M166" s="110"/>
      <c r="N166" s="83"/>
      <c r="O166" s="442"/>
      <c r="P166" s="290"/>
      <c r="Q166" s="290"/>
      <c r="R166" s="411"/>
      <c r="S166" s="277"/>
      <c r="T166" s="441"/>
      <c r="U166" s="442"/>
      <c r="V166" s="441"/>
      <c r="W166" s="441"/>
      <c r="X166" s="442"/>
      <c r="Y166" s="296"/>
      <c r="Z166" s="289"/>
      <c r="AA166" s="289"/>
      <c r="AB166" s="441"/>
      <c r="AC166" s="133"/>
      <c r="AD166" s="441"/>
      <c r="AE166" s="134"/>
      <c r="AF166" s="16"/>
    </row>
    <row r="167" spans="1:32" s="11" customFormat="1" ht="21" customHeight="1">
      <c r="A167" s="111" t="s">
        <v>155</v>
      </c>
      <c r="B167" s="556" t="s">
        <v>20</v>
      </c>
      <c r="C167" s="557"/>
      <c r="D167" s="170">
        <f>[3]세출!E166</f>
        <v>8</v>
      </c>
      <c r="E167" s="170">
        <f>SUM(E168)</f>
        <v>8</v>
      </c>
      <c r="F167" s="170">
        <f t="shared" ref="F167:L167" si="15">SUM(F168)</f>
        <v>8</v>
      </c>
      <c r="G167" s="170">
        <f t="shared" si="15"/>
        <v>0</v>
      </c>
      <c r="H167" s="170">
        <f t="shared" si="15"/>
        <v>0</v>
      </c>
      <c r="I167" s="170">
        <f t="shared" si="15"/>
        <v>0</v>
      </c>
      <c r="J167" s="170">
        <f t="shared" si="15"/>
        <v>0</v>
      </c>
      <c r="K167" s="170">
        <f t="shared" si="15"/>
        <v>0</v>
      </c>
      <c r="L167" s="170">
        <f t="shared" si="15"/>
        <v>0</v>
      </c>
      <c r="M167" s="170">
        <f>E167-D167</f>
        <v>0</v>
      </c>
      <c r="N167" s="171">
        <f>IF(D167=0,0,M167/D167)</f>
        <v>0</v>
      </c>
      <c r="O167" s="96" t="s">
        <v>158</v>
      </c>
      <c r="P167" s="172"/>
      <c r="Q167" s="172"/>
      <c r="R167" s="172"/>
      <c r="S167" s="332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>
        <f>SUM(AD168)</f>
        <v>8000</v>
      </c>
      <c r="AE167" s="174" t="s">
        <v>25</v>
      </c>
      <c r="AF167" s="1"/>
    </row>
    <row r="168" spans="1:32" s="11" customFormat="1" ht="21" customHeight="1">
      <c r="A168" s="185" t="s">
        <v>157</v>
      </c>
      <c r="B168" s="46" t="s">
        <v>155</v>
      </c>
      <c r="C168" s="46" t="s">
        <v>155</v>
      </c>
      <c r="D168" s="155">
        <f>[3]세출!E167</f>
        <v>8</v>
      </c>
      <c r="E168" s="113">
        <f>AD168/1000</f>
        <v>8</v>
      </c>
      <c r="F168" s="108">
        <f>SUMIF($AB$169:$AB$175,"보조",$AD$169:$AD$175)/1000</f>
        <v>8</v>
      </c>
      <c r="G168" s="108">
        <f>SUMIF($AB$169:$AB$175,"7종",$AD$169:$AD$175)/1000</f>
        <v>0</v>
      </c>
      <c r="H168" s="108">
        <f>SUMIF($AB$169:$AB$175,"시비",$AD$169:$AD$175)/1000</f>
        <v>0</v>
      </c>
      <c r="I168" s="108">
        <f>SUMIF($AB$169:$AB$175,"후원",$AD$169:$AD$175)/1000</f>
        <v>0</v>
      </c>
      <c r="J168" s="108">
        <f>SUMIF($AB$169:$AB$175,"입소",$AD$169:$AD$175)/1000</f>
        <v>0</v>
      </c>
      <c r="K168" s="108">
        <f>SUMIF($AB$169:$AB$175,"법인",$AD$169:$AD$175)/1000</f>
        <v>0</v>
      </c>
      <c r="L168" s="108">
        <f>SUMIF($AB$169:$AB$175,"잡수",$AD$169:$AD$175)/1000</f>
        <v>0</v>
      </c>
      <c r="M168" s="108">
        <f>E168-D168</f>
        <v>0</v>
      </c>
      <c r="N168" s="70">
        <f>IF(D168=0,0,M168/D168)</f>
        <v>0</v>
      </c>
      <c r="O168" s="290" t="s">
        <v>263</v>
      </c>
      <c r="P168" s="32"/>
      <c r="Q168" s="32"/>
      <c r="R168" s="32"/>
      <c r="S168" s="32"/>
      <c r="T168" s="33"/>
      <c r="U168" s="33"/>
      <c r="V168" s="33"/>
      <c r="W168" s="33"/>
      <c r="X168" s="33"/>
      <c r="Y168" s="173" t="s">
        <v>144</v>
      </c>
      <c r="Z168" s="98"/>
      <c r="AA168" s="98"/>
      <c r="AB168" s="98"/>
      <c r="AC168" s="117"/>
      <c r="AD168" s="117">
        <f>ROUNDUP(SUM(AD169:AD173),-3)</f>
        <v>8000</v>
      </c>
      <c r="AE168" s="118" t="s">
        <v>25</v>
      </c>
      <c r="AF168" s="1"/>
    </row>
    <row r="169" spans="1:32" ht="21" customHeight="1">
      <c r="A169" s="45"/>
      <c r="B169" s="46" t="s">
        <v>156</v>
      </c>
      <c r="C169" s="46" t="s">
        <v>156</v>
      </c>
      <c r="D169" s="155">
        <f>[3]세출!E168</f>
        <v>0</v>
      </c>
      <c r="E169" s="108"/>
      <c r="F169" s="108"/>
      <c r="G169" s="108"/>
      <c r="H169" s="108"/>
      <c r="I169" s="108"/>
      <c r="J169" s="108"/>
      <c r="K169" s="108"/>
      <c r="L169" s="108"/>
      <c r="M169" s="108"/>
      <c r="N169" s="70"/>
      <c r="O169" s="442" t="s">
        <v>354</v>
      </c>
      <c r="P169" s="358"/>
      <c r="Q169" s="358"/>
      <c r="R169" s="358"/>
      <c r="S169" s="357"/>
      <c r="T169" s="357"/>
      <c r="U169" s="357"/>
      <c r="V169" s="357"/>
      <c r="W169" s="357"/>
      <c r="X169" s="357"/>
      <c r="Y169" s="357"/>
      <c r="Z169" s="357"/>
      <c r="AA169" s="357"/>
      <c r="AB169" s="441" t="s">
        <v>360</v>
      </c>
      <c r="AC169" s="357"/>
      <c r="AD169" s="68"/>
      <c r="AE169" s="134" t="s">
        <v>25</v>
      </c>
    </row>
    <row r="170" spans="1:32" ht="21" customHeight="1">
      <c r="A170" s="45"/>
      <c r="B170" s="46"/>
      <c r="C170" s="46"/>
      <c r="D170" s="155">
        <f>[3]세출!E169</f>
        <v>0</v>
      </c>
      <c r="E170" s="108"/>
      <c r="F170" s="108"/>
      <c r="G170" s="108"/>
      <c r="H170" s="108"/>
      <c r="I170" s="108"/>
      <c r="J170" s="108"/>
      <c r="K170" s="108"/>
      <c r="L170" s="108"/>
      <c r="M170" s="108"/>
      <c r="N170" s="70"/>
      <c r="O170" s="442" t="s">
        <v>355</v>
      </c>
      <c r="P170" s="358"/>
      <c r="Q170" s="358"/>
      <c r="R170" s="358"/>
      <c r="S170" s="357"/>
      <c r="T170" s="357"/>
      <c r="U170" s="357"/>
      <c r="V170" s="357"/>
      <c r="W170" s="357"/>
      <c r="X170" s="357"/>
      <c r="Y170" s="357"/>
      <c r="Z170" s="357"/>
      <c r="AA170" s="357"/>
      <c r="AB170" s="441" t="s">
        <v>360</v>
      </c>
      <c r="AC170" s="357"/>
      <c r="AD170" s="68">
        <v>8000</v>
      </c>
      <c r="AE170" s="134" t="s">
        <v>282</v>
      </c>
    </row>
    <row r="171" spans="1:32" ht="21" customHeight="1">
      <c r="A171" s="45"/>
      <c r="B171" s="46"/>
      <c r="C171" s="46"/>
      <c r="D171" s="155">
        <f>[3]세출!E171</f>
        <v>0</v>
      </c>
      <c r="E171" s="108"/>
      <c r="F171" s="108"/>
      <c r="G171" s="108"/>
      <c r="H171" s="108"/>
      <c r="I171" s="108"/>
      <c r="J171" s="108"/>
      <c r="K171" s="108"/>
      <c r="L171" s="108"/>
      <c r="M171" s="108"/>
      <c r="N171" s="70"/>
      <c r="O171" s="442" t="s">
        <v>356</v>
      </c>
      <c r="P171" s="358"/>
      <c r="Q171" s="358"/>
      <c r="R171" s="358"/>
      <c r="S171" s="357"/>
      <c r="T171" s="357"/>
      <c r="U171" s="357"/>
      <c r="V171" s="357"/>
      <c r="W171" s="357"/>
      <c r="X171" s="357"/>
      <c r="Y171" s="357"/>
      <c r="Z171" s="357"/>
      <c r="AA171" s="357"/>
      <c r="AB171" s="441" t="s">
        <v>401</v>
      </c>
      <c r="AC171" s="357"/>
      <c r="AD171" s="68"/>
      <c r="AE171" s="134" t="s">
        <v>282</v>
      </c>
    </row>
    <row r="172" spans="1:32" ht="21" customHeight="1">
      <c r="A172" s="45"/>
      <c r="B172" s="46"/>
      <c r="C172" s="46"/>
      <c r="D172" s="155">
        <f>[3]세출!E172</f>
        <v>0</v>
      </c>
      <c r="E172" s="108"/>
      <c r="F172" s="108"/>
      <c r="G172" s="108"/>
      <c r="H172" s="108"/>
      <c r="I172" s="108"/>
      <c r="J172" s="108"/>
      <c r="K172" s="108"/>
      <c r="L172" s="108"/>
      <c r="M172" s="108"/>
      <c r="N172" s="70"/>
      <c r="O172" s="442" t="s">
        <v>357</v>
      </c>
      <c r="P172" s="358"/>
      <c r="Q172" s="358"/>
      <c r="R172" s="358"/>
      <c r="S172" s="357"/>
      <c r="T172" s="357"/>
      <c r="U172" s="357"/>
      <c r="V172" s="357"/>
      <c r="W172" s="357"/>
      <c r="X172" s="357"/>
      <c r="Y172" s="357"/>
      <c r="Z172" s="357"/>
      <c r="AA172" s="357"/>
      <c r="AB172" s="441" t="s">
        <v>401</v>
      </c>
      <c r="AC172" s="357"/>
      <c r="AD172" s="68"/>
      <c r="AE172" s="134" t="s">
        <v>282</v>
      </c>
    </row>
    <row r="173" spans="1:32" ht="21" customHeight="1">
      <c r="A173" s="45"/>
      <c r="B173" s="46"/>
      <c r="C173" s="46"/>
      <c r="D173" s="155">
        <f>[3]세출!E173</f>
        <v>0</v>
      </c>
      <c r="E173" s="108"/>
      <c r="F173" s="108"/>
      <c r="G173" s="108"/>
      <c r="H173" s="108"/>
      <c r="I173" s="108"/>
      <c r="J173" s="108"/>
      <c r="K173" s="108"/>
      <c r="L173" s="108"/>
      <c r="M173" s="108"/>
      <c r="N173" s="70"/>
      <c r="O173" s="442" t="s">
        <v>358</v>
      </c>
      <c r="P173" s="358"/>
      <c r="Q173" s="358"/>
      <c r="R173" s="358"/>
      <c r="S173" s="357"/>
      <c r="T173" s="357"/>
      <c r="U173" s="357"/>
      <c r="V173" s="357"/>
      <c r="W173" s="357"/>
      <c r="X173" s="357"/>
      <c r="Y173" s="357"/>
      <c r="Z173" s="357"/>
      <c r="AA173" s="357"/>
      <c r="AB173" s="441" t="s">
        <v>402</v>
      </c>
      <c r="AC173" s="357"/>
      <c r="AD173" s="68"/>
      <c r="AE173" s="134" t="s">
        <v>25</v>
      </c>
    </row>
    <row r="174" spans="1:32" ht="21" customHeight="1">
      <c r="A174" s="45"/>
      <c r="B174" s="46"/>
      <c r="C174" s="47"/>
      <c r="D174" s="155">
        <f>[3]세출!E174</f>
        <v>0</v>
      </c>
      <c r="E174" s="108"/>
      <c r="F174" s="108"/>
      <c r="G174" s="108"/>
      <c r="H174" s="108"/>
      <c r="I174" s="108"/>
      <c r="J174" s="108"/>
      <c r="K174" s="108"/>
      <c r="L174" s="108"/>
      <c r="M174" s="108"/>
      <c r="N174" s="70"/>
      <c r="O174" s="442" t="s">
        <v>359</v>
      </c>
      <c r="P174" s="442"/>
      <c r="Q174" s="442"/>
      <c r="R174" s="442"/>
      <c r="S174" s="441"/>
      <c r="T174" s="441"/>
      <c r="U174" s="441"/>
      <c r="V174" s="441"/>
      <c r="W174" s="441"/>
      <c r="X174" s="441"/>
      <c r="Y174" s="441"/>
      <c r="Z174" s="441"/>
      <c r="AA174" s="441"/>
      <c r="AB174" s="441" t="s">
        <v>403</v>
      </c>
      <c r="AC174" s="441"/>
      <c r="AD174" s="68"/>
      <c r="AE174" s="134" t="s">
        <v>494</v>
      </c>
    </row>
    <row r="175" spans="1:32" s="14" customFormat="1" ht="21" customHeight="1">
      <c r="A175" s="45"/>
      <c r="B175" s="59"/>
      <c r="C175" s="47"/>
      <c r="D175" s="155">
        <f>[3]세출!E175</f>
        <v>0</v>
      </c>
      <c r="E175" s="108"/>
      <c r="F175" s="108"/>
      <c r="G175" s="108"/>
      <c r="H175" s="108"/>
      <c r="I175" s="108"/>
      <c r="J175" s="108"/>
      <c r="K175" s="108"/>
      <c r="L175" s="108"/>
      <c r="M175" s="108"/>
      <c r="N175" s="7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1"/>
      <c r="AE175" s="57"/>
      <c r="AF175" s="4"/>
    </row>
    <row r="176" spans="1:32" s="11" customFormat="1" ht="21" customHeight="1">
      <c r="A176" s="35" t="s">
        <v>98</v>
      </c>
      <c r="B176" s="556" t="s">
        <v>20</v>
      </c>
      <c r="C176" s="557"/>
      <c r="D176" s="170">
        <f>[3]세출!E176</f>
        <v>0</v>
      </c>
      <c r="E176" s="170">
        <f>E177</f>
        <v>0</v>
      </c>
      <c r="F176" s="170">
        <f t="shared" ref="F176:L176" si="16">F177</f>
        <v>0</v>
      </c>
      <c r="G176" s="170">
        <f t="shared" si="16"/>
        <v>0</v>
      </c>
      <c r="H176" s="170">
        <f t="shared" si="16"/>
        <v>0</v>
      </c>
      <c r="I176" s="170">
        <f t="shared" si="16"/>
        <v>0</v>
      </c>
      <c r="J176" s="170">
        <f t="shared" si="16"/>
        <v>0</v>
      </c>
      <c r="K176" s="170">
        <f t="shared" si="16"/>
        <v>0</v>
      </c>
      <c r="L176" s="170">
        <f t="shared" si="16"/>
        <v>0</v>
      </c>
      <c r="M176" s="170">
        <f>E176-D176</f>
        <v>0</v>
      </c>
      <c r="N176" s="171">
        <f>IF(D176=0,0,M176/D176)</f>
        <v>0</v>
      </c>
      <c r="O176" s="172" t="s">
        <v>98</v>
      </c>
      <c r="P176" s="172"/>
      <c r="Q176" s="172"/>
      <c r="R176" s="172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>
        <f>SUM(AD177)</f>
        <v>0</v>
      </c>
      <c r="AE176" s="174" t="s">
        <v>25</v>
      </c>
      <c r="AF176" s="1"/>
    </row>
    <row r="177" spans="1:32" s="11" customFormat="1" ht="21" customHeight="1">
      <c r="A177" s="45"/>
      <c r="B177" s="46" t="s">
        <v>98</v>
      </c>
      <c r="C177" s="46" t="s">
        <v>98</v>
      </c>
      <c r="D177" s="155">
        <f>[3]세출!E177</f>
        <v>0</v>
      </c>
      <c r="E177" s="113">
        <f>AD177/1000</f>
        <v>0</v>
      </c>
      <c r="F177" s="108">
        <f>SUMIF($AB$177:$AB$178,"보조",$AD$177:$AD$178)/1000</f>
        <v>0</v>
      </c>
      <c r="G177" s="108">
        <f>SUMIF($AB$177:$AB$178,"7종",$AD$177:$AD$178)/1000</f>
        <v>0</v>
      </c>
      <c r="H177" s="108">
        <f>SUMIF($AB$177:$AB$178,"시비",$AD$177:$AD$178)/1000</f>
        <v>0</v>
      </c>
      <c r="I177" s="108">
        <f>SUMIF($AB$177:$AB$178,"후원",$AD$177:$AD$178)/1000</f>
        <v>0</v>
      </c>
      <c r="J177" s="108">
        <f>SUMIF($AB$177:$AB$178,"입소",$AD$177:$AD$178)/1000</f>
        <v>0</v>
      </c>
      <c r="K177" s="108">
        <f>SUMIF($AB$177:$AB$178,"법인",$AD$177:$AD$178)/1000</f>
        <v>0</v>
      </c>
      <c r="L177" s="108">
        <f>SUMIF($AB$177:$AB$178,"잡수",$AD$177:$AD$178)/1000</f>
        <v>0</v>
      </c>
      <c r="M177" s="108">
        <f>E177-D177</f>
        <v>0</v>
      </c>
      <c r="N177" s="70">
        <f>IF(D177=0,0,M177/D177)</f>
        <v>0</v>
      </c>
      <c r="O177" s="115" t="s">
        <v>99</v>
      </c>
      <c r="P177" s="32"/>
      <c r="Q177" s="32"/>
      <c r="R177" s="32"/>
      <c r="S177" s="32"/>
      <c r="T177" s="33"/>
      <c r="U177" s="33"/>
      <c r="V177" s="33"/>
      <c r="W177" s="33"/>
      <c r="X177" s="33"/>
      <c r="Y177" s="173" t="s">
        <v>144</v>
      </c>
      <c r="Z177" s="98"/>
      <c r="AA177" s="98"/>
      <c r="AB177" s="98"/>
      <c r="AC177" s="117"/>
      <c r="AD177" s="117"/>
      <c r="AE177" s="118" t="s">
        <v>25</v>
      </c>
      <c r="AF177" s="1"/>
    </row>
    <row r="178" spans="1:32" s="1" customFormat="1" ht="21" customHeight="1" thickBot="1">
      <c r="A178" s="135"/>
      <c r="B178" s="46"/>
      <c r="C178" s="46"/>
      <c r="D178" s="155">
        <f>[3]세출!E178</f>
        <v>0</v>
      </c>
      <c r="E178" s="108"/>
      <c r="F178" s="108"/>
      <c r="G178" s="108"/>
      <c r="H178" s="108"/>
      <c r="I178" s="108"/>
      <c r="J178" s="108"/>
      <c r="K178" s="108"/>
      <c r="L178" s="108"/>
      <c r="M178" s="108"/>
      <c r="N178" s="70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138"/>
    </row>
    <row r="179" spans="1:32" s="11" customFormat="1" ht="21" customHeight="1">
      <c r="A179" s="35" t="s">
        <v>21</v>
      </c>
      <c r="B179" s="554" t="s">
        <v>20</v>
      </c>
      <c r="C179" s="555"/>
      <c r="D179" s="190">
        <f>[3]세출!E179</f>
        <v>32</v>
      </c>
      <c r="E179" s="190">
        <f>SUM(E180)</f>
        <v>37</v>
      </c>
      <c r="F179" s="190">
        <f t="shared" ref="F179:L179" si="17">SUM(F180)</f>
        <v>0</v>
      </c>
      <c r="G179" s="190">
        <f t="shared" si="17"/>
        <v>0</v>
      </c>
      <c r="H179" s="190">
        <f t="shared" si="17"/>
        <v>0</v>
      </c>
      <c r="I179" s="190">
        <f t="shared" si="17"/>
        <v>5</v>
      </c>
      <c r="J179" s="190">
        <f t="shared" si="17"/>
        <v>28</v>
      </c>
      <c r="K179" s="190">
        <f t="shared" si="17"/>
        <v>0</v>
      </c>
      <c r="L179" s="190">
        <f t="shared" si="17"/>
        <v>4</v>
      </c>
      <c r="M179" s="190">
        <f>E179-D179</f>
        <v>5</v>
      </c>
      <c r="N179" s="191">
        <f>IF(D179=0,0,M179/D179)</f>
        <v>0.15625</v>
      </c>
      <c r="O179" s="163" t="s">
        <v>21</v>
      </c>
      <c r="P179" s="164"/>
      <c r="Q179" s="164"/>
      <c r="R179" s="164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165">
        <f>AD180</f>
        <v>37000</v>
      </c>
      <c r="AE179" s="166" t="s">
        <v>25</v>
      </c>
      <c r="AF179" s="1"/>
    </row>
    <row r="180" spans="1:32" s="11" customFormat="1" ht="21" customHeight="1">
      <c r="A180" s="45"/>
      <c r="B180" s="46" t="s">
        <v>21</v>
      </c>
      <c r="C180" s="46" t="s">
        <v>21</v>
      </c>
      <c r="D180" s="108">
        <f>[3]세출!E180</f>
        <v>32</v>
      </c>
      <c r="E180" s="113">
        <f>AD180/1000</f>
        <v>37</v>
      </c>
      <c r="F180" s="108">
        <f>SUMIF($AB$181:$AB$187,"보조",$AD$181:$AD$187)/1000</f>
        <v>0</v>
      </c>
      <c r="G180" s="108">
        <f>SUMIF($AB$181:$AB$187,"7종",$AD$181:$AD$187)/1000</f>
        <v>0</v>
      </c>
      <c r="H180" s="108">
        <f>SUMIF($AB$181:$AB$187,"시비",$AD$181:$AD$187)/1000</f>
        <v>0</v>
      </c>
      <c r="I180" s="108">
        <f>SUMIF($AB$181:$AB$187,"후원",$AD$181:$AD$187)/1000</f>
        <v>5</v>
      </c>
      <c r="J180" s="108">
        <f>SUMIF($AB$181:$AB$187,"입소",$AD$181:$AD$187)/1000</f>
        <v>28</v>
      </c>
      <c r="K180" s="108">
        <f>SUMIF($AB$181:$AB$187,"법인",$AD$181:$AD$187)/1000</f>
        <v>0</v>
      </c>
      <c r="L180" s="108">
        <f>SUMIF($AB$181:$AB$187,"잡수",$AD$181:$AD$187)/1000</f>
        <v>4</v>
      </c>
      <c r="M180" s="108">
        <f>SUMIF($AB$181:$AB$187,"보조",$AD$181:$AD$187)/1000</f>
        <v>0</v>
      </c>
      <c r="N180" s="70">
        <f>IF(D180=0,0,M180/D180)</f>
        <v>0</v>
      </c>
      <c r="O180" s="115" t="s">
        <v>52</v>
      </c>
      <c r="P180" s="32"/>
      <c r="Q180" s="32"/>
      <c r="R180" s="32"/>
      <c r="S180" s="32"/>
      <c r="T180" s="33"/>
      <c r="U180" s="33"/>
      <c r="V180" s="33"/>
      <c r="W180" s="33"/>
      <c r="X180" s="33"/>
      <c r="Y180" s="173" t="s">
        <v>144</v>
      </c>
      <c r="Z180" s="98"/>
      <c r="AA180" s="98"/>
      <c r="AB180" s="98"/>
      <c r="AC180" s="117"/>
      <c r="AD180" s="117">
        <f>SUM(AD181:AD186)</f>
        <v>37000</v>
      </c>
      <c r="AE180" s="118" t="s">
        <v>25</v>
      </c>
      <c r="AF180" s="1"/>
    </row>
    <row r="181" spans="1:32" s="11" customFormat="1" ht="21" customHeight="1">
      <c r="A181" s="45"/>
      <c r="B181" s="46"/>
      <c r="C181" s="46"/>
      <c r="D181" s="155">
        <f>[3]세출!E181</f>
        <v>0</v>
      </c>
      <c r="E181" s="108"/>
      <c r="F181" s="108"/>
      <c r="G181" s="108"/>
      <c r="H181" s="108"/>
      <c r="I181" s="108"/>
      <c r="J181" s="108"/>
      <c r="K181" s="108"/>
      <c r="L181" s="108"/>
      <c r="M181" s="108"/>
      <c r="N181" s="70"/>
      <c r="O181" s="442" t="s">
        <v>370</v>
      </c>
      <c r="P181" s="358"/>
      <c r="Q181" s="358"/>
      <c r="R181" s="358"/>
      <c r="S181" s="358"/>
      <c r="T181" s="357"/>
      <c r="U181" s="357"/>
      <c r="V181" s="357"/>
      <c r="W181" s="357"/>
      <c r="X181" s="357"/>
      <c r="Y181" s="357"/>
      <c r="Z181" s="357"/>
      <c r="AA181" s="357"/>
      <c r="AB181" s="441" t="s">
        <v>404</v>
      </c>
      <c r="AC181" s="133"/>
      <c r="AD181" s="68">
        <v>8000</v>
      </c>
      <c r="AE181" s="134" t="s">
        <v>282</v>
      </c>
      <c r="AF181" s="2"/>
    </row>
    <row r="182" spans="1:32" s="11" customFormat="1" ht="21" customHeight="1">
      <c r="A182" s="45"/>
      <c r="B182" s="46"/>
      <c r="C182" s="46"/>
      <c r="D182" s="155">
        <f>[3]세출!E182</f>
        <v>0</v>
      </c>
      <c r="E182" s="108"/>
      <c r="F182" s="108"/>
      <c r="G182" s="108"/>
      <c r="H182" s="108"/>
      <c r="I182" s="108"/>
      <c r="J182" s="108"/>
      <c r="K182" s="108"/>
      <c r="L182" s="108"/>
      <c r="M182" s="108"/>
      <c r="N182" s="70"/>
      <c r="O182" s="442" t="s">
        <v>371</v>
      </c>
      <c r="P182" s="358"/>
      <c r="Q182" s="358"/>
      <c r="R182" s="358"/>
      <c r="S182" s="358"/>
      <c r="T182" s="357"/>
      <c r="U182" s="357"/>
      <c r="V182" s="357"/>
      <c r="W182" s="357"/>
      <c r="X182" s="357"/>
      <c r="Y182" s="357"/>
      <c r="Z182" s="357"/>
      <c r="AA182" s="357"/>
      <c r="AB182" s="441" t="s">
        <v>404</v>
      </c>
      <c r="AC182" s="133"/>
      <c r="AD182" s="68">
        <v>20000</v>
      </c>
      <c r="AE182" s="134" t="s">
        <v>282</v>
      </c>
      <c r="AF182" s="2"/>
    </row>
    <row r="183" spans="1:32" s="11" customFormat="1" ht="21" customHeight="1">
      <c r="A183" s="45"/>
      <c r="B183" s="46"/>
      <c r="C183" s="46"/>
      <c r="D183" s="155">
        <f>[3]세출!E183</f>
        <v>0</v>
      </c>
      <c r="E183" s="108"/>
      <c r="F183" s="108"/>
      <c r="G183" s="108"/>
      <c r="H183" s="108"/>
      <c r="I183" s="108"/>
      <c r="J183" s="108"/>
      <c r="K183" s="108"/>
      <c r="L183" s="108"/>
      <c r="M183" s="108"/>
      <c r="N183" s="70"/>
      <c r="O183" s="442" t="s">
        <v>361</v>
      </c>
      <c r="P183" s="442"/>
      <c r="Q183" s="442"/>
      <c r="R183" s="442"/>
      <c r="S183" s="442"/>
      <c r="T183" s="441"/>
      <c r="U183" s="441"/>
      <c r="V183" s="441"/>
      <c r="W183" s="441"/>
      <c r="X183" s="441"/>
      <c r="Y183" s="441"/>
      <c r="Z183" s="441"/>
      <c r="AA183" s="441"/>
      <c r="AB183" s="441" t="s">
        <v>405</v>
      </c>
      <c r="AC183" s="133"/>
      <c r="AD183" s="68">
        <v>3000</v>
      </c>
      <c r="AE183" s="134" t="s">
        <v>369</v>
      </c>
      <c r="AF183" s="2"/>
    </row>
    <row r="184" spans="1:32" s="11" customFormat="1" ht="21" customHeight="1">
      <c r="A184" s="45"/>
      <c r="B184" s="46"/>
      <c r="C184" s="46"/>
      <c r="D184" s="155">
        <f>[3]세출!E184</f>
        <v>0</v>
      </c>
      <c r="E184" s="108"/>
      <c r="F184" s="108"/>
      <c r="G184" s="108"/>
      <c r="H184" s="108"/>
      <c r="I184" s="108"/>
      <c r="J184" s="108"/>
      <c r="K184" s="108"/>
      <c r="L184" s="108"/>
      <c r="M184" s="108"/>
      <c r="N184" s="70"/>
      <c r="O184" s="442" t="s">
        <v>368</v>
      </c>
      <c r="P184" s="358"/>
      <c r="Q184" s="358"/>
      <c r="R184" s="358"/>
      <c r="S184" s="358"/>
      <c r="T184" s="357"/>
      <c r="U184" s="357"/>
      <c r="V184" s="357"/>
      <c r="W184" s="357"/>
      <c r="X184" s="357"/>
      <c r="Y184" s="357"/>
      <c r="Z184" s="357"/>
      <c r="AA184" s="357"/>
      <c r="AB184" s="441" t="s">
        <v>406</v>
      </c>
      <c r="AC184" s="133"/>
      <c r="AD184" s="68">
        <v>2000</v>
      </c>
      <c r="AE184" s="134" t="s">
        <v>282</v>
      </c>
      <c r="AF184" s="2"/>
    </row>
    <row r="185" spans="1:32" s="11" customFormat="1" ht="21" customHeight="1">
      <c r="A185" s="45"/>
      <c r="B185" s="46"/>
      <c r="C185" s="46"/>
      <c r="D185" s="155">
        <f>[3]세출!E185</f>
        <v>0</v>
      </c>
      <c r="E185" s="108"/>
      <c r="F185" s="108"/>
      <c r="G185" s="108"/>
      <c r="H185" s="108"/>
      <c r="I185" s="108"/>
      <c r="J185" s="108"/>
      <c r="K185" s="108"/>
      <c r="L185" s="108"/>
      <c r="M185" s="108"/>
      <c r="N185" s="70"/>
      <c r="O185" s="442" t="s">
        <v>362</v>
      </c>
      <c r="P185" s="358"/>
      <c r="Q185" s="358"/>
      <c r="R185" s="358"/>
      <c r="S185" s="358"/>
      <c r="T185" s="357"/>
      <c r="U185" s="357"/>
      <c r="V185" s="357"/>
      <c r="W185" s="357"/>
      <c r="X185" s="357"/>
      <c r="Y185" s="357"/>
      <c r="Z185" s="357"/>
      <c r="AA185" s="357"/>
      <c r="AB185" s="441" t="s">
        <v>407</v>
      </c>
      <c r="AC185" s="133"/>
      <c r="AD185" s="68">
        <v>2000</v>
      </c>
      <c r="AE185" s="134" t="s">
        <v>282</v>
      </c>
      <c r="AF185" s="2"/>
    </row>
    <row r="186" spans="1:32" s="11" customFormat="1" ht="21" customHeight="1">
      <c r="A186" s="45"/>
      <c r="B186" s="46"/>
      <c r="C186" s="46"/>
      <c r="D186" s="155">
        <f>[3]세출!E186</f>
        <v>0</v>
      </c>
      <c r="E186" s="108"/>
      <c r="F186" s="108"/>
      <c r="G186" s="108"/>
      <c r="H186" s="108"/>
      <c r="I186" s="108"/>
      <c r="J186" s="108"/>
      <c r="K186" s="108"/>
      <c r="L186" s="108"/>
      <c r="M186" s="108"/>
      <c r="N186" s="70"/>
      <c r="O186" s="442" t="s">
        <v>372</v>
      </c>
      <c r="P186" s="442"/>
      <c r="Q186" s="442"/>
      <c r="R186" s="442"/>
      <c r="S186" s="442"/>
      <c r="T186" s="441"/>
      <c r="U186" s="441"/>
      <c r="V186" s="441"/>
      <c r="W186" s="441"/>
      <c r="X186" s="441"/>
      <c r="Y186" s="441"/>
      <c r="Z186" s="441"/>
      <c r="AA186" s="441"/>
      <c r="AB186" s="441" t="s">
        <v>408</v>
      </c>
      <c r="AC186" s="133"/>
      <c r="AD186" s="68">
        <v>2000</v>
      </c>
      <c r="AE186" s="134" t="s">
        <v>57</v>
      </c>
      <c r="AF186" s="2"/>
    </row>
    <row r="187" spans="1:32" s="1" customFormat="1" ht="21" customHeight="1" thickBot="1">
      <c r="A187" s="135"/>
      <c r="B187" s="101"/>
      <c r="C187" s="101"/>
      <c r="D187" s="160"/>
      <c r="E187" s="136"/>
      <c r="F187" s="136"/>
      <c r="G187" s="136"/>
      <c r="H187" s="136"/>
      <c r="I187" s="136"/>
      <c r="J187" s="136"/>
      <c r="K187" s="136"/>
      <c r="L187" s="136"/>
      <c r="M187" s="136"/>
      <c r="N187" s="137"/>
      <c r="O187" s="382"/>
      <c r="P187" s="382"/>
      <c r="Q187" s="382"/>
      <c r="R187" s="382"/>
      <c r="S187" s="383"/>
      <c r="T187" s="383"/>
      <c r="U187" s="383"/>
      <c r="V187" s="383"/>
      <c r="W187" s="383"/>
      <c r="X187" s="383"/>
      <c r="Y187" s="383"/>
      <c r="Z187" s="383"/>
      <c r="AA187" s="383"/>
      <c r="AB187" s="383"/>
      <c r="AC187" s="383"/>
      <c r="AD187" s="383"/>
      <c r="AE187" s="384"/>
    </row>
    <row r="189" spans="1:32" ht="21" customHeight="1">
      <c r="E189" s="292"/>
      <c r="F189" s="292"/>
    </row>
    <row r="190" spans="1:32" ht="21" customHeight="1">
      <c r="E190" s="292"/>
      <c r="F190" s="292"/>
    </row>
    <row r="191" spans="1:32" ht="21" customHeight="1">
      <c r="F191" s="292"/>
    </row>
    <row r="192" spans="1:32" ht="21" customHeight="1">
      <c r="E192" s="292"/>
      <c r="F192" s="292"/>
    </row>
    <row r="193" spans="5:6" ht="21" customHeight="1">
      <c r="E193" s="292"/>
      <c r="F193" s="292"/>
    </row>
    <row r="194" spans="5:6" ht="21" customHeight="1">
      <c r="E194" s="292"/>
      <c r="F194" s="292"/>
    </row>
  </sheetData>
  <mergeCells count="15">
    <mergeCell ref="O2:AE3"/>
    <mergeCell ref="V92:W92"/>
    <mergeCell ref="V66:W66"/>
    <mergeCell ref="B5:C5"/>
    <mergeCell ref="A4:C4"/>
    <mergeCell ref="M2:N2"/>
    <mergeCell ref="A2:C2"/>
    <mergeCell ref="D2:D3"/>
    <mergeCell ref="E2:L2"/>
    <mergeCell ref="A1:E1"/>
    <mergeCell ref="B179:C179"/>
    <mergeCell ref="B176:C176"/>
    <mergeCell ref="B167:C167"/>
    <mergeCell ref="B112:C112"/>
    <mergeCell ref="B96:C96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몬띠의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2019-02-18T06:02:53Z</cp:lastPrinted>
  <dcterms:created xsi:type="dcterms:W3CDTF">2003-12-18T04:11:57Z</dcterms:created>
  <dcterms:modified xsi:type="dcterms:W3CDTF">2019-03-28T06:33:19Z</dcterms:modified>
</cp:coreProperties>
</file>