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 activeTab="2"/>
  </bookViews>
  <sheets>
    <sheet name="세입세출총괄표" sheetId="18" r:id="rId1"/>
    <sheet name="세입" sheetId="29" r:id="rId2"/>
    <sheet name="세출" sheetId="5" r:id="rId3"/>
  </sheets>
  <externalReferences>
    <externalReference r:id="rId4"/>
  </externalReferences>
  <definedNames>
    <definedName name="_xlnm.Print_Area" localSheetId="1">세입!$A$1:$Y$289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세출!$AD$23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세출!$AD$19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세출!$AD$27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AD178" i="5"/>
  <c r="AD89"/>
  <c r="E279" i="29"/>
  <c r="X248"/>
  <c r="AD150" i="5" l="1"/>
  <c r="AD270"/>
  <c r="AD173"/>
  <c r="AD141"/>
  <c r="X234" i="29"/>
  <c r="F250"/>
  <c r="G250" s="1"/>
  <c r="H250"/>
  <c r="F248"/>
  <c r="F255"/>
  <c r="G255" s="1"/>
  <c r="F253"/>
  <c r="X252"/>
  <c r="H255"/>
  <c r="X227"/>
  <c r="AD118" i="5"/>
  <c r="AD202"/>
  <c r="AD164"/>
  <c r="AD163" s="1"/>
  <c r="X232" i="29"/>
  <c r="X231" s="1"/>
  <c r="X224"/>
  <c r="X221"/>
  <c r="X219"/>
  <c r="X218" s="1"/>
  <c r="X216"/>
  <c r="X215"/>
  <c r="X214"/>
  <c r="X213"/>
  <c r="X212"/>
  <c r="X208"/>
  <c r="X207"/>
  <c r="X206"/>
  <c r="X205"/>
  <c r="X204"/>
  <c r="E229"/>
  <c r="X22"/>
  <c r="X24"/>
  <c r="X15"/>
  <c r="M109"/>
  <c r="X109" s="1"/>
  <c r="M110"/>
  <c r="M108"/>
  <c r="M45"/>
  <c r="X45" s="1"/>
  <c r="M46"/>
  <c r="M44"/>
  <c r="X229" l="1"/>
  <c r="F230" s="1"/>
  <c r="F229" s="1"/>
  <c r="F252"/>
  <c r="X203"/>
  <c r="X200" s="1"/>
  <c r="X211"/>
  <c r="AD302" i="5"/>
  <c r="AD321" l="1"/>
  <c r="AD196" l="1"/>
  <c r="AD221"/>
  <c r="X188" i="29"/>
  <c r="AD149" i="5"/>
  <c r="AD158"/>
  <c r="AD64"/>
  <c r="AD160"/>
  <c r="X283" i="29" l="1"/>
  <c r="X81"/>
  <c r="M147"/>
  <c r="M148"/>
  <c r="M146"/>
  <c r="M144"/>
  <c r="M143"/>
  <c r="M142"/>
  <c r="X142" s="1"/>
  <c r="M117"/>
  <c r="M116"/>
  <c r="M115"/>
  <c r="M113"/>
  <c r="M53"/>
  <c r="X53" s="1"/>
  <c r="M52"/>
  <c r="M51"/>
  <c r="M49"/>
  <c r="AD119" i="5" l="1"/>
  <c r="X144" i="29" l="1"/>
  <c r="AD238" i="5"/>
  <c r="AD231" l="1"/>
  <c r="AD215" l="1"/>
  <c r="S38"/>
  <c r="X148" i="29"/>
  <c r="M150"/>
  <c r="X113"/>
  <c r="M119"/>
  <c r="M122" s="1"/>
  <c r="X122" s="1"/>
  <c r="M55"/>
  <c r="M58" s="1"/>
  <c r="X284"/>
  <c r="AD203" i="5"/>
  <c r="AD197"/>
  <c r="X6" i="29"/>
  <c r="X166"/>
  <c r="M153" l="1"/>
  <c r="X153" s="1"/>
  <c r="M154" s="1"/>
  <c r="X150"/>
  <c r="M156"/>
  <c r="M155"/>
  <c r="M152"/>
  <c r="X152" s="1"/>
  <c r="M121"/>
  <c r="M125"/>
  <c r="X125" s="1"/>
  <c r="M124"/>
  <c r="X124" s="1"/>
  <c r="M57"/>
  <c r="X57" s="1"/>
  <c r="M61"/>
  <c r="M60"/>
  <c r="X55"/>
  <c r="X263" l="1"/>
  <c r="X241"/>
  <c r="X238"/>
  <c r="AD161" i="5" l="1"/>
  <c r="I27" i="18"/>
  <c r="I23"/>
  <c r="I16"/>
  <c r="I12"/>
  <c r="I8"/>
  <c r="D22"/>
  <c r="D20"/>
  <c r="D18"/>
  <c r="D15"/>
  <c r="D10"/>
  <c r="D8"/>
  <c r="AD65" i="5"/>
  <c r="AD222"/>
  <c r="AD224"/>
  <c r="AD214"/>
  <c r="D7" i="18" l="1"/>
  <c r="I7"/>
  <c r="AD327" i="5"/>
  <c r="AD232"/>
  <c r="AD201"/>
  <c r="X16" i="29" l="1"/>
  <c r="X132"/>
  <c r="X117"/>
  <c r="X44"/>
  <c r="X36"/>
  <c r="X184" l="1"/>
  <c r="M26"/>
  <c r="X26" s="1"/>
  <c r="X146"/>
  <c r="X51"/>
  <c r="AD69" i="5" l="1"/>
  <c r="L358"/>
  <c r="K358"/>
  <c r="J358"/>
  <c r="I358"/>
  <c r="H358"/>
  <c r="G358"/>
  <c r="F358"/>
  <c r="J355"/>
  <c r="L355"/>
  <c r="K355"/>
  <c r="I355"/>
  <c r="H355"/>
  <c r="G355"/>
  <c r="F355"/>
  <c r="L342"/>
  <c r="K342"/>
  <c r="J342"/>
  <c r="I342"/>
  <c r="H342"/>
  <c r="G342"/>
  <c r="F342"/>
  <c r="L335"/>
  <c r="K335"/>
  <c r="H335"/>
  <c r="G335"/>
  <c r="F335"/>
  <c r="L327"/>
  <c r="K327"/>
  <c r="J327"/>
  <c r="I327"/>
  <c r="H327"/>
  <c r="G327"/>
  <c r="F327"/>
  <c r="L321"/>
  <c r="K321"/>
  <c r="J321"/>
  <c r="I321"/>
  <c r="H321"/>
  <c r="G321"/>
  <c r="F321"/>
  <c r="L315"/>
  <c r="K315"/>
  <c r="J315"/>
  <c r="I315"/>
  <c r="H315"/>
  <c r="G315"/>
  <c r="F315"/>
  <c r="L302"/>
  <c r="K302"/>
  <c r="J302"/>
  <c r="I302"/>
  <c r="H302"/>
  <c r="G302"/>
  <c r="F302"/>
  <c r="L295"/>
  <c r="K295"/>
  <c r="J295"/>
  <c r="I295"/>
  <c r="H295"/>
  <c r="G295"/>
  <c r="F295"/>
  <c r="L290"/>
  <c r="K290"/>
  <c r="J290"/>
  <c r="I290"/>
  <c r="H290"/>
  <c r="G290"/>
  <c r="F290"/>
  <c r="L286"/>
  <c r="K286"/>
  <c r="I286"/>
  <c r="H286"/>
  <c r="G286"/>
  <c r="F286"/>
  <c r="L277"/>
  <c r="K277"/>
  <c r="J277"/>
  <c r="I277"/>
  <c r="H277"/>
  <c r="G277"/>
  <c r="F277"/>
  <c r="L270"/>
  <c r="K270"/>
  <c r="J270"/>
  <c r="I270"/>
  <c r="H270"/>
  <c r="G270"/>
  <c r="F270"/>
  <c r="L263"/>
  <c r="K263"/>
  <c r="J263"/>
  <c r="I263"/>
  <c r="H263"/>
  <c r="G263"/>
  <c r="F263"/>
  <c r="L256"/>
  <c r="K256"/>
  <c r="J256"/>
  <c r="I256"/>
  <c r="H256"/>
  <c r="G256"/>
  <c r="F256"/>
  <c r="L244"/>
  <c r="K244"/>
  <c r="H244"/>
  <c r="G244"/>
  <c r="L238"/>
  <c r="K238"/>
  <c r="J238"/>
  <c r="I238"/>
  <c r="H238"/>
  <c r="G238"/>
  <c r="F238"/>
  <c r="L229"/>
  <c r="K229"/>
  <c r="J229"/>
  <c r="H229"/>
  <c r="G229"/>
  <c r="L218"/>
  <c r="K218"/>
  <c r="J218"/>
  <c r="L213"/>
  <c r="K213"/>
  <c r="I213"/>
  <c r="G213"/>
  <c r="F213"/>
  <c r="L208"/>
  <c r="K208"/>
  <c r="J208"/>
  <c r="I208"/>
  <c r="H208"/>
  <c r="G208"/>
  <c r="F208"/>
  <c r="K194"/>
  <c r="J194"/>
  <c r="I194"/>
  <c r="G194"/>
  <c r="L178"/>
  <c r="K178"/>
  <c r="J178"/>
  <c r="I178"/>
  <c r="H178"/>
  <c r="G178"/>
  <c r="L173"/>
  <c r="K173"/>
  <c r="J173"/>
  <c r="H173"/>
  <c r="G173"/>
  <c r="F173"/>
  <c r="L170"/>
  <c r="K170"/>
  <c r="J170"/>
  <c r="I170"/>
  <c r="H170"/>
  <c r="G170"/>
  <c r="F170"/>
  <c r="L144"/>
  <c r="J144"/>
  <c r="H144"/>
  <c r="G144"/>
  <c r="L138"/>
  <c r="K138"/>
  <c r="J138"/>
  <c r="I138"/>
  <c r="H138"/>
  <c r="L123"/>
  <c r="K123"/>
  <c r="J123"/>
  <c r="I123"/>
  <c r="H123"/>
  <c r="G123"/>
  <c r="L114"/>
  <c r="K114"/>
  <c r="J114"/>
  <c r="I114"/>
  <c r="H114"/>
  <c r="G114"/>
  <c r="L91"/>
  <c r="K91"/>
  <c r="J91"/>
  <c r="H91"/>
  <c r="G91"/>
  <c r="L88"/>
  <c r="J88"/>
  <c r="H88"/>
  <c r="G88"/>
  <c r="F88"/>
  <c r="J83"/>
  <c r="I83"/>
  <c r="H83"/>
  <c r="G83"/>
  <c r="F83"/>
  <c r="L81"/>
  <c r="K81"/>
  <c r="J81"/>
  <c r="I81"/>
  <c r="H81"/>
  <c r="G81"/>
  <c r="F81"/>
  <c r="L78"/>
  <c r="K78"/>
  <c r="J78"/>
  <c r="I78"/>
  <c r="H78"/>
  <c r="G78"/>
  <c r="F78"/>
  <c r="J62"/>
  <c r="H62"/>
  <c r="F62"/>
  <c r="L40"/>
  <c r="K40"/>
  <c r="J40"/>
  <c r="I40"/>
  <c r="H40"/>
  <c r="L32"/>
  <c r="J32"/>
  <c r="H32"/>
  <c r="L18"/>
  <c r="J18"/>
  <c r="I18"/>
  <c r="H18"/>
  <c r="G18"/>
  <c r="F18"/>
  <c r="L13"/>
  <c r="K13"/>
  <c r="J13"/>
  <c r="I13"/>
  <c r="H13"/>
  <c r="F13"/>
  <c r="L7"/>
  <c r="K7"/>
  <c r="J7"/>
  <c r="I7"/>
  <c r="H7"/>
  <c r="G7"/>
  <c r="F7"/>
  <c r="I32"/>
  <c r="E22" i="18" l="1"/>
  <c r="F218" i="5"/>
  <c r="AD95"/>
  <c r="AD105"/>
  <c r="AD85"/>
  <c r="AD83" s="1"/>
  <c r="E237" i="29"/>
  <c r="F238"/>
  <c r="G238" l="1"/>
  <c r="H238" s="1"/>
  <c r="K83" i="5"/>
  <c r="L83"/>
  <c r="X119" i="29"/>
  <c r="AD290" i="5"/>
  <c r="AD38"/>
  <c r="X183" i="29"/>
  <c r="X182" s="1"/>
  <c r="M123" l="1"/>
  <c r="X58"/>
  <c r="M59" s="1"/>
  <c r="X59" s="1"/>
  <c r="X155"/>
  <c r="X61"/>
  <c r="X156"/>
  <c r="X60"/>
  <c r="AD230" i="5" l="1"/>
  <c r="F144"/>
  <c r="AD117"/>
  <c r="AD116"/>
  <c r="AD100"/>
  <c r="I88"/>
  <c r="AD153"/>
  <c r="AD247"/>
  <c r="AD246"/>
  <c r="AD195"/>
  <c r="AD7"/>
  <c r="X20" i="29"/>
  <c r="F13" i="18" l="1"/>
  <c r="I218" i="5" l="1"/>
  <c r="I173"/>
  <c r="AD16"/>
  <c r="X169" i="29"/>
  <c r="X7" l="1"/>
  <c r="X5" s="1"/>
  <c r="H8"/>
  <c r="X8"/>
  <c r="F8" s="1"/>
  <c r="G8" s="1"/>
  <c r="H10"/>
  <c r="X10"/>
  <c r="F10" s="1"/>
  <c r="G10" s="1"/>
  <c r="E13"/>
  <c r="X17"/>
  <c r="X23"/>
  <c r="X35"/>
  <c r="X39"/>
  <c r="X38" s="1"/>
  <c r="E42"/>
  <c r="X46"/>
  <c r="X49"/>
  <c r="X52"/>
  <c r="X64"/>
  <c r="X65"/>
  <c r="X68"/>
  <c r="X71"/>
  <c r="X72"/>
  <c r="X73"/>
  <c r="X74"/>
  <c r="X76"/>
  <c r="X82"/>
  <c r="X83"/>
  <c r="X85"/>
  <c r="X86"/>
  <c r="X87"/>
  <c r="M89"/>
  <c r="X89" s="1"/>
  <c r="X98"/>
  <c r="X99"/>
  <c r="X100"/>
  <c r="X103"/>
  <c r="X104"/>
  <c r="E106"/>
  <c r="X108"/>
  <c r="X110"/>
  <c r="X115"/>
  <c r="X116"/>
  <c r="X121"/>
  <c r="X128"/>
  <c r="X129"/>
  <c r="X133"/>
  <c r="X134"/>
  <c r="X135"/>
  <c r="X137"/>
  <c r="X143"/>
  <c r="X147"/>
  <c r="X149"/>
  <c r="X159"/>
  <c r="X160"/>
  <c r="X161"/>
  <c r="X164"/>
  <c r="X165"/>
  <c r="E168"/>
  <c r="X168"/>
  <c r="F169"/>
  <c r="F168" s="1"/>
  <c r="E172"/>
  <c r="X174"/>
  <c r="X173" s="1"/>
  <c r="F182"/>
  <c r="G182" s="1"/>
  <c r="H182" s="1"/>
  <c r="E186"/>
  <c r="X187"/>
  <c r="E192"/>
  <c r="H192" s="1"/>
  <c r="H193"/>
  <c r="X193"/>
  <c r="X192" s="1"/>
  <c r="E195"/>
  <c r="H195" s="1"/>
  <c r="X195"/>
  <c r="F196"/>
  <c r="F195" s="1"/>
  <c r="H196"/>
  <c r="E199"/>
  <c r="X199"/>
  <c r="X244"/>
  <c r="X237" s="1"/>
  <c r="G248"/>
  <c r="H248" s="1"/>
  <c r="E252"/>
  <c r="E258"/>
  <c r="H258" s="1"/>
  <c r="H259"/>
  <c r="X258"/>
  <c r="E262"/>
  <c r="E261" s="1"/>
  <c r="X262"/>
  <c r="E267"/>
  <c r="X268"/>
  <c r="X267" s="1"/>
  <c r="X281"/>
  <c r="X285"/>
  <c r="X287"/>
  <c r="X286" s="1"/>
  <c r="F244" l="1"/>
  <c r="G244" s="1"/>
  <c r="H244" s="1"/>
  <c r="X280"/>
  <c r="X279" s="1"/>
  <c r="X261" s="1"/>
  <c r="F286"/>
  <c r="X102"/>
  <c r="F102" s="1"/>
  <c r="G102" s="1"/>
  <c r="H102" s="1"/>
  <c r="F268"/>
  <c r="G268" s="1"/>
  <c r="H268" s="1"/>
  <c r="M91"/>
  <c r="X91" s="1"/>
  <c r="X88"/>
  <c r="X158"/>
  <c r="X127"/>
  <c r="F127" s="1"/>
  <c r="G127" s="1"/>
  <c r="H127" s="1"/>
  <c r="X50"/>
  <c r="X43"/>
  <c r="F43" s="1"/>
  <c r="G43" s="1"/>
  <c r="H43" s="1"/>
  <c r="X141"/>
  <c r="F200"/>
  <c r="G200" s="1"/>
  <c r="H200" s="1"/>
  <c r="G168"/>
  <c r="H168" s="1"/>
  <c r="E191"/>
  <c r="H191" s="1"/>
  <c r="G195"/>
  <c r="X14"/>
  <c r="F14" s="1"/>
  <c r="E171"/>
  <c r="X80"/>
  <c r="E236"/>
  <c r="G196"/>
  <c r="F259"/>
  <c r="G259" s="1"/>
  <c r="X107"/>
  <c r="F107" s="1"/>
  <c r="X97"/>
  <c r="X63"/>
  <c r="F63" s="1"/>
  <c r="G63" s="1"/>
  <c r="H63" s="1"/>
  <c r="X34"/>
  <c r="F34" s="1"/>
  <c r="G34" s="1"/>
  <c r="H34" s="1"/>
  <c r="M28"/>
  <c r="X28" s="1"/>
  <c r="X25"/>
  <c r="X191"/>
  <c r="X131"/>
  <c r="F131" s="1"/>
  <c r="G131" s="1"/>
  <c r="H131" s="1"/>
  <c r="X70"/>
  <c r="F70" s="1"/>
  <c r="G70" s="1"/>
  <c r="H70" s="1"/>
  <c r="G169"/>
  <c r="H169" s="1"/>
  <c r="X163"/>
  <c r="F163" s="1"/>
  <c r="G163" s="1"/>
  <c r="H163" s="1"/>
  <c r="X145"/>
  <c r="X114"/>
  <c r="X118"/>
  <c r="X123"/>
  <c r="X84"/>
  <c r="M95"/>
  <c r="X95" s="1"/>
  <c r="M92"/>
  <c r="X92" s="1"/>
  <c r="M94"/>
  <c r="X94" s="1"/>
  <c r="X54"/>
  <c r="X21"/>
  <c r="M29"/>
  <c r="X29" s="1"/>
  <c r="M31"/>
  <c r="X31" s="1"/>
  <c r="E198"/>
  <c r="E12"/>
  <c r="F5"/>
  <c r="F187"/>
  <c r="X186"/>
  <c r="F173"/>
  <c r="X172"/>
  <c r="G253"/>
  <c r="H253" s="1"/>
  <c r="G252"/>
  <c r="H252" s="1"/>
  <c r="F263"/>
  <c r="F241"/>
  <c r="F237" s="1"/>
  <c r="F193"/>
  <c r="M32"/>
  <c r="X32" s="1"/>
  <c r="G286" l="1"/>
  <c r="H286" s="1"/>
  <c r="X154"/>
  <c r="M30"/>
  <c r="X30" s="1"/>
  <c r="M93"/>
  <c r="X93" s="1"/>
  <c r="F199"/>
  <c r="G199" s="1"/>
  <c r="H199" s="1"/>
  <c r="F267"/>
  <c r="G267" s="1"/>
  <c r="H267" s="1"/>
  <c r="F258"/>
  <c r="G258" s="1"/>
  <c r="X120"/>
  <c r="X112" s="1"/>
  <c r="F280"/>
  <c r="X236"/>
  <c r="X56"/>
  <c r="X48" s="1"/>
  <c r="F48" s="1"/>
  <c r="G48" s="1"/>
  <c r="H48" s="1"/>
  <c r="G107"/>
  <c r="H107" s="1"/>
  <c r="G263"/>
  <c r="H263" s="1"/>
  <c r="F262"/>
  <c r="G14"/>
  <c r="H14" s="1"/>
  <c r="G187"/>
  <c r="H187" s="1"/>
  <c r="F186"/>
  <c r="G186" s="1"/>
  <c r="H186" s="1"/>
  <c r="G193"/>
  <c r="F192"/>
  <c r="G173"/>
  <c r="H173" s="1"/>
  <c r="F172"/>
  <c r="G241"/>
  <c r="H241" s="1"/>
  <c r="G5"/>
  <c r="E4"/>
  <c r="X171"/>
  <c r="G280" l="1"/>
  <c r="H280" s="1"/>
  <c r="F279"/>
  <c r="G279" s="1"/>
  <c r="H279" s="1"/>
  <c r="X90"/>
  <c r="X79" s="1"/>
  <c r="X78" s="1"/>
  <c r="X27"/>
  <c r="X19" s="1"/>
  <c r="F19" s="1"/>
  <c r="G19" s="1"/>
  <c r="H19" s="1"/>
  <c r="X151"/>
  <c r="X140" s="1"/>
  <c r="X139" s="1"/>
  <c r="F112"/>
  <c r="H5"/>
  <c r="G172"/>
  <c r="H172" s="1"/>
  <c r="F171"/>
  <c r="G171" s="1"/>
  <c r="H171" s="1"/>
  <c r="G262"/>
  <c r="H262" s="1"/>
  <c r="F236"/>
  <c r="G236" s="1"/>
  <c r="H236" s="1"/>
  <c r="G237"/>
  <c r="H237" s="1"/>
  <c r="F191"/>
  <c r="G191" s="1"/>
  <c r="G192"/>
  <c r="F261" l="1"/>
  <c r="F78"/>
  <c r="X42"/>
  <c r="X13"/>
  <c r="F13"/>
  <c r="G13" s="1"/>
  <c r="H13" s="1"/>
  <c r="F139"/>
  <c r="G139" s="1"/>
  <c r="H139" s="1"/>
  <c r="X106"/>
  <c r="G112"/>
  <c r="H112" s="1"/>
  <c r="G261"/>
  <c r="H261" s="1"/>
  <c r="G78" l="1"/>
  <c r="H78" s="1"/>
  <c r="F42"/>
  <c r="G42" s="1"/>
  <c r="H42" s="1"/>
  <c r="X12"/>
  <c r="F106"/>
  <c r="G106" s="1"/>
  <c r="H106" s="1"/>
  <c r="F12" l="1"/>
  <c r="G12" l="1"/>
  <c r="AD94" i="5"/>
  <c r="AD92"/>
  <c r="AD251"/>
  <c r="K237"/>
  <c r="H237"/>
  <c r="G237"/>
  <c r="D237"/>
  <c r="AD337"/>
  <c r="I335" s="1"/>
  <c r="E321"/>
  <c r="M321" s="1"/>
  <c r="N321" s="1"/>
  <c r="AD315"/>
  <c r="E315" s="1"/>
  <c r="M315" s="1"/>
  <c r="N315" s="1"/>
  <c r="AD295"/>
  <c r="E295" s="1"/>
  <c r="M295" s="1"/>
  <c r="N295" s="1"/>
  <c r="E290"/>
  <c r="M290" s="1"/>
  <c r="N290" s="1"/>
  <c r="AD286"/>
  <c r="AD277"/>
  <c r="E277" s="1"/>
  <c r="M277" s="1"/>
  <c r="N277" s="1"/>
  <c r="L237"/>
  <c r="AD263"/>
  <c r="E263" s="1"/>
  <c r="M263" s="1"/>
  <c r="N263" s="1"/>
  <c r="E238"/>
  <c r="M238" s="1"/>
  <c r="N238" s="1"/>
  <c r="AD27"/>
  <c r="F244" l="1"/>
  <c r="F237" s="1"/>
  <c r="AD244"/>
  <c r="J244"/>
  <c r="I244"/>
  <c r="AD335"/>
  <c r="E335" s="1"/>
  <c r="M335" s="1"/>
  <c r="N335" s="1"/>
  <c r="J335"/>
  <c r="J286"/>
  <c r="E302"/>
  <c r="M302" s="1"/>
  <c r="N302" s="1"/>
  <c r="E327"/>
  <c r="M327" s="1"/>
  <c r="N327" s="1"/>
  <c r="H12" i="29"/>
  <c r="E286" i="5"/>
  <c r="M286" s="1"/>
  <c r="N286" s="1"/>
  <c r="I237" l="1"/>
  <c r="J237"/>
  <c r="AD66" l="1"/>
  <c r="F229"/>
  <c r="I229"/>
  <c r="I144"/>
  <c r="AD126"/>
  <c r="AD99"/>
  <c r="AD93"/>
  <c r="AD96" l="1"/>
  <c r="F91" s="1"/>
  <c r="J213" l="1"/>
  <c r="AD216"/>
  <c r="H213" s="1"/>
  <c r="AD342"/>
  <c r="J27" i="18" l="1"/>
  <c r="J25"/>
  <c r="J23"/>
  <c r="J16"/>
  <c r="J12"/>
  <c r="J8"/>
  <c r="K26"/>
  <c r="K25" s="1"/>
  <c r="K24"/>
  <c r="K23" s="1"/>
  <c r="K22"/>
  <c r="K21"/>
  <c r="K20"/>
  <c r="K19"/>
  <c r="K18"/>
  <c r="K17"/>
  <c r="K15"/>
  <c r="K14"/>
  <c r="K11"/>
  <c r="K10"/>
  <c r="E20"/>
  <c r="E18"/>
  <c r="E15"/>
  <c r="E10"/>
  <c r="E8"/>
  <c r="K16" l="1"/>
  <c r="J7"/>
  <c r="E7"/>
  <c r="E244" i="5" l="1"/>
  <c r="M244" l="1"/>
  <c r="N244" s="1"/>
  <c r="AD157"/>
  <c r="AD145" s="1"/>
  <c r="AD144" s="1"/>
  <c r="E144" s="1"/>
  <c r="AD139" l="1"/>
  <c r="AD204" l="1"/>
  <c r="E270" l="1"/>
  <c r="M270" s="1"/>
  <c r="N270" s="1"/>
  <c r="AD256"/>
  <c r="AD237" s="1"/>
  <c r="S36"/>
  <c r="S34"/>
  <c r="AD34" s="1"/>
  <c r="AD36" l="1"/>
  <c r="E256"/>
  <c r="E237" s="1"/>
  <c r="F194"/>
  <c r="F32"/>
  <c r="AD220"/>
  <c r="G218" s="1"/>
  <c r="AD35" l="1"/>
  <c r="G32"/>
  <c r="M256"/>
  <c r="N256" s="1"/>
  <c r="AD68" l="1"/>
  <c r="AD74"/>
  <c r="L62" s="1"/>
  <c r="AD73"/>
  <c r="I62" s="1"/>
  <c r="D357" l="1"/>
  <c r="D354"/>
  <c r="D341"/>
  <c r="D169"/>
  <c r="D168" s="1"/>
  <c r="K28" i="18" l="1"/>
  <c r="K27" s="1"/>
  <c r="F23"/>
  <c r="F22" s="1"/>
  <c r="F21"/>
  <c r="F20" s="1"/>
  <c r="F19"/>
  <c r="F18" s="1"/>
  <c r="F17"/>
  <c r="F16"/>
  <c r="K13"/>
  <c r="K12" s="1"/>
  <c r="F14"/>
  <c r="F12"/>
  <c r="F11"/>
  <c r="K9"/>
  <c r="K8" s="1"/>
  <c r="F9"/>
  <c r="F8" s="1"/>
  <c r="F15" l="1"/>
  <c r="K7"/>
  <c r="F10"/>
  <c r="AD140" i="5"/>
  <c r="AD71"/>
  <c r="G62" s="1"/>
  <c r="F138" l="1"/>
  <c r="G138"/>
  <c r="F7" i="18"/>
  <c r="AD138" i="5"/>
  <c r="AD198"/>
  <c r="AD19"/>
  <c r="D193"/>
  <c r="D192" s="1"/>
  <c r="D87"/>
  <c r="D77"/>
  <c r="S44"/>
  <c r="AD44" s="1"/>
  <c r="S48" l="1"/>
  <c r="AD48" s="1"/>
  <c r="S43"/>
  <c r="AD43" s="1"/>
  <c r="F357"/>
  <c r="G357"/>
  <c r="H357"/>
  <c r="I357"/>
  <c r="J357"/>
  <c r="K357"/>
  <c r="L357"/>
  <c r="AD358"/>
  <c r="AD357" s="1"/>
  <c r="F354"/>
  <c r="G354"/>
  <c r="H354"/>
  <c r="I354"/>
  <c r="J354"/>
  <c r="K354"/>
  <c r="L354"/>
  <c r="I341"/>
  <c r="J341"/>
  <c r="K341"/>
  <c r="L341"/>
  <c r="H341"/>
  <c r="G341"/>
  <c r="F341"/>
  <c r="G87"/>
  <c r="H87"/>
  <c r="G193"/>
  <c r="K193"/>
  <c r="AD208"/>
  <c r="AD205"/>
  <c r="AD180"/>
  <c r="AD179"/>
  <c r="F178" s="1"/>
  <c r="G169"/>
  <c r="G168" s="1"/>
  <c r="H169"/>
  <c r="H168" s="1"/>
  <c r="I169"/>
  <c r="I168" s="1"/>
  <c r="J169"/>
  <c r="J168" s="1"/>
  <c r="K169"/>
  <c r="K168" s="1"/>
  <c r="L169"/>
  <c r="L168" s="1"/>
  <c r="AD170"/>
  <c r="E170" s="1"/>
  <c r="M170" s="1"/>
  <c r="N170" s="1"/>
  <c r="AD115"/>
  <c r="F114" s="1"/>
  <c r="J87"/>
  <c r="J6"/>
  <c r="G77"/>
  <c r="H77"/>
  <c r="I77"/>
  <c r="J77"/>
  <c r="L77"/>
  <c r="AD78"/>
  <c r="L194" l="1"/>
  <c r="AD88"/>
  <c r="K88"/>
  <c r="F169"/>
  <c r="F168" s="1"/>
  <c r="AD169"/>
  <c r="AD114"/>
  <c r="AD229"/>
  <c r="S56"/>
  <c r="AD56" s="1"/>
  <c r="S52"/>
  <c r="AD52" s="1"/>
  <c r="S47"/>
  <c r="AD47" s="1"/>
  <c r="E358"/>
  <c r="K192"/>
  <c r="J5"/>
  <c r="G192"/>
  <c r="AD42"/>
  <c r="G40" l="1"/>
  <c r="S55"/>
  <c r="AD55" s="1"/>
  <c r="S60"/>
  <c r="AD60" s="1"/>
  <c r="J193"/>
  <c r="S59" l="1"/>
  <c r="AD59" s="1"/>
  <c r="AD54"/>
  <c r="S51"/>
  <c r="AD51" s="1"/>
  <c r="AD46"/>
  <c r="J192"/>
  <c r="J4" s="1"/>
  <c r="I193"/>
  <c r="AD213"/>
  <c r="E213" s="1"/>
  <c r="AD58" l="1"/>
  <c r="AD50"/>
  <c r="F40"/>
  <c r="I192"/>
  <c r="E7"/>
  <c r="M7" l="1"/>
  <c r="K18"/>
  <c r="AD40" l="1"/>
  <c r="E40" s="1"/>
  <c r="M40" s="1"/>
  <c r="N40" s="1"/>
  <c r="AD33"/>
  <c r="F6" l="1"/>
  <c r="AD341" l="1"/>
  <c r="K144"/>
  <c r="F77"/>
  <c r="AD63"/>
  <c r="AD62" s="1"/>
  <c r="AD23"/>
  <c r="AD18" s="1"/>
  <c r="AD15"/>
  <c r="AD125"/>
  <c r="AD127"/>
  <c r="AD111"/>
  <c r="AD112"/>
  <c r="AD199"/>
  <c r="AD194" s="1"/>
  <c r="AD200"/>
  <c r="AD219"/>
  <c r="H218" s="1"/>
  <c r="H194" l="1"/>
  <c r="F123"/>
  <c r="F87" s="1"/>
  <c r="F5" s="1"/>
  <c r="AD37"/>
  <c r="K32"/>
  <c r="K62"/>
  <c r="AD13"/>
  <c r="G13"/>
  <c r="AD123"/>
  <c r="E123" s="1"/>
  <c r="M123" s="1"/>
  <c r="N123" s="1"/>
  <c r="H6"/>
  <c r="H5" s="1"/>
  <c r="L193"/>
  <c r="L192" s="1"/>
  <c r="E194"/>
  <c r="K87"/>
  <c r="AD218"/>
  <c r="E218" s="1"/>
  <c r="M218" s="1"/>
  <c r="N218" s="1"/>
  <c r="I6"/>
  <c r="L87"/>
  <c r="L6"/>
  <c r="E173"/>
  <c r="M173" s="1"/>
  <c r="N173" s="1"/>
  <c r="E62"/>
  <c r="E18"/>
  <c r="N7"/>
  <c r="E178"/>
  <c r="AD110"/>
  <c r="E78"/>
  <c r="E88"/>
  <c r="E208"/>
  <c r="M208" s="1"/>
  <c r="N208" s="1"/>
  <c r="E342"/>
  <c r="AD32" l="1"/>
  <c r="AD6" s="1"/>
  <c r="I91"/>
  <c r="I87" s="1"/>
  <c r="I5" s="1"/>
  <c r="I4" s="1"/>
  <c r="AD91"/>
  <c r="AD87" s="1"/>
  <c r="AD77"/>
  <c r="K77"/>
  <c r="E83"/>
  <c r="M83" s="1"/>
  <c r="N83" s="1"/>
  <c r="H193"/>
  <c r="H192" s="1"/>
  <c r="H4" s="1"/>
  <c r="L5"/>
  <c r="L4" s="1"/>
  <c r="M62"/>
  <c r="N62" s="1"/>
  <c r="G6"/>
  <c r="G5" s="1"/>
  <c r="G4" s="1"/>
  <c r="M194"/>
  <c r="N194" s="1"/>
  <c r="AD193"/>
  <c r="AD192" s="1"/>
  <c r="M88"/>
  <c r="N88" s="1"/>
  <c r="F193"/>
  <c r="F192" s="1"/>
  <c r="F4" s="1"/>
  <c r="M178"/>
  <c r="N178" s="1"/>
  <c r="E169"/>
  <c r="E168" s="1"/>
  <c r="AD168"/>
  <c r="M144"/>
  <c r="N144" s="1"/>
  <c r="E138"/>
  <c r="M138" s="1"/>
  <c r="N138" s="1"/>
  <c r="K6"/>
  <c r="M78"/>
  <c r="N78" s="1"/>
  <c r="E114"/>
  <c r="M114" s="1"/>
  <c r="N114" s="1"/>
  <c r="M213"/>
  <c r="N213" s="1"/>
  <c r="E229"/>
  <c r="M229" s="1"/>
  <c r="N229" s="1"/>
  <c r="M342"/>
  <c r="N342" s="1"/>
  <c r="E341"/>
  <c r="D6"/>
  <c r="D5" s="1"/>
  <c r="D4" s="1"/>
  <c r="E13"/>
  <c r="M237"/>
  <c r="E81"/>
  <c r="M81" s="1"/>
  <c r="N81" s="1"/>
  <c r="E32" l="1"/>
  <c r="M32" s="1"/>
  <c r="N32" s="1"/>
  <c r="K5"/>
  <c r="K4" s="1"/>
  <c r="N237"/>
  <c r="M13"/>
  <c r="N13" s="1"/>
  <c r="AD5"/>
  <c r="M341"/>
  <c r="N341" s="1"/>
  <c r="E355"/>
  <c r="AD354"/>
  <c r="E193"/>
  <c r="E192" s="1"/>
  <c r="M168"/>
  <c r="N168" s="1"/>
  <c r="M169"/>
  <c r="N169" s="1"/>
  <c r="E77"/>
  <c r="M77" s="1"/>
  <c r="N77" s="1"/>
  <c r="M18"/>
  <c r="N18" s="1"/>
  <c r="E91"/>
  <c r="M358"/>
  <c r="N358" s="1"/>
  <c r="E357"/>
  <c r="M357" s="1"/>
  <c r="N357" s="1"/>
  <c r="E6" l="1"/>
  <c r="M6" s="1"/>
  <c r="N6" s="1"/>
  <c r="AD4"/>
  <c r="M193"/>
  <c r="M355"/>
  <c r="N355" s="1"/>
  <c r="E354"/>
  <c r="M354" s="1"/>
  <c r="N354" s="1"/>
  <c r="M91"/>
  <c r="N91" s="1"/>
  <c r="E87"/>
  <c r="M87" s="1"/>
  <c r="N87" s="1"/>
  <c r="N193" l="1"/>
  <c r="M192"/>
  <c r="N192" s="1"/>
  <c r="E5"/>
  <c r="E4" s="1"/>
  <c r="M4" l="1"/>
  <c r="N4" s="1"/>
  <c r="M5"/>
  <c r="N5" s="1"/>
  <c r="X198" i="29"/>
  <c r="X4" s="1"/>
  <c r="G230" l="1"/>
  <c r="H230" s="1"/>
  <c r="F198"/>
  <c r="F4" s="1"/>
  <c r="G229"/>
  <c r="H229" s="1"/>
  <c r="G198" l="1"/>
  <c r="H198" l="1"/>
  <c r="G4"/>
  <c r="H4" s="1"/>
</calcChain>
</file>

<file path=xl/sharedStrings.xml><?xml version="1.0" encoding="utf-8"?>
<sst xmlns="http://schemas.openxmlformats.org/spreadsheetml/2006/main" count="2716" uniqueCount="888">
  <si>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</si>
  <si>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</si>
  <si>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</si>
  <si>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</si>
  <si>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</si>
  <si>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</si>
  <si>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</si>
  <si>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</si>
  <si>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</si>
  <si>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</si>
  <si>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</si>
  <si>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</si>
  <si>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</si>
  <si>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</si>
  <si>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</si>
  <si>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</si>
  <si>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</si>
  <si>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</si>
  <si>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</si>
  <si>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</si>
  <si>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</si>
  <si>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</si>
  <si>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</si>
  <si>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</si>
  <si>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</si>
  <si>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</si>
  <si>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</si>
  <si>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</si>
  <si>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</si>
  <si>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</si>
  <si>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</si>
  <si>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</si>
  <si>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</si>
  <si>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</si>
  <si>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</si>
  <si>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</si>
  <si>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</si>
  <si>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</si>
  <si>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</si>
  <si>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</si>
  <si>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</si>
  <si>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</si>
  <si>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</si>
  <si>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</si>
  <si>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</si>
  <si>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</si>
  <si>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</si>
  <si>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</si>
  <si>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</si>
  <si>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</si>
  <si>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</si>
  <si>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</si>
  <si>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</si>
  <si>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</si>
  <si>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출               기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</si>
  <si>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</si>
  <si>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</si>
  <si>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</si>
  <si>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생계비</t>
    <phoneticPr fontId="7" type="noConversion"/>
  </si>
  <si>
    <t>후원금</t>
    <phoneticPr fontId="7" type="noConversion"/>
  </si>
  <si>
    <t>잡수입</t>
    <phoneticPr fontId="7" type="noConversion"/>
  </si>
  <si>
    <t xml:space="preserve">                                                                                    </t>
    <phoneticPr fontId="7" type="noConversion"/>
  </si>
  <si>
    <t>원</t>
    <phoneticPr fontId="7" type="noConversion"/>
  </si>
  <si>
    <t>총  계 :</t>
    <phoneticPr fontId="7" type="noConversion"/>
  </si>
  <si>
    <t>소계 :</t>
    <phoneticPr fontId="7" type="noConversion"/>
  </si>
  <si>
    <t>÷</t>
    <phoneticPr fontId="7" type="noConversion"/>
  </si>
  <si>
    <t>회</t>
    <phoneticPr fontId="7" type="noConversion"/>
  </si>
  <si>
    <t>일용잡급</t>
    <phoneticPr fontId="7" type="noConversion"/>
  </si>
  <si>
    <t>※기본급</t>
    <phoneticPr fontId="7" type="noConversion"/>
  </si>
  <si>
    <t>원</t>
    <phoneticPr fontId="7" type="noConversion"/>
  </si>
  <si>
    <t>※ 일용잡급</t>
    <phoneticPr fontId="7" type="noConversion"/>
  </si>
  <si>
    <t>사회보험</t>
    <phoneticPr fontId="7" type="noConversion"/>
  </si>
  <si>
    <t>기타후생</t>
    <phoneticPr fontId="7" type="noConversion"/>
  </si>
  <si>
    <t>※ 기타후생경비</t>
    <phoneticPr fontId="7" type="noConversion"/>
  </si>
  <si>
    <t>회  의  비</t>
    <phoneticPr fontId="7" type="noConversion"/>
  </si>
  <si>
    <t>여    비</t>
    <phoneticPr fontId="7" type="noConversion"/>
  </si>
  <si>
    <t>보조</t>
    <phoneticPr fontId="7" type="noConversion"/>
  </si>
  <si>
    <t>기타운영비</t>
    <phoneticPr fontId="7" type="noConversion"/>
  </si>
  <si>
    <t>※ 직원 교육훈련비</t>
    <phoneticPr fontId="7" type="noConversion"/>
  </si>
  <si>
    <t>피복비</t>
    <phoneticPr fontId="7" type="noConversion"/>
  </si>
  <si>
    <t>의료비</t>
    <phoneticPr fontId="7" type="noConversion"/>
  </si>
  <si>
    <t>연료비</t>
    <phoneticPr fontId="7" type="noConversion"/>
  </si>
  <si>
    <t>운영비</t>
    <phoneticPr fontId="7" type="noConversion"/>
  </si>
  <si>
    <t>※ 생계비</t>
    <phoneticPr fontId="7" type="noConversion"/>
  </si>
  <si>
    <t>수용기관</t>
    <phoneticPr fontId="7" type="noConversion"/>
  </si>
  <si>
    <t>※ 수용기관경비</t>
    <phoneticPr fontId="7" type="noConversion"/>
  </si>
  <si>
    <t>※ 연료비</t>
    <phoneticPr fontId="7" type="noConversion"/>
  </si>
  <si>
    <t>프로그램</t>
    <phoneticPr fontId="7" type="noConversion"/>
  </si>
  <si>
    <t>잡지출</t>
    <phoneticPr fontId="7" type="noConversion"/>
  </si>
  <si>
    <t>※ 잡지출</t>
    <phoneticPr fontId="7" type="noConversion"/>
  </si>
  <si>
    <t>일</t>
    <phoneticPr fontId="7" type="noConversion"/>
  </si>
  <si>
    <t>잡수</t>
    <phoneticPr fontId="7" type="noConversion"/>
  </si>
  <si>
    <t>1.외부교육</t>
    <phoneticPr fontId="7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</si>
  <si>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</si>
  <si>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</si>
  <si>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</si>
  <si>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</si>
  <si>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</si>
  <si>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</si>
  <si>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</si>
  <si>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</si>
  <si>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</si>
  <si>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</si>
  <si>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</si>
  <si>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</si>
  <si>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</si>
  <si>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</si>
  <si>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</si>
  <si>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</si>
  <si>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</si>
  <si>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</si>
  <si>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</si>
  <si>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</si>
  <si>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</si>
  <si>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</si>
  <si>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</si>
  <si>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</si>
  <si>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</si>
  <si>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</si>
  <si>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입소자
부담금</t>
    <phoneticPr fontId="7" type="noConversion"/>
  </si>
  <si>
    <t>비  용</t>
  </si>
  <si>
    <t>보조금
(4종)</t>
    <phoneticPr fontId="7" type="noConversion"/>
  </si>
  <si>
    <t>법인
전입금</t>
    <phoneticPr fontId="7" type="noConversion"/>
  </si>
  <si>
    <t>계
(B)</t>
    <phoneticPr fontId="7" type="noConversion"/>
  </si>
  <si>
    <t>금액
(B-A)</t>
    <phoneticPr fontId="7" type="noConversion"/>
  </si>
  <si>
    <t>합  계 :</t>
    <phoneticPr fontId="7" type="noConversion"/>
  </si>
  <si>
    <t>부담금</t>
    <phoneticPr fontId="7" type="noConversion"/>
  </si>
  <si>
    <t>업   무</t>
    <phoneticPr fontId="7" type="noConversion"/>
  </si>
  <si>
    <t>경      비</t>
    <phoneticPr fontId="7" type="noConversion"/>
  </si>
  <si>
    <t>사업비</t>
    <phoneticPr fontId="7" type="noConversion"/>
  </si>
  <si>
    <t>소  계 :</t>
    <phoneticPr fontId="7" type="noConversion"/>
  </si>
  <si>
    <t>※ 피복비</t>
  </si>
  <si>
    <t>※ 의료비</t>
    <phoneticPr fontId="7" type="noConversion"/>
  </si>
  <si>
    <t>÷</t>
  </si>
  <si>
    <t>추진비</t>
    <phoneticPr fontId="7" type="noConversion"/>
  </si>
  <si>
    <t>업무추진비</t>
    <phoneticPr fontId="7" type="noConversion"/>
  </si>
  <si>
    <t>※ 직책보조비</t>
    <phoneticPr fontId="7" type="noConversion"/>
  </si>
  <si>
    <t>소계:</t>
    <phoneticPr fontId="7" type="noConversion"/>
  </si>
  <si>
    <t>운영비</t>
    <phoneticPr fontId="7" type="noConversion"/>
  </si>
  <si>
    <t>명</t>
  </si>
  <si>
    <t>재산조성비</t>
    <phoneticPr fontId="7" type="noConversion"/>
  </si>
  <si>
    <t>계</t>
    <phoneticPr fontId="7" type="noConversion"/>
  </si>
  <si>
    <t>시설비</t>
    <phoneticPr fontId="7" type="noConversion"/>
  </si>
  <si>
    <t>수수료</t>
    <phoneticPr fontId="7" type="noConversion"/>
  </si>
  <si>
    <t>사업비</t>
    <phoneticPr fontId="7" type="noConversion"/>
  </si>
  <si>
    <t>계</t>
    <phoneticPr fontId="7" type="noConversion"/>
  </si>
  <si>
    <t>경비</t>
    <phoneticPr fontId="7" type="noConversion"/>
  </si>
  <si>
    <t>조성비</t>
    <phoneticPr fontId="7" type="noConversion"/>
  </si>
  <si>
    <t>보조금</t>
    <phoneticPr fontId="7" type="noConversion"/>
  </si>
  <si>
    <t>반환금</t>
    <phoneticPr fontId="7" type="noConversion"/>
  </si>
  <si>
    <t>반환금</t>
    <phoneticPr fontId="7" type="noConversion"/>
  </si>
  <si>
    <t>보조금 반환금</t>
    <phoneticPr fontId="7" type="noConversion"/>
  </si>
  <si>
    <t>후원</t>
    <phoneticPr fontId="7" type="noConversion"/>
  </si>
  <si>
    <t>보조금
(운영/생계)</t>
    <phoneticPr fontId="7" type="noConversion"/>
  </si>
  <si>
    <t>보조금
(7종/재활)</t>
    <phoneticPr fontId="7" type="noConversion"/>
  </si>
  <si>
    <t>유지비</t>
    <phoneticPr fontId="7" type="noConversion"/>
  </si>
  <si>
    <t>보조금반환</t>
    <phoneticPr fontId="28" type="noConversion"/>
  </si>
  <si>
    <t>월</t>
    <phoneticPr fontId="7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</si>
  <si>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</si>
  <si>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</si>
  <si>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</si>
  <si>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</si>
  <si>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</si>
  <si>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</si>
  <si>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</si>
  <si>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</si>
  <si>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</si>
  <si>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</si>
  <si>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</si>
  <si>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수 입</t>
    <phoneticPr fontId="7" type="noConversion"/>
  </si>
  <si>
    <t>기 타</t>
    <phoneticPr fontId="7" type="noConversion"/>
  </si>
  <si>
    <t>법인</t>
    <phoneticPr fontId="7" type="noConversion"/>
  </si>
  <si>
    <t>(후원)</t>
    <phoneticPr fontId="7" type="noConversion"/>
  </si>
  <si>
    <t>전년도</t>
    <phoneticPr fontId="7" type="noConversion"/>
  </si>
  <si>
    <t>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</si>
  <si>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</si>
  <si>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</si>
  <si>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</si>
  <si>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</si>
  <si>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</si>
  <si>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기타예</t>
    <phoneticPr fontId="7" type="noConversion"/>
  </si>
  <si>
    <t>금이자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</si>
  <si>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</si>
  <si>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</si>
  <si>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 xml:space="preserve"> &lt;법인전입금이월금&gt;</t>
    <phoneticPr fontId="7" type="noConversion"/>
  </si>
  <si>
    <t xml:space="preserve"> &lt;잡수입이월금&gt;</t>
    <phoneticPr fontId="7" type="noConversion"/>
  </si>
  <si>
    <t xml:space="preserve"> &lt;기타잡수입&gt;</t>
    <phoneticPr fontId="7" type="noConversion"/>
  </si>
  <si>
    <t>소  계</t>
    <phoneticPr fontId="7" type="noConversion"/>
  </si>
  <si>
    <t>※ 잡 수 입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</si>
  <si>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</si>
  <si>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</si>
  <si>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</si>
  <si>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</si>
  <si>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</si>
  <si>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</si>
  <si>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 xml:space="preserve"> * 예금이자(입소비용)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</si>
  <si>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</si>
  <si>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</si>
  <si>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예금이자(잡수입)</t>
    <phoneticPr fontId="7" type="noConversion"/>
  </si>
  <si>
    <t>※ 보조금 반환금(수원시)</t>
    <phoneticPr fontId="7" type="noConversion"/>
  </si>
  <si>
    <t>원</t>
    <phoneticPr fontId="7" type="noConversion"/>
  </si>
  <si>
    <t>회</t>
    <phoneticPr fontId="7" type="noConversion"/>
  </si>
  <si>
    <t>4종</t>
    <phoneticPr fontId="7" type="noConversion"/>
  </si>
  <si>
    <t>7종</t>
    <phoneticPr fontId="7" type="noConversion"/>
  </si>
  <si>
    <t>1.출산휴가 대체인건비(7종)</t>
    <phoneticPr fontId="7" type="noConversion"/>
  </si>
  <si>
    <t>월</t>
    <phoneticPr fontId="7" type="noConversion"/>
  </si>
  <si>
    <t>=</t>
    <phoneticPr fontId="7" type="noConversion"/>
  </si>
  <si>
    <t>1. 회의관련 다과비등</t>
    <phoneticPr fontId="7" type="noConversion"/>
  </si>
  <si>
    <t>소계:</t>
    <phoneticPr fontId="7" type="noConversion"/>
  </si>
  <si>
    <t>1.협회비</t>
    <phoneticPr fontId="7" type="noConversion"/>
  </si>
  <si>
    <t xml:space="preserve"> ① 한국장애인복지시설협회비</t>
    <phoneticPr fontId="7" type="noConversion"/>
  </si>
  <si>
    <t xml:space="preserve"> ② 경기도장애인복지시설협회비</t>
    <phoneticPr fontId="7" type="noConversion"/>
  </si>
  <si>
    <t>2.보험료 및 세금</t>
    <phoneticPr fontId="7" type="noConversion"/>
  </si>
  <si>
    <t>입소</t>
    <phoneticPr fontId="7" type="noConversion"/>
  </si>
  <si>
    <t>×</t>
    <phoneticPr fontId="7" type="noConversion"/>
  </si>
  <si>
    <t>보조</t>
    <phoneticPr fontId="7" type="noConversion"/>
  </si>
  <si>
    <t>세출총계</t>
    <phoneticPr fontId="7" type="noConversion"/>
  </si>
  <si>
    <t>사무비</t>
    <phoneticPr fontId="7" type="noConversion"/>
  </si>
  <si>
    <t>인건비</t>
    <phoneticPr fontId="7" type="noConversion"/>
  </si>
  <si>
    <t xml:space="preserve"> * 교육 및 출장여비</t>
    <phoneticPr fontId="7" type="noConversion"/>
  </si>
  <si>
    <t>원</t>
    <phoneticPr fontId="7" type="noConversion"/>
  </si>
  <si>
    <t>월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</si>
  <si>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</si>
  <si>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</si>
  <si>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</si>
  <si>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합    계 :</t>
    <phoneticPr fontId="7" type="noConversion"/>
  </si>
  <si>
    <t>합    계 :</t>
    <phoneticPr fontId="7" type="noConversion"/>
  </si>
  <si>
    <t>2.인건비지원(7종) : 운전원, 생활지도원, 조리보조원 3명</t>
    <phoneticPr fontId="7" type="noConversion"/>
  </si>
  <si>
    <t>1.명절휴가비</t>
    <phoneticPr fontId="7" type="noConversion"/>
  </si>
  <si>
    <t xml:space="preserve"> </t>
    <phoneticPr fontId="7" type="noConversion"/>
  </si>
  <si>
    <t xml:space="preserve"> B.인건비지원(7종 : 운전원, 생활지도원, 조리보조원 3명)</t>
    <phoneticPr fontId="7" type="noConversion"/>
  </si>
  <si>
    <t>2.가족수당</t>
    <phoneticPr fontId="7" type="noConversion"/>
  </si>
  <si>
    <t>3.연장근로수당</t>
    <phoneticPr fontId="7" type="noConversion"/>
  </si>
  <si>
    <t>÷</t>
    <phoneticPr fontId="7" type="noConversion"/>
  </si>
  <si>
    <t>2.인건비지원(7종)</t>
    <phoneticPr fontId="7" type="noConversion"/>
  </si>
  <si>
    <t>3.법인부담금</t>
    <phoneticPr fontId="7" type="noConversion"/>
  </si>
  <si>
    <t>÷</t>
    <phoneticPr fontId="7" type="noConversion"/>
  </si>
  <si>
    <t>=</t>
    <phoneticPr fontId="7" type="noConversion"/>
  </si>
  <si>
    <t xml:space="preserve"> </t>
    <phoneticPr fontId="7" type="noConversion"/>
  </si>
  <si>
    <t>1.국민연금부담금</t>
    <phoneticPr fontId="7" type="noConversion"/>
  </si>
  <si>
    <t xml:space="preserve"> B.인건비지원(7종)</t>
    <phoneticPr fontId="7" type="noConversion"/>
  </si>
  <si>
    <t>×</t>
    <phoneticPr fontId="7" type="noConversion"/>
  </si>
  <si>
    <t>2.국민건강보험부담금</t>
    <phoneticPr fontId="7" type="noConversion"/>
  </si>
  <si>
    <t xml:space="preserve"> B.인건비지원(7종)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</si>
  <si>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</si>
  <si>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</si>
  <si>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</si>
  <si>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* 직원축일·생일축하 도서상품권 구입비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</si>
  <si>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</si>
  <si>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</si>
  <si>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</si>
  <si>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</si>
  <si>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</si>
  <si>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회</t>
    <phoneticPr fontId="7" type="noConversion"/>
  </si>
  <si>
    <t>* 직원 연찬회</t>
    <phoneticPr fontId="7" type="noConversion"/>
  </si>
  <si>
    <t>잡수</t>
    <phoneticPr fontId="7" type="noConversion"/>
  </si>
  <si>
    <t>* 우수직원 포상금(12월)</t>
    <phoneticPr fontId="7" type="noConversion"/>
  </si>
  <si>
    <t>보조</t>
    <phoneticPr fontId="7" type="noConversion"/>
  </si>
  <si>
    <t>* 직원하계수련회비용</t>
    <phoneticPr fontId="7" type="noConversion"/>
  </si>
  <si>
    <t>* 공익근무요원(사기진작모임)</t>
    <phoneticPr fontId="7" type="noConversion"/>
  </si>
  <si>
    <t>* 주방직원 건강진단비</t>
    <phoneticPr fontId="7" type="noConversion"/>
  </si>
  <si>
    <t>원</t>
    <phoneticPr fontId="7" type="noConversion"/>
  </si>
  <si>
    <t>2. 운영위원회 참석수당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</si>
  <si>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</si>
  <si>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</si>
  <si>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</si>
  <si>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</si>
  <si>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회</t>
    <phoneticPr fontId="7" type="noConversion"/>
  </si>
  <si>
    <t>1. 사무용품비(문구류 )</t>
    <phoneticPr fontId="7" type="noConversion"/>
  </si>
  <si>
    <t>보조</t>
    <phoneticPr fontId="7" type="noConversion"/>
  </si>
  <si>
    <t>2. 복사용지 구입</t>
    <phoneticPr fontId="7" type="noConversion"/>
  </si>
  <si>
    <t>2.차량 점검 및 정비비 등</t>
    <phoneticPr fontId="7" type="noConversion"/>
  </si>
  <si>
    <t>월</t>
    <phoneticPr fontId="7" type="noConversion"/>
  </si>
  <si>
    <t>1.전기안전관리대행료</t>
    <phoneticPr fontId="7" type="noConversion"/>
  </si>
  <si>
    <t>2.방화관리(소방) 대행료</t>
    <phoneticPr fontId="7" type="noConversion"/>
  </si>
  <si>
    <t>1.생계비</t>
    <phoneticPr fontId="7" type="noConversion"/>
  </si>
  <si>
    <t>3.입소자 부식비(4종)</t>
    <phoneticPr fontId="7" type="noConversion"/>
  </si>
  <si>
    <t>일</t>
    <phoneticPr fontId="7" type="noConversion"/>
  </si>
  <si>
    <t>4.입소자 간식비(4종)</t>
    <phoneticPr fontId="7" type="noConversion"/>
  </si>
  <si>
    <t>5.입소자 구료비(특별급식비:4종)</t>
    <phoneticPr fontId="7" type="noConversion"/>
  </si>
  <si>
    <t>6.특별위로금(설날,추석)</t>
    <phoneticPr fontId="7" type="noConversion"/>
  </si>
  <si>
    <t xml:space="preserve">7.월동대책비(김장:수급자급여) </t>
    <phoneticPr fontId="7" type="noConversion"/>
  </si>
  <si>
    <t>1. 생활용품구입비</t>
    <phoneticPr fontId="7" type="noConversion"/>
  </si>
  <si>
    <t>2.특별피복비(도비4종)</t>
    <phoneticPr fontId="7" type="noConversion"/>
  </si>
  <si>
    <t>1.입소자 건강진단비(4종)</t>
    <phoneticPr fontId="7" type="noConversion"/>
  </si>
  <si>
    <t>2.간병인비 지원(7종)</t>
    <phoneticPr fontId="7" type="noConversion"/>
  </si>
  <si>
    <t>일</t>
    <phoneticPr fontId="7" type="noConversion"/>
  </si>
  <si>
    <t>3.외래진료</t>
    <phoneticPr fontId="7" type="noConversion"/>
  </si>
  <si>
    <t>4.의약품비</t>
    <phoneticPr fontId="7" type="noConversion"/>
  </si>
  <si>
    <t>6.이용인/직원/봉사자 등 구충제</t>
    <phoneticPr fontId="7" type="noConversion"/>
  </si>
  <si>
    <t>7.재활치료용품(치료용겔/초음파겔/테이핑 테이프 등)</t>
    <phoneticPr fontId="7" type="noConversion"/>
  </si>
  <si>
    <t>1. 심야전력요금</t>
    <phoneticPr fontId="7" type="noConversion"/>
  </si>
  <si>
    <t>2.보조금 운영비 예금이자</t>
    <phoneticPr fontId="7" type="noConversion"/>
  </si>
  <si>
    <t>4.보조금 생계비 예금이자</t>
    <phoneticPr fontId="7" type="noConversion"/>
  </si>
  <si>
    <t>6.보조금(4종) 예금이자</t>
    <phoneticPr fontId="7" type="noConversion"/>
  </si>
  <si>
    <t>8.보조금(7종) 예금이자</t>
    <phoneticPr fontId="7" type="noConversion"/>
  </si>
  <si>
    <t>소계</t>
    <phoneticPr fontId="7" type="noConversion"/>
  </si>
  <si>
    <t>4. 상하수도요금</t>
    <phoneticPr fontId="7" type="noConversion"/>
  </si>
  <si>
    <t>* 조리원, 영양사 위생복</t>
    <phoneticPr fontId="7" type="noConversion"/>
  </si>
  <si>
    <t>* 경장협 종사자 체육대회</t>
    <phoneticPr fontId="7" type="noConversion"/>
  </si>
  <si>
    <t>8.기타 의료비</t>
    <phoneticPr fontId="7" type="noConversion"/>
  </si>
  <si>
    <t xml:space="preserve"> A.경상보조금 34명</t>
    <phoneticPr fontId="7" type="noConversion"/>
  </si>
  <si>
    <t>보조</t>
    <phoneticPr fontId="7" type="noConversion"/>
  </si>
  <si>
    <t>2. 일반전기요금</t>
    <phoneticPr fontId="7" type="noConversion"/>
  </si>
  <si>
    <t>1. 전화료(체험홈, 유선방송 포함)</t>
    <phoneticPr fontId="7" type="noConversion"/>
  </si>
  <si>
    <t>5. 우편물발송료 및 택배료</t>
    <phoneticPr fontId="7" type="noConversion"/>
  </si>
  <si>
    <t xml:space="preserve"> ③ 기타 협회비(영양사협회,방화관리자 외)</t>
    <phoneticPr fontId="7" type="noConversion"/>
  </si>
  <si>
    <t>3. 연료비 자부담 보충액</t>
    <phoneticPr fontId="7" type="noConversion"/>
  </si>
  <si>
    <t>후원</t>
    <phoneticPr fontId="7" type="noConversion"/>
  </si>
  <si>
    <t>원내행사</t>
    <phoneticPr fontId="7" type="noConversion"/>
  </si>
  <si>
    <t>사업비</t>
    <phoneticPr fontId="7" type="noConversion"/>
  </si>
  <si>
    <t>1. 여름캠프</t>
    <phoneticPr fontId="7" type="noConversion"/>
  </si>
  <si>
    <t>질보장</t>
    <phoneticPr fontId="7" type="noConversion"/>
  </si>
  <si>
    <t>가정연계</t>
    <phoneticPr fontId="7" type="noConversion"/>
  </si>
  <si>
    <t>1. 부모회의</t>
    <phoneticPr fontId="7" type="noConversion"/>
  </si>
  <si>
    <t>3. 퇴소자사후관리</t>
    <phoneticPr fontId="7" type="noConversion"/>
  </si>
  <si>
    <t>지역사회</t>
    <phoneticPr fontId="7" type="noConversion"/>
  </si>
  <si>
    <t>연계사업비</t>
    <phoneticPr fontId="7" type="noConversion"/>
  </si>
  <si>
    <t>후원/자원</t>
    <phoneticPr fontId="7" type="noConversion"/>
  </si>
  <si>
    <t>4. 결연후원금</t>
    <phoneticPr fontId="7" type="noConversion"/>
  </si>
  <si>
    <t>자립지원</t>
    <phoneticPr fontId="7" type="noConversion"/>
  </si>
  <si>
    <t>재활</t>
    <phoneticPr fontId="7" type="noConversion"/>
  </si>
  <si>
    <t>프로그램</t>
    <phoneticPr fontId="7" type="noConversion"/>
  </si>
  <si>
    <t>후원</t>
    <phoneticPr fontId="7" type="noConversion"/>
  </si>
  <si>
    <t>체험홈</t>
    <phoneticPr fontId="7" type="noConversion"/>
  </si>
  <si>
    <t>2. 자치회의</t>
    <phoneticPr fontId="7" type="noConversion"/>
  </si>
  <si>
    <t>의료실</t>
    <phoneticPr fontId="7" type="noConversion"/>
  </si>
  <si>
    <t>1. 마라톤 대회 참가</t>
    <phoneticPr fontId="7" type="noConversion"/>
  </si>
  <si>
    <t>기타</t>
    <phoneticPr fontId="7" type="noConversion"/>
  </si>
  <si>
    <t>1. 예금이자(입소비용)</t>
    <phoneticPr fontId="7" type="noConversion"/>
  </si>
  <si>
    <t>2. 예금이자(후원금)</t>
    <phoneticPr fontId="7" type="noConversion"/>
  </si>
  <si>
    <t>3. 예금이자(법인전입금)</t>
    <phoneticPr fontId="7" type="noConversion"/>
  </si>
  <si>
    <t>4. 예금이자(잡수입)</t>
    <phoneticPr fontId="7" type="noConversion"/>
  </si>
  <si>
    <t>1.보조금 운영비 잔액</t>
    <phoneticPr fontId="7" type="noConversion"/>
  </si>
  <si>
    <t>3.보조금 생계비 잔액</t>
    <phoneticPr fontId="7" type="noConversion"/>
  </si>
  <si>
    <t>5.보조금(4종) 잔액</t>
    <phoneticPr fontId="7" type="noConversion"/>
  </si>
  <si>
    <t>7.보조금(7종) 잔액</t>
    <phoneticPr fontId="7" type="noConversion"/>
  </si>
  <si>
    <t>1. 인권지킴이단 운영</t>
    <phoneticPr fontId="7" type="noConversion"/>
  </si>
  <si>
    <t xml:space="preserve"> - 정기회의 다과비</t>
    <phoneticPr fontId="7" type="noConversion"/>
  </si>
  <si>
    <t>회</t>
    <phoneticPr fontId="7" type="noConversion"/>
  </si>
  <si>
    <t xml:space="preserve"> - 이용인 인권교육 강사비</t>
    <phoneticPr fontId="7" type="noConversion"/>
  </si>
  <si>
    <t>그룹</t>
    <phoneticPr fontId="7" type="noConversion"/>
  </si>
  <si>
    <t>3. 사무실 복사기 임대료</t>
    <phoneticPr fontId="7" type="noConversion"/>
  </si>
  <si>
    <t>5. 인쇄비(소식지, 사업계획 및 평가서, 연하장, 감사장, 리플렛 등)</t>
    <phoneticPr fontId="7" type="noConversion"/>
  </si>
  <si>
    <t>6. 소규모수선비(시설잡자재, 비품 수리, 전산장비 등)</t>
    <phoneticPr fontId="7" type="noConversion"/>
  </si>
  <si>
    <t>7.주방 소모품비, 주방식기세척기 린스, 세제, 유지방분해 제 등</t>
    <phoneticPr fontId="7" type="noConversion"/>
  </si>
  <si>
    <t>8.홈페이지 유지관리(도메인/호스트/ 보안서버/유지보수비)</t>
    <phoneticPr fontId="7" type="noConversion"/>
  </si>
  <si>
    <t>후원</t>
    <phoneticPr fontId="7" type="noConversion"/>
  </si>
  <si>
    <t>* 식권 수입(공익 등)</t>
    <phoneticPr fontId="7" type="noConversion"/>
  </si>
  <si>
    <t xml:space="preserve"> * 예금이자(후원금)</t>
    <phoneticPr fontId="7" type="noConversion"/>
  </si>
  <si>
    <t xml:space="preserve"> * 예금이자(재활프로그램)</t>
    <phoneticPr fontId="7" type="noConversion"/>
  </si>
  <si>
    <t xml:space="preserve"> * 예금이자(7종)</t>
    <phoneticPr fontId="7" type="noConversion"/>
  </si>
  <si>
    <t xml:space="preserve"> * 예금이자(4종)</t>
    <phoneticPr fontId="7" type="noConversion"/>
  </si>
  <si>
    <t xml:space="preserve"> * 예금이자(생계비)</t>
    <phoneticPr fontId="7" type="noConversion"/>
  </si>
  <si>
    <t xml:space="preserve"> * 예금이자(운영비)</t>
    <phoneticPr fontId="7" type="noConversion"/>
  </si>
  <si>
    <t>수     입</t>
    <phoneticPr fontId="7" type="noConversion"/>
  </si>
  <si>
    <t xml:space="preserve"> &lt;기타예금이자 수입&gt;</t>
    <phoneticPr fontId="7" type="noConversion"/>
  </si>
  <si>
    <t>기타예금이자</t>
    <phoneticPr fontId="7" type="noConversion"/>
  </si>
  <si>
    <t>불용품매각대</t>
    <phoneticPr fontId="7" type="noConversion"/>
  </si>
  <si>
    <t>이월사업비</t>
    <phoneticPr fontId="7" type="noConversion"/>
  </si>
  <si>
    <t>(후원금)</t>
    <phoneticPr fontId="7" type="noConversion"/>
  </si>
  <si>
    <t>전년도이월금</t>
    <phoneticPr fontId="7" type="noConversion"/>
  </si>
  <si>
    <t>잡수입이월금</t>
  </si>
  <si>
    <t>전입금이월금</t>
    <phoneticPr fontId="7" type="noConversion"/>
  </si>
  <si>
    <t>원</t>
    <phoneticPr fontId="7" type="noConversion"/>
  </si>
  <si>
    <t>소계 :</t>
    <phoneticPr fontId="7" type="noConversion"/>
  </si>
  <si>
    <t xml:space="preserve"> * 예금이자(입소비용)</t>
    <phoneticPr fontId="7" type="noConversion"/>
  </si>
  <si>
    <t xml:space="preserve"> * 입소비용이월액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</si>
  <si>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</si>
  <si>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</si>
  <si>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>이월금</t>
    <phoneticPr fontId="7" type="noConversion"/>
  </si>
  <si>
    <t xml:space="preserve"> &lt;전년도 이월금&gt;</t>
    <phoneticPr fontId="7" type="noConversion"/>
  </si>
  <si>
    <t>계</t>
    <phoneticPr fontId="7" type="noConversion"/>
  </si>
  <si>
    <t>전년도</t>
    <phoneticPr fontId="7" type="noConversion"/>
  </si>
  <si>
    <t>총  계 :</t>
    <phoneticPr fontId="7" type="noConversion"/>
  </si>
  <si>
    <t>※이 월 금</t>
    <phoneticPr fontId="7" type="noConversion"/>
  </si>
  <si>
    <t>소  계</t>
    <phoneticPr fontId="7" type="noConversion"/>
  </si>
  <si>
    <t>=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</si>
  <si>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</si>
  <si>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</si>
  <si>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</si>
  <si>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기타 운영비 지원금 :</t>
    <phoneticPr fontId="7" type="noConversion"/>
  </si>
  <si>
    <t>직원 교육훈련비 합계 :</t>
    <phoneticPr fontId="7" type="noConversion"/>
  </si>
  <si>
    <t>직원 기타후생경비 합계 :</t>
    <phoneticPr fontId="7" type="noConversion"/>
  </si>
  <si>
    <t>월</t>
    <phoneticPr fontId="7" type="noConversion"/>
  </si>
  <si>
    <t>÷</t>
    <phoneticPr fontId="7" type="noConversion"/>
  </si>
  <si>
    <t>법인지원 퇴직금적립금 합계 :</t>
    <phoneticPr fontId="7" type="noConversion"/>
  </si>
  <si>
    <t>원</t>
    <phoneticPr fontId="7" type="noConversion"/>
  </si>
  <si>
    <t>=</t>
    <phoneticPr fontId="7" type="noConversion"/>
  </si>
  <si>
    <t>월</t>
    <phoneticPr fontId="7" type="noConversion"/>
  </si>
  <si>
    <t>÷</t>
    <phoneticPr fontId="7" type="noConversion"/>
  </si>
  <si>
    <t>×</t>
    <phoneticPr fontId="7" type="noConversion"/>
  </si>
  <si>
    <t>소계 :</t>
    <phoneticPr fontId="7" type="noConversion"/>
  </si>
  <si>
    <t>법인전입금</t>
    <phoneticPr fontId="7" type="noConversion"/>
  </si>
  <si>
    <t>전입금</t>
    <phoneticPr fontId="7" type="noConversion"/>
  </si>
  <si>
    <t xml:space="preserve"> &lt;법인 전입금(후원금)&gt;</t>
    <phoneticPr fontId="7" type="noConversion"/>
  </si>
  <si>
    <t>계</t>
    <phoneticPr fontId="7" type="noConversion"/>
  </si>
  <si>
    <t>법인</t>
    <phoneticPr fontId="7" type="noConversion"/>
  </si>
  <si>
    <t xml:space="preserve"> &lt;법인 전입금&gt;</t>
    <phoneticPr fontId="7" type="noConversion"/>
  </si>
  <si>
    <t>법인전입금</t>
    <phoneticPr fontId="7" type="noConversion"/>
  </si>
  <si>
    <t>전입금</t>
    <phoneticPr fontId="7" type="noConversion"/>
  </si>
  <si>
    <t>법 인</t>
    <phoneticPr fontId="7" type="noConversion"/>
  </si>
  <si>
    <t>※법인 전입금</t>
    <phoneticPr fontId="7" type="noConversion"/>
  </si>
  <si>
    <t xml:space="preserve">  *기타 차입금</t>
    <phoneticPr fontId="7" type="noConversion"/>
  </si>
  <si>
    <t>기타 차입금</t>
    <phoneticPr fontId="7" type="noConversion"/>
  </si>
  <si>
    <t>차입금</t>
    <phoneticPr fontId="7" type="noConversion"/>
  </si>
  <si>
    <t xml:space="preserve"> &lt;기타 차입금&gt;</t>
    <phoneticPr fontId="7" type="noConversion"/>
  </si>
  <si>
    <t>기 타</t>
    <phoneticPr fontId="7" type="noConversion"/>
  </si>
  <si>
    <t xml:space="preserve">  *금융기관 차입금</t>
    <phoneticPr fontId="7" type="noConversion"/>
  </si>
  <si>
    <t xml:space="preserve"> &lt;금융기관 차입금&gt;</t>
    <phoneticPr fontId="7" type="noConversion"/>
  </si>
  <si>
    <t>금융기관</t>
    <phoneticPr fontId="7" type="noConversion"/>
  </si>
  <si>
    <t>기관</t>
    <phoneticPr fontId="7" type="noConversion"/>
  </si>
  <si>
    <t>금융</t>
    <phoneticPr fontId="7" type="noConversion"/>
  </si>
  <si>
    <t>※ 차 입 금</t>
    <phoneticPr fontId="7" type="noConversion"/>
  </si>
  <si>
    <t>비지정</t>
    <phoneticPr fontId="7" type="noConversion"/>
  </si>
  <si>
    <t xml:space="preserve">  *후원금 수입</t>
    <phoneticPr fontId="7" type="noConversion"/>
  </si>
  <si>
    <t>&lt;비지정후원금&gt;</t>
    <phoneticPr fontId="7" type="noConversion"/>
  </si>
  <si>
    <t>비지정후원금</t>
    <phoneticPr fontId="7" type="noConversion"/>
  </si>
  <si>
    <t>후원금</t>
    <phoneticPr fontId="7" type="noConversion"/>
  </si>
  <si>
    <t xml:space="preserve"> &lt;비지정 후원금 합계&gt;</t>
    <phoneticPr fontId="7" type="noConversion"/>
  </si>
  <si>
    <t>비지정</t>
    <phoneticPr fontId="7" type="noConversion"/>
  </si>
  <si>
    <t>&lt;지정후원금&gt;</t>
    <phoneticPr fontId="7" type="noConversion"/>
  </si>
  <si>
    <t>결연 후원금</t>
    <phoneticPr fontId="7" type="noConversion"/>
  </si>
  <si>
    <t>지정 후원금</t>
    <phoneticPr fontId="7" type="noConversion"/>
  </si>
  <si>
    <t xml:space="preserve"> &lt;지정 후원금 합계&gt;</t>
    <phoneticPr fontId="7" type="noConversion"/>
  </si>
  <si>
    <t>지 정</t>
    <phoneticPr fontId="7" type="noConversion"/>
  </si>
  <si>
    <t>수 입</t>
    <phoneticPr fontId="7" type="noConversion"/>
  </si>
  <si>
    <t>총  계 :</t>
    <phoneticPr fontId="7" type="noConversion"/>
  </si>
  <si>
    <t>※후원금수입</t>
    <phoneticPr fontId="7" type="noConversion"/>
  </si>
  <si>
    <t>소  계</t>
    <phoneticPr fontId="7" type="noConversion"/>
  </si>
  <si>
    <t>기타 보조금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</si>
  <si>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</si>
  <si>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</si>
  <si>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</si>
  <si>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</si>
  <si>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</si>
  <si>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기타지원금</t>
    <phoneticPr fontId="7" type="noConversion"/>
  </si>
  <si>
    <t>일</t>
    <phoneticPr fontId="7" type="noConversion"/>
  </si>
  <si>
    <t>*간병인비 지원</t>
    <phoneticPr fontId="7" type="noConversion"/>
  </si>
  <si>
    <t>*환경개선사업비</t>
    <phoneticPr fontId="7" type="noConversion"/>
  </si>
  <si>
    <t>중계 :</t>
    <phoneticPr fontId="7" type="noConversion"/>
  </si>
  <si>
    <t>B.. 운영비 지원금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</si>
  <si>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</si>
  <si>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</si>
  <si>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</si>
  <si>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</si>
  <si>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</si>
  <si>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 xml:space="preserve"> 4.종사자사회보험부담금</t>
    <phoneticPr fontId="7" type="noConversion"/>
  </si>
  <si>
    <t xml:space="preserve"> *운전원/생활지도원/조리보조원(3명)</t>
    <phoneticPr fontId="7" type="noConversion"/>
  </si>
  <si>
    <t xml:space="preserve"> 3.종사자퇴직금적립금</t>
    <phoneticPr fontId="7" type="noConversion"/>
  </si>
  <si>
    <t xml:space="preserve"> 다.연장근로수당</t>
    <phoneticPr fontId="7" type="noConversion"/>
  </si>
  <si>
    <t xml:space="preserve"> 나.가족수당</t>
    <phoneticPr fontId="7" type="noConversion"/>
  </si>
  <si>
    <t xml:space="preserve"> 가.명절휴가비</t>
    <phoneticPr fontId="7" type="noConversion"/>
  </si>
  <si>
    <t xml:space="preserve"> 2.제수당</t>
    <phoneticPr fontId="7" type="noConversion"/>
  </si>
  <si>
    <t xml:space="preserve"> 다. 조리보조원</t>
    <phoneticPr fontId="7" type="noConversion"/>
  </si>
  <si>
    <t xml:space="preserve"> 나. 생활지도원</t>
    <phoneticPr fontId="7" type="noConversion"/>
  </si>
  <si>
    <t xml:space="preserve"> 가. 운전원</t>
    <phoneticPr fontId="7" type="noConversion"/>
  </si>
  <si>
    <t xml:space="preserve"> 1.기본급 (인건비 산출내역 참조)</t>
    <phoneticPr fontId="7" type="noConversion"/>
  </si>
  <si>
    <t>중계 :</t>
    <phoneticPr fontId="7" type="noConversion"/>
  </si>
  <si>
    <t>A.. 인건비 지원금</t>
    <phoneticPr fontId="7" type="noConversion"/>
  </si>
  <si>
    <t>(7종)</t>
    <phoneticPr fontId="7" type="noConversion"/>
  </si>
  <si>
    <t>계:</t>
    <phoneticPr fontId="7" type="noConversion"/>
  </si>
  <si>
    <t>&lt;시설운영지원금 : 7종&gt;</t>
    <phoneticPr fontId="7" type="noConversion"/>
  </si>
  <si>
    <t>시설운영지원</t>
    <phoneticPr fontId="7" type="noConversion"/>
  </si>
  <si>
    <t>*입소자 건강진단비</t>
    <phoneticPr fontId="7" type="noConversion"/>
  </si>
  <si>
    <t>(설날,장애인의날, 추석,연말)</t>
    <phoneticPr fontId="7" type="noConversion"/>
  </si>
  <si>
    <t xml:space="preserve">              (특별급식비)</t>
    <phoneticPr fontId="7" type="noConversion"/>
  </si>
  <si>
    <t>*입소자 구료비(특별피복비)</t>
    <phoneticPr fontId="7" type="noConversion"/>
  </si>
  <si>
    <t>*입소자 간식비(매월신청)</t>
    <phoneticPr fontId="7" type="noConversion"/>
  </si>
  <si>
    <t>일</t>
    <phoneticPr fontId="7" type="noConversion"/>
  </si>
  <si>
    <t>*입소자 부식비(매월신청)</t>
    <phoneticPr fontId="7" type="noConversion"/>
  </si>
  <si>
    <t>(4종)</t>
    <phoneticPr fontId="7" type="noConversion"/>
  </si>
  <si>
    <t>&lt;입소자지원금 : 4종&gt;</t>
    <phoneticPr fontId="7" type="noConversion"/>
  </si>
  <si>
    <t>입소자지원금</t>
    <phoneticPr fontId="7" type="noConversion"/>
  </si>
  <si>
    <t xml:space="preserve"> * 거주 장애인수 가중지원</t>
    <phoneticPr fontId="7" type="noConversion"/>
  </si>
  <si>
    <t xml:space="preserve"> * 시설당 기본지원</t>
    <phoneticPr fontId="7" type="noConversion"/>
  </si>
  <si>
    <t>&lt;운영비&gt;</t>
    <phoneticPr fontId="7" type="noConversion"/>
  </si>
  <si>
    <t>운영비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</si>
  <si>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</si>
  <si>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</si>
  <si>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</si>
  <si>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</si>
  <si>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</si>
  <si>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>4.종사자사회보험부담금</t>
    <phoneticPr fontId="7" type="noConversion"/>
  </si>
  <si>
    <t>3.종사자퇴직금적립금</t>
    <phoneticPr fontId="7" type="noConversion"/>
  </si>
  <si>
    <t>2.제수당</t>
    <phoneticPr fontId="7" type="noConversion"/>
  </si>
  <si>
    <t>1.기본급 (인건비 산출내역 참조)</t>
    <phoneticPr fontId="7" type="noConversion"/>
  </si>
  <si>
    <t>인건비</t>
    <phoneticPr fontId="7" type="noConversion"/>
  </si>
  <si>
    <t>회</t>
  </si>
  <si>
    <t>*특별위로금(설날,추석)</t>
  </si>
  <si>
    <t>*월동대책비(10월신청)</t>
  </si>
  <si>
    <t>*생계비</t>
    <phoneticPr fontId="7" type="noConversion"/>
  </si>
  <si>
    <t>&lt;생계비&gt;</t>
    <phoneticPr fontId="7" type="noConversion"/>
  </si>
  <si>
    <t>생계비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</si>
  <si>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</si>
  <si>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</si>
  <si>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시군구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</si>
  <si>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</si>
  <si>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</si>
  <si>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&lt;기타 지원금&gt;</t>
    <phoneticPr fontId="7" type="noConversion"/>
  </si>
  <si>
    <t>기타지원금</t>
    <phoneticPr fontId="7" type="noConversion"/>
  </si>
  <si>
    <t>*간병인비 지원</t>
    <phoneticPr fontId="7" type="noConversion"/>
  </si>
  <si>
    <t>*환경개선사업비</t>
    <phoneticPr fontId="7" type="noConversion"/>
  </si>
  <si>
    <t>B.. 운영비 지원금</t>
    <phoneticPr fontId="7" type="noConversion"/>
  </si>
  <si>
    <t xml:space="preserve"> 4.종사자사회보험부담금</t>
    <phoneticPr fontId="7" type="noConversion"/>
  </si>
  <si>
    <t>&lt;기능보강사업비&gt;</t>
    <phoneticPr fontId="7" type="noConversion"/>
  </si>
  <si>
    <t xml:space="preserve"> &lt;시도 보조금 합계&gt;</t>
    <phoneticPr fontId="7" type="noConversion"/>
  </si>
  <si>
    <t>시 도</t>
    <phoneticPr fontId="7" type="noConversion"/>
  </si>
  <si>
    <t>*거주장애인 가중지원</t>
    <phoneticPr fontId="7" type="noConversion"/>
  </si>
  <si>
    <t>*시설당 기본지원금</t>
    <phoneticPr fontId="7" type="noConversion"/>
  </si>
  <si>
    <t>&lt;운영비 지원&gt;</t>
    <phoneticPr fontId="7" type="noConversion"/>
  </si>
  <si>
    <t xml:space="preserve"> &lt;국고 보조금 합계&gt;</t>
    <phoneticPr fontId="7" type="noConversion"/>
  </si>
  <si>
    <t>국 고</t>
    <phoneticPr fontId="7" type="noConversion"/>
  </si>
  <si>
    <t>수 입</t>
    <phoneticPr fontId="7" type="noConversion"/>
  </si>
  <si>
    <t>수  입</t>
    <phoneticPr fontId="7" type="noConversion"/>
  </si>
  <si>
    <t>※ 보조금수입 합계</t>
    <phoneticPr fontId="7" type="noConversion"/>
  </si>
  <si>
    <t>합  계 :</t>
    <phoneticPr fontId="7" type="noConversion"/>
  </si>
  <si>
    <t>※ 과년도 수입</t>
    <phoneticPr fontId="7" type="noConversion"/>
  </si>
  <si>
    <t>과년도</t>
    <phoneticPr fontId="7" type="noConversion"/>
  </si>
  <si>
    <t>* 입소자 제작 물품판매 수입</t>
    <phoneticPr fontId="7" type="noConversion"/>
  </si>
  <si>
    <t>합  계 :</t>
    <phoneticPr fontId="7" type="noConversion"/>
  </si>
  <si>
    <t>※ 사업수입</t>
    <phoneticPr fontId="7" type="noConversion"/>
  </si>
  <si>
    <t>사 업</t>
    <phoneticPr fontId="7" type="noConversion"/>
  </si>
  <si>
    <t>비  용</t>
    <phoneticPr fontId="7" type="noConversion"/>
  </si>
  <si>
    <t>※ 입소비용수입</t>
    <phoneticPr fontId="7" type="noConversion"/>
  </si>
  <si>
    <t>입   소</t>
    <phoneticPr fontId="7" type="noConversion"/>
  </si>
  <si>
    <t>입   소</t>
    <phoneticPr fontId="7" type="noConversion"/>
  </si>
  <si>
    <t>입  소</t>
    <phoneticPr fontId="7" type="noConversion"/>
  </si>
  <si>
    <t>※ 총 계</t>
    <phoneticPr fontId="7" type="noConversion"/>
  </si>
  <si>
    <t>금액
(B-A)</t>
    <phoneticPr fontId="7" type="noConversion"/>
  </si>
  <si>
    <t>세목</t>
    <phoneticPr fontId="7" type="noConversion"/>
  </si>
  <si>
    <t>목</t>
    <phoneticPr fontId="7" type="noConversion"/>
  </si>
  <si>
    <t>산               출                기               초</t>
    <phoneticPr fontId="7" type="noConversion"/>
  </si>
  <si>
    <t>과            목</t>
    <phoneticPr fontId="7" type="noConversion"/>
  </si>
  <si>
    <t xml:space="preserve"> * 직원 건강진단비</t>
    <phoneticPr fontId="7" type="noConversion"/>
  </si>
  <si>
    <t xml:space="preserve">  *기타 후원금 수입</t>
    <phoneticPr fontId="7" type="noConversion"/>
  </si>
  <si>
    <t>기타 보조금</t>
    <phoneticPr fontId="28" type="noConversion"/>
  </si>
  <si>
    <t>*기능보강사업비(외벽 및 건물 창호교체, 대피계단 설치 등)</t>
    <phoneticPr fontId="7" type="noConversion"/>
  </si>
  <si>
    <t xml:space="preserve"> - 인권지킴이단 홍보(공모전, 사진, 현수막 등)</t>
    <phoneticPr fontId="7" type="noConversion"/>
  </si>
  <si>
    <t>2. 부모여행</t>
    <phoneticPr fontId="7" type="noConversion"/>
  </si>
  <si>
    <t>기타법인 지원금 :</t>
    <phoneticPr fontId="7" type="noConversion"/>
  </si>
  <si>
    <t xml:space="preserve"> * 경기도 재활프로그램(재활승마)</t>
    <phoneticPr fontId="7" type="noConversion"/>
  </si>
  <si>
    <t xml:space="preserve">  *결연후원금</t>
    <phoneticPr fontId="7" type="noConversion"/>
  </si>
  <si>
    <t xml:space="preserve"> - 이용인 인권교육 준비물</t>
    <phoneticPr fontId="7" type="noConversion"/>
  </si>
  <si>
    <t>(공공후견인)-&gt;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</si>
  <si>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</si>
  <si>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</si>
  <si>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</si>
  <si>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보조</t>
    <phoneticPr fontId="7" type="noConversion"/>
  </si>
  <si>
    <t>* 야간근로자 특수건강검진</t>
    <phoneticPr fontId="7" type="noConversion"/>
  </si>
  <si>
    <t>후원</t>
    <phoneticPr fontId="7" type="noConversion"/>
  </si>
  <si>
    <t>9. 퇴직연금 관리 수수료</t>
    <phoneticPr fontId="7" type="noConversion"/>
  </si>
  <si>
    <t>10. 주차료, 통행료, 택배료, 김장 운송비 등</t>
    <phoneticPr fontId="7" type="noConversion"/>
  </si>
  <si>
    <t>2. 기타 수용기관경비</t>
    <phoneticPr fontId="7" type="noConversion"/>
  </si>
  <si>
    <t>보조금이월금</t>
    <phoneticPr fontId="7" type="noConversion"/>
  </si>
  <si>
    <t xml:space="preserve"> &lt;보조금이월금&gt;</t>
    <phoneticPr fontId="7" type="noConversion"/>
  </si>
  <si>
    <t xml:space="preserve"> * 기타보조금이월액(경장연대체인력)</t>
    <phoneticPr fontId="7" type="noConversion"/>
  </si>
  <si>
    <t xml:space="preserve"> * 예금이자(기타보조금 경장연대체인력)</t>
    <phoneticPr fontId="7" type="noConversion"/>
  </si>
  <si>
    <t>회</t>
    <phoneticPr fontId="7" type="noConversion"/>
  </si>
  <si>
    <t>15. CMS수수료,보증보험료,이용료</t>
    <phoneticPr fontId="7" type="noConversion"/>
  </si>
  <si>
    <t>3.차량 유류대/정기검사/ 차량수리 및 정비비</t>
    <phoneticPr fontId="7" type="noConversion"/>
  </si>
  <si>
    <t>후원</t>
    <phoneticPr fontId="7" type="noConversion"/>
  </si>
  <si>
    <t>입소</t>
    <phoneticPr fontId="7" type="noConversion"/>
  </si>
  <si>
    <t>후원</t>
    <phoneticPr fontId="7" type="noConversion"/>
  </si>
  <si>
    <t>* 추가 연장야간근로수당(5h)</t>
    <phoneticPr fontId="7" type="noConversion"/>
  </si>
  <si>
    <t>보조</t>
    <phoneticPr fontId="7" type="noConversion"/>
  </si>
  <si>
    <t>7종</t>
    <phoneticPr fontId="7" type="noConversion"/>
  </si>
  <si>
    <t>법인</t>
    <phoneticPr fontId="7" type="noConversion"/>
  </si>
  <si>
    <t>후원</t>
    <phoneticPr fontId="7" type="noConversion"/>
  </si>
  <si>
    <t>(지정후원금)</t>
    <phoneticPr fontId="7" type="noConversion"/>
  </si>
  <si>
    <t>후원</t>
    <phoneticPr fontId="7" type="noConversion"/>
  </si>
  <si>
    <t>(지정후원금)</t>
    <phoneticPr fontId="7" type="noConversion"/>
  </si>
  <si>
    <t>보조</t>
    <phoneticPr fontId="7" type="noConversion"/>
  </si>
  <si>
    <t>4종</t>
    <phoneticPr fontId="7" type="noConversion"/>
  </si>
  <si>
    <t>7종</t>
    <phoneticPr fontId="7" type="noConversion"/>
  </si>
  <si>
    <t>입소</t>
    <phoneticPr fontId="7" type="noConversion"/>
  </si>
  <si>
    <t>잡수</t>
    <phoneticPr fontId="7" type="noConversion"/>
  </si>
  <si>
    <t>4종</t>
    <phoneticPr fontId="7" type="noConversion"/>
  </si>
  <si>
    <t>7종</t>
    <phoneticPr fontId="7" type="noConversion"/>
  </si>
  <si>
    <t>* 유관기관경조사비,무료봉사진료기관감사선물비등</t>
    <phoneticPr fontId="7" type="noConversion"/>
  </si>
  <si>
    <t xml:space="preserve">  *경장연 결연후원금</t>
    <phoneticPr fontId="7" type="noConversion"/>
  </si>
  <si>
    <t>후원</t>
    <phoneticPr fontId="7" type="noConversion"/>
  </si>
  <si>
    <t>&lt;인건비 : 36명&gt;</t>
    <phoneticPr fontId="7" type="noConversion"/>
  </si>
  <si>
    <t xml:space="preserve"> *경상보조금 36명</t>
    <phoneticPr fontId="7" type="noConversion"/>
  </si>
  <si>
    <t>1.경상보조금 (종사자36명)</t>
    <phoneticPr fontId="7" type="noConversion"/>
  </si>
  <si>
    <t xml:space="preserve"> A.경상보조금 36명</t>
    <phoneticPr fontId="7" type="noConversion"/>
  </si>
  <si>
    <t>1.경상보조금 36명</t>
    <phoneticPr fontId="7" type="noConversion"/>
  </si>
  <si>
    <t xml:space="preserve"> A.경상보조금 36명</t>
    <phoneticPr fontId="7" type="noConversion"/>
  </si>
  <si>
    <t>원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</si>
  <si>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</si>
  <si>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</si>
  <si>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</si>
  <si>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</si>
  <si>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 xml:space="preserve"> - 인권지킴이단 회의수당</t>
    <phoneticPr fontId="7" type="noConversion"/>
  </si>
  <si>
    <t>후원</t>
    <phoneticPr fontId="7" type="noConversion"/>
  </si>
  <si>
    <t>보조</t>
    <phoneticPr fontId="7" type="noConversion"/>
  </si>
  <si>
    <t>6. 체험홈 APT관리비</t>
    <phoneticPr fontId="7" type="noConversion"/>
  </si>
  <si>
    <t>원</t>
    <phoneticPr fontId="7" type="noConversion"/>
  </si>
  <si>
    <t>보조</t>
    <phoneticPr fontId="7" type="noConversion"/>
  </si>
  <si>
    <t>8. 일반전기요금/ 상하수도요금 자부담 보충액</t>
    <phoneticPr fontId="7" type="noConversion"/>
  </si>
  <si>
    <t>4. 주방식기류 및 그릇보강</t>
    <phoneticPr fontId="7" type="noConversion"/>
  </si>
  <si>
    <t>11. 정수기 임대료 및 필터교환/체험홈 정수기/ 수질검사 등</t>
    <phoneticPr fontId="7" type="noConversion"/>
  </si>
  <si>
    <t>회</t>
    <phoneticPr fontId="7" type="noConversion"/>
  </si>
  <si>
    <t>9.재활프로그램 보조금 잔액</t>
    <phoneticPr fontId="7" type="noConversion"/>
  </si>
  <si>
    <t>10.재활프로그램 예금이자</t>
    <phoneticPr fontId="7" type="noConversion"/>
  </si>
  <si>
    <t>1. 기타 프로그램 사업비</t>
    <phoneticPr fontId="7" type="noConversion"/>
  </si>
  <si>
    <t>입소</t>
    <phoneticPr fontId="7" type="noConversion"/>
  </si>
  <si>
    <t>2. 소방안전교육 훈련(소방훈련용 연막탄)</t>
    <phoneticPr fontId="7" type="noConversion"/>
  </si>
  <si>
    <t>3. 도시락 이벤트 및 잔반 이벤트</t>
    <phoneticPr fontId="7" type="noConversion"/>
  </si>
  <si>
    <t>*차량운영비</t>
    <phoneticPr fontId="7" type="noConversion"/>
  </si>
  <si>
    <t>2. 주방가스요금/ 할부금 포함)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</si>
  <si>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</si>
  <si>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</si>
  <si>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</si>
  <si>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법인</t>
    <phoneticPr fontId="7" type="noConversion"/>
  </si>
  <si>
    <t>7종</t>
    <phoneticPr fontId="7" type="noConversion"/>
  </si>
  <si>
    <t xml:space="preserve"> A.경상보조금 36명</t>
    <phoneticPr fontId="7" type="noConversion"/>
  </si>
  <si>
    <t xml:space="preserve">                (7종)</t>
    <phoneticPr fontId="7" type="noConversion"/>
  </si>
  <si>
    <t>월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</si>
  <si>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</si>
  <si>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</si>
  <si>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</si>
  <si>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</si>
  <si>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회</t>
    <phoneticPr fontId="7" type="noConversion"/>
  </si>
  <si>
    <t>* 직원 축일/생일 축하 문화상품권</t>
    <phoneticPr fontId="7" type="noConversion"/>
  </si>
  <si>
    <t xml:space="preserve"> * 기타 불용품매각대</t>
    <phoneticPr fontId="7" type="noConversion"/>
  </si>
  <si>
    <t>7종</t>
    <phoneticPr fontId="7" type="noConversion"/>
  </si>
  <si>
    <t>원</t>
    <phoneticPr fontId="7" type="noConversion"/>
  </si>
  <si>
    <t>법인</t>
    <phoneticPr fontId="7" type="noConversion"/>
  </si>
  <si>
    <t>후원</t>
    <phoneticPr fontId="7" type="noConversion"/>
  </si>
  <si>
    <t>* 직원건강검진비(순수시비)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</si>
  <si>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</si>
  <si>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</si>
  <si>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</si>
  <si>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13. 시설방역</t>
    <phoneticPr fontId="7" type="noConversion"/>
  </si>
  <si>
    <t xml:space="preserve"> ① CMS 이용료</t>
    <phoneticPr fontId="7" type="noConversion"/>
  </si>
  <si>
    <t xml:space="preserve"> ② CMS 이체수수료</t>
    <phoneticPr fontId="7" type="noConversion"/>
  </si>
  <si>
    <t xml:space="preserve"> ③ 보증보험료</t>
    <phoneticPr fontId="7" type="noConversion"/>
  </si>
  <si>
    <t>①자동차보험료(32인승, 25인승, 15인승, 마티즈, 모닝, 스타렉스 12인승)</t>
    <phoneticPr fontId="7" type="noConversion"/>
  </si>
  <si>
    <t>보조</t>
    <phoneticPr fontId="7" type="noConversion"/>
  </si>
  <si>
    <t>②자동차세/환경개선부담금(시설,자동차분)</t>
    <phoneticPr fontId="7" type="noConversion"/>
  </si>
  <si>
    <t>입소</t>
    <phoneticPr fontId="7" type="noConversion"/>
  </si>
  <si>
    <t>입소</t>
    <phoneticPr fontId="7" type="noConversion"/>
  </si>
  <si>
    <t>4. 가정방문</t>
    <phoneticPr fontId="7" type="noConversion"/>
  </si>
  <si>
    <t>5. 어버이날 행사</t>
    <phoneticPr fontId="7" type="noConversion"/>
  </si>
  <si>
    <t>후원</t>
    <phoneticPr fontId="7" type="noConversion"/>
  </si>
  <si>
    <t>원</t>
    <phoneticPr fontId="7" type="noConversion"/>
  </si>
  <si>
    <t>회</t>
    <phoneticPr fontId="7" type="noConversion"/>
  </si>
  <si>
    <t>후원</t>
    <phoneticPr fontId="7" type="noConversion"/>
  </si>
  <si>
    <t>7. 기타 공공요금</t>
    <phoneticPr fontId="7" type="noConversion"/>
  </si>
  <si>
    <t>1.사무실 노후 컴퓨터 교체</t>
    <phoneticPr fontId="7" type="noConversion"/>
  </si>
  <si>
    <t>대</t>
    <phoneticPr fontId="7" type="noConversion"/>
  </si>
  <si>
    <t>1.일반피복비</t>
    <phoneticPr fontId="7" type="noConversion"/>
  </si>
  <si>
    <t>×</t>
    <phoneticPr fontId="7" type="noConversion"/>
  </si>
  <si>
    <t>명</t>
    <phoneticPr fontId="7" type="noConversion"/>
  </si>
  <si>
    <t>(생계비)</t>
    <phoneticPr fontId="7" type="noConversion"/>
  </si>
  <si>
    <t>=</t>
    <phoneticPr fontId="7" type="noConversion"/>
  </si>
  <si>
    <t>보조</t>
    <phoneticPr fontId="7" type="noConversion"/>
  </si>
  <si>
    <t>입소</t>
    <phoneticPr fontId="7" type="noConversion"/>
  </si>
  <si>
    <t>2.생계비(입소비용 부담금)</t>
    <phoneticPr fontId="7" type="noConversion"/>
  </si>
  <si>
    <t>월</t>
    <phoneticPr fontId="7" type="noConversion"/>
  </si>
  <si>
    <t xml:space="preserve">               (김장 자부담)</t>
    <phoneticPr fontId="7" type="noConversion"/>
  </si>
  <si>
    <t>잡수</t>
    <phoneticPr fontId="7" type="noConversion"/>
  </si>
  <si>
    <t>9.직원급식비(직재)</t>
    <phoneticPr fontId="7" type="noConversion"/>
  </si>
  <si>
    <t>원</t>
    <phoneticPr fontId="7" type="noConversion"/>
  </si>
  <si>
    <t>* 거주시설 직원급식비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</si>
  <si>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</si>
  <si>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</si>
  <si>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</si>
  <si>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</si>
  <si>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* 직업재활 급식비</t>
    <phoneticPr fontId="7" type="noConversion"/>
  </si>
  <si>
    <t xml:space="preserve"> * 지정후원금이월액</t>
    <phoneticPr fontId="7" type="noConversion"/>
  </si>
  <si>
    <t xml:space="preserve"> * 비지정후원금이월액</t>
    <phoneticPr fontId="7" type="noConversion"/>
  </si>
  <si>
    <t>월</t>
    <phoneticPr fontId="7" type="noConversion"/>
  </si>
  <si>
    <t xml:space="preserve"> C.인건비지원(추가 연장야간근로수당 5h)</t>
    <phoneticPr fontId="7" type="noConversion"/>
  </si>
  <si>
    <t>7종</t>
    <phoneticPr fontId="7" type="noConversion"/>
  </si>
  <si>
    <t>원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</si>
  <si>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</si>
  <si>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</si>
  <si>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</si>
  <si>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</si>
  <si>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</si>
  <si>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>* 경장연 대체인력 지원금</t>
    <phoneticPr fontId="7" type="noConversion"/>
  </si>
  <si>
    <t>일</t>
    <phoneticPr fontId="7" type="noConversion"/>
  </si>
  <si>
    <t>* 운영위원 참석수당</t>
    <phoneticPr fontId="7" type="noConversion"/>
  </si>
  <si>
    <t>* 입소비용수입</t>
    <phoneticPr fontId="7" type="noConversion"/>
  </si>
  <si>
    <t>월</t>
    <phoneticPr fontId="7" type="noConversion"/>
  </si>
  <si>
    <t>* 정년퇴직자 선물 및 기타경비</t>
    <phoneticPr fontId="7" type="noConversion"/>
  </si>
  <si>
    <t>* 직원단체복지원</t>
    <phoneticPr fontId="7" type="noConversion"/>
  </si>
  <si>
    <t>* 명절선물구입</t>
    <phoneticPr fontId="7" type="noConversion"/>
  </si>
  <si>
    <t>* 사업운영평가</t>
    <phoneticPr fontId="7" type="noConversion"/>
  </si>
  <si>
    <t>* 예산심의 및 사업계획수립</t>
    <phoneticPr fontId="7" type="noConversion"/>
  </si>
  <si>
    <t>* 팀별/층별 워크숍</t>
    <phoneticPr fontId="7" type="noConversion"/>
  </si>
  <si>
    <t>* 산하시설견학</t>
    <phoneticPr fontId="7" type="noConversion"/>
  </si>
  <si>
    <t>* 직원하계수련회</t>
    <phoneticPr fontId="7" type="noConversion"/>
  </si>
  <si>
    <t>2.경장연 대체인력 인건비</t>
    <phoneticPr fontId="7" type="noConversion"/>
  </si>
  <si>
    <t>7종</t>
    <phoneticPr fontId="7" type="noConversion"/>
  </si>
  <si>
    <t>÷</t>
    <phoneticPr fontId="7" type="noConversion"/>
  </si>
  <si>
    <t>법인</t>
    <phoneticPr fontId="7" type="noConversion"/>
  </si>
  <si>
    <t>7.팀별/층별 워크숍</t>
    <phoneticPr fontId="7" type="noConversion"/>
  </si>
  <si>
    <t>6.신입직원교육(산하시설견학)</t>
    <phoneticPr fontId="7" type="noConversion"/>
  </si>
  <si>
    <t>3. 예산심의 사업계획수립</t>
    <phoneticPr fontId="7" type="noConversion"/>
  </si>
  <si>
    <t>4.사업운영평가</t>
    <phoneticPr fontId="7" type="noConversion"/>
  </si>
  <si>
    <t>보조</t>
    <phoneticPr fontId="7" type="noConversion"/>
  </si>
  <si>
    <t>후원</t>
    <phoneticPr fontId="7" type="noConversion"/>
  </si>
  <si>
    <t>③복지시설 손해배상책임공제 가입(영업배상, 화재 등)</t>
    <phoneticPr fontId="7" type="noConversion"/>
  </si>
  <si>
    <t>④신원보증보험갱신</t>
    <phoneticPr fontId="7" type="noConversion"/>
  </si>
  <si>
    <t>⑤이용자 여행배상책임보험료</t>
    <phoneticPr fontId="7" type="noConversion"/>
  </si>
  <si>
    <t>3. 제세공과금 보충액</t>
    <phoneticPr fontId="7" type="noConversion"/>
  </si>
  <si>
    <t>1.차량유류대/정비(운영비)</t>
    <phoneticPr fontId="7" type="noConversion"/>
  </si>
  <si>
    <t xml:space="preserve"> 1)직무교육</t>
    <phoneticPr fontId="7" type="noConversion"/>
  </si>
  <si>
    <t xml:space="preserve"> 2)보수교육</t>
    <phoneticPr fontId="7" type="noConversion"/>
  </si>
  <si>
    <t xml:space="preserve"> 3) 연찬회 및 피정등</t>
    <phoneticPr fontId="7" type="noConversion"/>
  </si>
  <si>
    <t xml:space="preserve"> 1)하계직원교육</t>
    <phoneticPr fontId="7" type="noConversion"/>
  </si>
  <si>
    <t xml:space="preserve"> 2)역량강화교육</t>
    <phoneticPr fontId="7" type="noConversion"/>
  </si>
  <si>
    <t>2.내부교육</t>
    <phoneticPr fontId="7" type="noConversion"/>
  </si>
  <si>
    <t xml:space="preserve"> 3)윤리경영교육</t>
    <phoneticPr fontId="7" type="noConversion"/>
  </si>
  <si>
    <t>5.이용인 독감예방접종</t>
    <phoneticPr fontId="7" type="noConversion"/>
  </si>
  <si>
    <t>2. 명절행사(설날, 추석)</t>
    <phoneticPr fontId="7" type="noConversion"/>
  </si>
  <si>
    <t>입소</t>
    <phoneticPr fontId="7" type="noConversion"/>
  </si>
  <si>
    <t xml:space="preserve"> * 일일호프수익금(차량구입)</t>
    <phoneticPr fontId="7" type="noConversion"/>
  </si>
  <si>
    <t>2.차량구입(일일호프수익금)</t>
    <phoneticPr fontId="7" type="noConversion"/>
  </si>
  <si>
    <t>1. 부활절 나눔행사</t>
    <phoneticPr fontId="7" type="noConversion"/>
  </si>
  <si>
    <t>3. 경로잔치</t>
    <phoneticPr fontId="7" type="noConversion"/>
  </si>
  <si>
    <t>4. 비둘기캠프</t>
    <phoneticPr fontId="7" type="noConversion"/>
  </si>
  <si>
    <t>5. 경기도장애인체육대회</t>
    <phoneticPr fontId="7" type="noConversion"/>
  </si>
  <si>
    <t>4. BMW</t>
    <phoneticPr fontId="7" type="noConversion"/>
  </si>
  <si>
    <t>7. 이용인 성교육</t>
    <phoneticPr fontId="7" type="noConversion"/>
  </si>
  <si>
    <t>9. 기타프로그램</t>
    <phoneticPr fontId="7" type="noConversion"/>
  </si>
  <si>
    <t>2. 재활치료(통증/수중치료)</t>
    <phoneticPr fontId="7" type="noConversion"/>
  </si>
  <si>
    <t>3. 육상필드</t>
    <phoneticPr fontId="7" type="noConversion"/>
  </si>
  <si>
    <t>5. 정규활동(몸짱)</t>
    <phoneticPr fontId="7" type="noConversion"/>
  </si>
  <si>
    <t>2. 종교활동(레지오)</t>
    <phoneticPr fontId="7" type="noConversion"/>
  </si>
  <si>
    <t>* 10년 장기근속자(이혜자/소지영)</t>
    <phoneticPr fontId="7" type="noConversion"/>
  </si>
  <si>
    <t>2. 자원봉사자 나들이&amp;간담회</t>
    <phoneticPr fontId="7" type="noConversion"/>
  </si>
  <si>
    <t>3. 일일호프 준비용품</t>
    <phoneticPr fontId="7" type="noConversion"/>
  </si>
  <si>
    <t>1. 자원봉사자 교육/연계프로그램</t>
    <phoneticPr fontId="7" type="noConversion"/>
  </si>
  <si>
    <t>1. 사회적응(렛츠고하나)</t>
    <phoneticPr fontId="7" type="noConversion"/>
  </si>
  <si>
    <t>3. 행복공장</t>
    <phoneticPr fontId="7" type="noConversion"/>
  </si>
  <si>
    <t>2. 사회적응(렛츠고둘)</t>
    <phoneticPr fontId="7" type="noConversion"/>
  </si>
  <si>
    <t>4. 자립준비가정</t>
    <phoneticPr fontId="7" type="noConversion"/>
  </si>
  <si>
    <t>5. 금전관리교육</t>
    <phoneticPr fontId="7" type="noConversion"/>
  </si>
  <si>
    <t>1. 종합체육활동(굿바디)</t>
    <phoneticPr fontId="7" type="noConversion"/>
  </si>
  <si>
    <t>(지정후원금)</t>
    <phoneticPr fontId="7" type="noConversion"/>
  </si>
  <si>
    <t>2. 재활승마(경기도재활프로그램사업)</t>
    <phoneticPr fontId="7" type="noConversion"/>
  </si>
  <si>
    <t>1. 신체활동</t>
    <phoneticPr fontId="7" type="noConversion"/>
  </si>
  <si>
    <t>1. 마음의소리</t>
    <phoneticPr fontId="7" type="noConversion"/>
  </si>
  <si>
    <t>2. 스누젤렌</t>
    <phoneticPr fontId="7" type="noConversion"/>
  </si>
  <si>
    <t>3. 동물매개활동</t>
    <phoneticPr fontId="7" type="noConversion"/>
  </si>
  <si>
    <t>* 10년 장기근속자 포상(이혜자/소지영)</t>
    <phoneticPr fontId="7" type="noConversion"/>
  </si>
  <si>
    <t>1. 아름채 여가누리</t>
    <phoneticPr fontId="7" type="noConversion"/>
  </si>
  <si>
    <t>2. 사랑채 여가누리</t>
    <phoneticPr fontId="7" type="noConversion"/>
  </si>
  <si>
    <t>3. 도예-사랑빚은</t>
    <phoneticPr fontId="7" type="noConversion"/>
  </si>
  <si>
    <t>4. 봉사동아리-사랑담아</t>
    <phoneticPr fontId="7" type="noConversion"/>
  </si>
  <si>
    <t>5. 문화누리</t>
    <phoneticPr fontId="7" type="noConversion"/>
  </si>
  <si>
    <t>6. 하늘투어</t>
    <phoneticPr fontId="7" type="noConversion"/>
  </si>
  <si>
    <t>개별지원</t>
    <phoneticPr fontId="7" type="noConversion"/>
  </si>
  <si>
    <t>서비스</t>
    <phoneticPr fontId="7" type="noConversion"/>
  </si>
  <si>
    <t>1. 사량재 개별지원</t>
    <phoneticPr fontId="7" type="noConversion"/>
  </si>
  <si>
    <t>2. 하늘채 개별지원</t>
    <phoneticPr fontId="7" type="noConversion"/>
  </si>
  <si>
    <t>3. 생일프로그램</t>
    <phoneticPr fontId="7" type="noConversion"/>
  </si>
  <si>
    <t>3. 송년회</t>
    <phoneticPr fontId="7" type="noConversion"/>
  </si>
  <si>
    <t>4. 사회적응/여가활동</t>
    <phoneticPr fontId="7" type="noConversion"/>
  </si>
  <si>
    <t>5. 계절별여행</t>
    <phoneticPr fontId="7" type="noConversion"/>
  </si>
  <si>
    <t>12. 쓰레기봉투 및 폐기물 마대 구입비/ 맨홀,물탱크청소</t>
    <phoneticPr fontId="7" type="noConversion"/>
  </si>
  <si>
    <t>14. 기타 수용비 및 수수료</t>
    <phoneticPr fontId="7" type="noConversion"/>
  </si>
  <si>
    <t>입소</t>
    <phoneticPr fontId="7" type="noConversion"/>
  </si>
  <si>
    <t>1. 건강관리(경기마라톤)</t>
    <phoneticPr fontId="7" type="noConversion"/>
  </si>
  <si>
    <t>2. 환경미화</t>
    <phoneticPr fontId="7" type="noConversion"/>
  </si>
  <si>
    <t>3. 이용인 송년회</t>
    <phoneticPr fontId="7" type="noConversion"/>
  </si>
  <si>
    <t>4. 이용인 자치회의</t>
    <phoneticPr fontId="7" type="noConversion"/>
  </si>
  <si>
    <t>4. 이용인 식습관 및 기호도 조사</t>
    <phoneticPr fontId="7" type="noConversion"/>
  </si>
  <si>
    <t>3. 미귀가생 프로그램</t>
    <phoneticPr fontId="7" type="noConversion"/>
  </si>
  <si>
    <t>*실습사회복무요원 다과비</t>
    <phoneticPr fontId="7" type="noConversion"/>
  </si>
  <si>
    <t>10. 기타행사 생계비</t>
    <phoneticPr fontId="7" type="noConversion"/>
  </si>
  <si>
    <t>원</t>
    <phoneticPr fontId="7" type="noConversion"/>
  </si>
  <si>
    <t>* 해외여행지원금</t>
    <phoneticPr fontId="7" type="noConversion"/>
  </si>
  <si>
    <t>7.거주인 해외여행프로그램 직원지원금/공동경비</t>
    <phoneticPr fontId="7" type="noConversion"/>
  </si>
  <si>
    <t>원</t>
    <phoneticPr fontId="7" type="noConversion"/>
  </si>
  <si>
    <t>명</t>
    <phoneticPr fontId="7" type="noConversion"/>
  </si>
  <si>
    <t xml:space="preserve">  공동경비</t>
    <phoneticPr fontId="7" type="noConversion"/>
  </si>
  <si>
    <t>입소</t>
    <phoneticPr fontId="7" type="noConversion"/>
  </si>
  <si>
    <t>5.물리치료기기 수리비</t>
    <phoneticPr fontId="7" type="noConversion"/>
  </si>
  <si>
    <t>식대수입</t>
    <phoneticPr fontId="7" type="noConversion"/>
  </si>
  <si>
    <t>□ 2019년도 1차추경예산안 세 입 · 세 출 총  괄  표</t>
    <phoneticPr fontId="28" type="noConversion"/>
  </si>
  <si>
    <t>2019년
본예산</t>
    <phoneticPr fontId="28" type="noConversion"/>
  </si>
  <si>
    <t>2019년
1차추경예산</t>
    <phoneticPr fontId="28" type="noConversion"/>
  </si>
  <si>
    <t>&lt;2019년도 1차추경예산 세입내역&gt;</t>
    <phoneticPr fontId="7" type="noConversion"/>
  </si>
  <si>
    <t>2019년
본예산
(A)
(단위:천원)</t>
    <phoneticPr fontId="7" type="noConversion"/>
  </si>
  <si>
    <t>2019년 1차추경예산액(B)         (단위:천원)</t>
    <phoneticPr fontId="7" type="noConversion"/>
  </si>
  <si>
    <t>건강관리</t>
    <phoneticPr fontId="7" type="noConversion"/>
  </si>
  <si>
    <t>프로그램</t>
    <phoneticPr fontId="7" type="noConversion"/>
  </si>
  <si>
    <t>심리안정</t>
    <phoneticPr fontId="7" type="noConversion"/>
  </si>
  <si>
    <t>여가활동</t>
    <phoneticPr fontId="7" type="noConversion"/>
  </si>
  <si>
    <t>지원</t>
    <phoneticPr fontId="7" type="noConversion"/>
  </si>
  <si>
    <t xml:space="preserve"> *수원시장애인체육회(태권도)</t>
    <phoneticPr fontId="7" type="noConversion"/>
  </si>
  <si>
    <t xml:space="preserve"> *직원후생복지 및 직원교육</t>
    <phoneticPr fontId="7" type="noConversion"/>
  </si>
  <si>
    <t xml:space="preserve"> * 현대자동차(EM발효기/생활실 안전바설치)</t>
    <phoneticPr fontId="7" type="noConversion"/>
  </si>
  <si>
    <t>원</t>
    <phoneticPr fontId="7" type="noConversion"/>
  </si>
  <si>
    <t>1.법인지원 퇴직금적립금</t>
    <phoneticPr fontId="7" type="noConversion"/>
  </si>
  <si>
    <t>2.직원 기타후생경비</t>
    <phoneticPr fontId="7" type="noConversion"/>
  </si>
  <si>
    <t>3.직원 연수 및 교육훈련비</t>
    <phoneticPr fontId="7" type="noConversion"/>
  </si>
  <si>
    <t xml:space="preserve">4.기타 운영비 </t>
    <phoneticPr fontId="7" type="noConversion"/>
  </si>
  <si>
    <t>6. 해외여행지원금</t>
    <phoneticPr fontId="7" type="noConversion"/>
  </si>
  <si>
    <t>※ 기타운영비</t>
    <phoneticPr fontId="7" type="noConversion"/>
  </si>
  <si>
    <t>* 직원 단체복 구입(지정후원금)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</si>
  <si>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</si>
  <si>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</si>
  <si>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</si>
  <si>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</si>
  <si>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후원</t>
    <phoneticPr fontId="7" type="noConversion"/>
  </si>
  <si>
    <t>* 직원독감 예방접종(지정후원금)</t>
    <phoneticPr fontId="7" type="noConversion"/>
  </si>
  <si>
    <t>원</t>
    <phoneticPr fontId="7" type="noConversion"/>
  </si>
  <si>
    <t>후원</t>
    <phoneticPr fontId="7" type="noConversion"/>
  </si>
  <si>
    <t>후원</t>
    <phoneticPr fontId="7" type="noConversion"/>
  </si>
  <si>
    <t>입소</t>
    <phoneticPr fontId="7" type="noConversion"/>
  </si>
  <si>
    <t>입소</t>
    <phoneticPr fontId="7" type="noConversion"/>
  </si>
  <si>
    <t>잡수</t>
    <phoneticPr fontId="7" type="noConversion"/>
  </si>
  <si>
    <t>7종</t>
    <phoneticPr fontId="7" type="noConversion"/>
  </si>
  <si>
    <t>원</t>
    <phoneticPr fontId="7" type="noConversion"/>
  </si>
  <si>
    <t xml:space="preserve">  환경개선사업비(자부담)</t>
    <phoneticPr fontId="7" type="noConversion"/>
  </si>
  <si>
    <t xml:space="preserve"> *공동모금회(대한항공) 지하프로그램실 붙박이장</t>
    <phoneticPr fontId="7" type="noConversion"/>
  </si>
  <si>
    <t>후원</t>
    <phoneticPr fontId="7" type="noConversion"/>
  </si>
  <si>
    <t>(지정후원금)</t>
    <phoneticPr fontId="7" type="noConversion"/>
  </si>
  <si>
    <t>3.지하프로그램실 붙박이장</t>
    <phoneticPr fontId="7" type="noConversion"/>
  </si>
  <si>
    <t>※ 기타운영비</t>
    <phoneticPr fontId="7" type="noConversion"/>
  </si>
  <si>
    <t>계</t>
    <phoneticPr fontId="7" type="noConversion"/>
  </si>
  <si>
    <t>2019년
1차추경예산
(B)
(단위:천원)</t>
    <phoneticPr fontId="7" type="noConversion"/>
  </si>
  <si>
    <t>5.기관운영비</t>
    <phoneticPr fontId="7" type="noConversion"/>
  </si>
  <si>
    <t>* 기관운영비</t>
    <phoneticPr fontId="7" type="noConversion"/>
  </si>
  <si>
    <t>기관운영비 :</t>
    <phoneticPr fontId="7" type="noConversion"/>
  </si>
  <si>
    <t>* 회의비</t>
    <phoneticPr fontId="7" type="noConversion"/>
  </si>
  <si>
    <t>7. 직원해외연수</t>
    <phoneticPr fontId="7" type="noConversion"/>
  </si>
  <si>
    <t>* 직원해외연수</t>
    <phoneticPr fontId="7" type="noConversion"/>
  </si>
  <si>
    <t xml:space="preserve"> * 잡수입이월액(식권수입)</t>
    <phoneticPr fontId="7" type="noConversion"/>
  </si>
  <si>
    <t>(지정후원금)</t>
    <phoneticPr fontId="7" type="noConversion"/>
  </si>
  <si>
    <t>전년도이월금</t>
    <phoneticPr fontId="7" type="noConversion"/>
  </si>
  <si>
    <t>(비지정후원금)</t>
    <phoneticPr fontId="7" type="noConversion"/>
  </si>
  <si>
    <t>(식권수입)</t>
    <phoneticPr fontId="7" type="noConversion"/>
  </si>
  <si>
    <t xml:space="preserve"> 가.추가 연장야간근로수당(5h)</t>
    <phoneticPr fontId="7" type="noConversion"/>
  </si>
  <si>
    <t>법인</t>
    <phoneticPr fontId="7" type="noConversion"/>
  </si>
  <si>
    <t>합계 :</t>
    <phoneticPr fontId="7" type="noConversion"/>
  </si>
  <si>
    <t>4.EM발효기(2대)</t>
    <phoneticPr fontId="7" type="noConversion"/>
  </si>
  <si>
    <t>(지정후원금)</t>
    <phoneticPr fontId="7" type="noConversion"/>
  </si>
  <si>
    <t>후원</t>
    <phoneticPr fontId="7" type="noConversion"/>
  </si>
  <si>
    <t>후원</t>
    <phoneticPr fontId="7" type="noConversion"/>
  </si>
  <si>
    <t>8. 거주시설 직원급식비(김장비 포함)</t>
    <phoneticPr fontId="7" type="noConversion"/>
  </si>
  <si>
    <t>*기능보강사업비</t>
    <phoneticPr fontId="7" type="noConversion"/>
  </si>
  <si>
    <t xml:space="preserve">* 사회복무요원 소집해제 선물(문화상품권)                  </t>
    <phoneticPr fontId="7" type="noConversion"/>
  </si>
  <si>
    <t>잡수</t>
    <phoneticPr fontId="7" type="noConversion"/>
  </si>
  <si>
    <t>2.시설장비유지비</t>
    <phoneticPr fontId="7" type="noConversion"/>
  </si>
  <si>
    <t>* 데크공사</t>
    <phoneticPr fontId="7" type="noConversion"/>
  </si>
  <si>
    <t>1. 시설장비유지비</t>
    <phoneticPr fontId="7" type="noConversion"/>
  </si>
  <si>
    <t xml:space="preserve"> * 생활실리모델링공사 설계비</t>
    <phoneticPr fontId="7" type="noConversion"/>
  </si>
  <si>
    <t>원</t>
    <phoneticPr fontId="7" type="noConversion"/>
  </si>
  <si>
    <t xml:space="preserve">  *감동드림프로젝트(김태윤)</t>
    <phoneticPr fontId="7" type="noConversion"/>
  </si>
  <si>
    <t>5.직원 해외연수</t>
    <phoneticPr fontId="7" type="noConversion"/>
  </si>
  <si>
    <t>후원</t>
    <phoneticPr fontId="7" type="noConversion"/>
  </si>
  <si>
    <t xml:space="preserve">   감동프로젝트(김태윤)</t>
    <phoneticPr fontId="7" type="noConversion"/>
  </si>
  <si>
    <t>원</t>
    <phoneticPr fontId="7" type="noConversion"/>
  </si>
  <si>
    <t>5. 성탄행사(이용인선물)</t>
    <phoneticPr fontId="7" type="noConversion"/>
  </si>
  <si>
    <t>잡수입이월금</t>
    <phoneticPr fontId="7" type="noConversion"/>
  </si>
  <si>
    <t xml:space="preserve"> * 잡수입이월액(기타잡수입)</t>
    <phoneticPr fontId="7" type="noConversion"/>
  </si>
  <si>
    <t>원</t>
    <phoneticPr fontId="7" type="noConversion"/>
  </si>
  <si>
    <t>(기타잡수입)</t>
    <phoneticPr fontId="7" type="noConversion"/>
  </si>
  <si>
    <t>기타잡수입</t>
    <phoneticPr fontId="7" type="noConversion"/>
  </si>
  <si>
    <t xml:space="preserve"> &lt;기타잡수입&gt;</t>
    <phoneticPr fontId="7" type="noConversion"/>
  </si>
  <si>
    <t>* 사회복지 실습비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</si>
  <si>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</si>
  <si>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</si>
  <si>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</si>
  <si>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* 기타 잡수입(공익실습비/경장협 행사지원금 수입/비누판매금 등)</t>
    <phoneticPr fontId="7" type="noConversion"/>
  </si>
  <si>
    <t>&lt;2019년도 1차추경예산 세출내역&gt;</t>
    <phoneticPr fontId="7" type="noConversion"/>
  </si>
  <si>
    <t>원</t>
    <phoneticPr fontId="7" type="noConversion"/>
  </si>
  <si>
    <t>2. 태권도(수원시장애인체육회 지원)</t>
    <phoneticPr fontId="7" type="noConversion"/>
  </si>
  <si>
    <t>3.생활실 리모델링공사  설계비(지정후원금:25,000,000원)</t>
    <phoneticPr fontId="7" type="noConversion"/>
  </si>
  <si>
    <t>후원</t>
    <phoneticPr fontId="7" type="noConversion"/>
  </si>
  <si>
    <t>6. 2층 생활실 심야전기 난방공사</t>
    <phoneticPr fontId="7" type="noConversion"/>
  </si>
  <si>
    <t>7. 환경개선사업(소방감지기)</t>
    <phoneticPr fontId="7" type="noConversion"/>
  </si>
  <si>
    <t>8. 생활실 안전바 설치</t>
    <phoneticPr fontId="7" type="noConversion"/>
  </si>
  <si>
    <t>9. 기타 시설장비유지비</t>
    <phoneticPr fontId="7" type="noConversion"/>
  </si>
  <si>
    <t>후원</t>
    <phoneticPr fontId="7" type="noConversion"/>
  </si>
  <si>
    <t>(단위:천원)</t>
    <phoneticPr fontId="28" type="noConversion"/>
  </si>
  <si>
    <t>후원</t>
    <phoneticPr fontId="7" type="noConversion"/>
  </si>
  <si>
    <t>4.데크공사(법인전입금(후원금))</t>
    <phoneticPr fontId="7" type="noConversion"/>
  </si>
  <si>
    <t>잡수</t>
    <phoneticPr fontId="7" type="noConversion"/>
  </si>
  <si>
    <t>원</t>
    <phoneticPr fontId="7" type="noConversion"/>
  </si>
  <si>
    <t>법인</t>
    <phoneticPr fontId="7" type="noConversion"/>
  </si>
</sst>
</file>

<file path=xl/styles.xml><?xml version="1.0" encoding="utf-8"?>
<styleSheet xmlns="http://schemas.openxmlformats.org/spreadsheetml/2006/main">
  <numFmts count="21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4" formatCode="#,##0_ ;[Red]\-#,##0\ "/>
    <numFmt numFmtId="195" formatCode="#,##0&quot;시간&quot;;[Red]#,##0"/>
    <numFmt numFmtId="196" formatCode="#,##0&quot;명&quot;;[Red]#,##0"/>
    <numFmt numFmtId="197" formatCode="#,##0&quot;대&quot;;[Red]#,##0\ &quot;개&quot;"/>
    <numFmt numFmtId="198" formatCode="&quot;×&quot;0.0%"/>
  </numFmts>
  <fonts count="50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0"/>
      <name val="바탕체"/>
      <family val="1"/>
      <charset val="129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741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176" fontId="11" fillId="0" borderId="0" xfId="3" applyNumberFormat="1" applyFont="1" applyFill="1" applyAlignment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4" xfId="3" applyNumberFormat="1" applyFont="1" applyFill="1" applyBorder="1" applyAlignment="1">
      <alignment vertical="center"/>
    </xf>
    <xf numFmtId="9" fontId="14" fillId="0" borderId="27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3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vertical="center" wrapText="1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9" fontId="14" fillId="0" borderId="0" xfId="1" applyFont="1" applyFill="1" applyBorder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180" fontId="14" fillId="0" borderId="0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4" fillId="0" borderId="27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 wrapText="1"/>
    </xf>
    <xf numFmtId="38" fontId="14" fillId="0" borderId="14" xfId="3" applyNumberFormat="1" applyFont="1" applyFill="1" applyBorder="1" applyAlignment="1">
      <alignment vertical="center"/>
    </xf>
    <xf numFmtId="38" fontId="14" fillId="0" borderId="30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4" fillId="0" borderId="54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38" fontId="14" fillId="0" borderId="33" xfId="3" applyNumberFormat="1" applyFont="1" applyFill="1" applyBorder="1" applyAlignment="1">
      <alignment vertical="center"/>
    </xf>
    <xf numFmtId="38" fontId="14" fillId="0" borderId="36" xfId="3" applyNumberFormat="1" applyFont="1" applyFill="1" applyBorder="1" applyAlignment="1">
      <alignment vertical="center"/>
    </xf>
    <xf numFmtId="38" fontId="14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4" fillId="0" borderId="38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vertical="center"/>
    </xf>
    <xf numFmtId="0" fontId="16" fillId="0" borderId="44" xfId="3" applyFont="1" applyFill="1" applyBorder="1" applyAlignment="1">
      <alignment vertical="center"/>
    </xf>
    <xf numFmtId="176" fontId="16" fillId="0" borderId="44" xfId="3" applyNumberFormat="1" applyFont="1" applyFill="1" applyBorder="1" applyAlignment="1">
      <alignment vertical="center"/>
    </xf>
    <xf numFmtId="176" fontId="16" fillId="0" borderId="45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0" fontId="16" fillId="0" borderId="53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9" fontId="8" fillId="0" borderId="0" xfId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9" fontId="16" fillId="0" borderId="1" xfId="1" applyFont="1" applyFill="1" applyBorder="1" applyAlignment="1">
      <alignment horizontal="center" vertical="center"/>
    </xf>
    <xf numFmtId="38" fontId="14" fillId="0" borderId="8" xfId="3" applyNumberFormat="1" applyFont="1" applyFill="1" applyBorder="1" applyAlignment="1">
      <alignment vertical="center"/>
    </xf>
    <xf numFmtId="9" fontId="14" fillId="0" borderId="8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4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4" fillId="0" borderId="14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 wrapText="1"/>
    </xf>
    <xf numFmtId="9" fontId="14" fillId="0" borderId="11" xfId="3" applyNumberFormat="1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vertical="center"/>
    </xf>
    <xf numFmtId="0" fontId="21" fillId="0" borderId="53" xfId="3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left" vertical="center"/>
    </xf>
    <xf numFmtId="41" fontId="14" fillId="0" borderId="0" xfId="2" applyNumberFormat="1" applyFont="1" applyFill="1" applyBorder="1" applyAlignment="1">
      <alignment vertical="center"/>
    </xf>
    <xf numFmtId="177" fontId="14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4" fillId="0" borderId="14" xfId="3" applyNumberFormat="1" applyFont="1" applyFill="1" applyBorder="1" applyAlignment="1">
      <alignment horizontal="center" vertical="center"/>
    </xf>
    <xf numFmtId="178" fontId="14" fillId="0" borderId="14" xfId="3" applyNumberFormat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horizontal="center" vertical="center"/>
    </xf>
    <xf numFmtId="178" fontId="22" fillId="0" borderId="14" xfId="0" applyNumberFormat="1" applyFont="1" applyBorder="1">
      <alignment vertical="center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vertical="center"/>
    </xf>
    <xf numFmtId="9" fontId="17" fillId="0" borderId="23" xfId="3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178" fontId="19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9" fontId="19" fillId="0" borderId="11" xfId="3" applyNumberFormat="1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left" vertical="center"/>
    </xf>
    <xf numFmtId="180" fontId="14" fillId="0" borderId="30" xfId="2" applyNumberFormat="1" applyFont="1" applyFill="1" applyBorder="1" applyAlignment="1">
      <alignment vertical="center"/>
    </xf>
    <xf numFmtId="41" fontId="14" fillId="0" borderId="30" xfId="2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0" fontId="14" fillId="0" borderId="29" xfId="3" applyFont="1" applyFill="1" applyBorder="1" applyAlignment="1">
      <alignment vertical="center"/>
    </xf>
    <xf numFmtId="9" fontId="14" fillId="0" borderId="55" xfId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horizontal="center" vertical="center"/>
    </xf>
    <xf numFmtId="177" fontId="14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4" fillId="0" borderId="3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8" fontId="17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4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4" fillId="0" borderId="1" xfId="1" applyNumberFormat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4" fontId="17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5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6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5" fillId="0" borderId="41" xfId="3" applyFont="1" applyFill="1" applyBorder="1" applyAlignment="1">
      <alignment vertical="center"/>
    </xf>
    <xf numFmtId="0" fontId="35" fillId="0" borderId="30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38" fillId="0" borderId="20" xfId="3" applyFont="1" applyFill="1" applyBorder="1" applyAlignment="1">
      <alignment horizontal="center" vertical="center" wrapText="1"/>
    </xf>
    <xf numFmtId="176" fontId="38" fillId="0" borderId="20" xfId="0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0" fontId="39" fillId="0" borderId="53" xfId="3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176" fontId="39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0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1" fillId="0" borderId="14" xfId="3" applyFont="1" applyFill="1" applyBorder="1" applyAlignment="1">
      <alignment vertical="center"/>
    </xf>
    <xf numFmtId="0" fontId="41" fillId="0" borderId="0" xfId="3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horizontal="right" vertical="center"/>
    </xf>
    <xf numFmtId="176" fontId="41" fillId="0" borderId="54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2" fillId="0" borderId="0" xfId="3" applyNumberFormat="1" applyFont="1" applyFill="1" applyBorder="1" applyAlignment="1">
      <alignment vertical="center"/>
    </xf>
    <xf numFmtId="0" fontId="42" fillId="0" borderId="0" xfId="3" applyFont="1" applyFill="1" applyBorder="1" applyAlignment="1">
      <alignment horizontal="center" vertical="center"/>
    </xf>
    <xf numFmtId="0" fontId="42" fillId="0" borderId="0" xfId="3" applyFont="1" applyFill="1" applyBorder="1" applyAlignment="1">
      <alignment vertical="center"/>
    </xf>
    <xf numFmtId="0" fontId="41" fillId="0" borderId="41" xfId="3" applyFont="1" applyFill="1" applyBorder="1" applyAlignment="1">
      <alignment vertical="center"/>
    </xf>
    <xf numFmtId="0" fontId="41" fillId="0" borderId="30" xfId="3" applyFont="1" applyFill="1" applyBorder="1" applyAlignment="1">
      <alignment vertical="center"/>
    </xf>
    <xf numFmtId="176" fontId="41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9" fontId="24" fillId="0" borderId="0" xfId="1" applyNumberFormat="1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76" fontId="37" fillId="0" borderId="5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176" fontId="26" fillId="0" borderId="0" xfId="4" applyNumberFormat="1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178" fontId="26" fillId="0" borderId="0" xfId="0" applyNumberFormat="1" applyFont="1" applyFill="1" applyAlignment="1">
      <alignment horizontal="right"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95" fontId="26" fillId="0" borderId="0" xfId="3" applyNumberFormat="1" applyFont="1" applyFill="1" applyBorder="1" applyAlignment="1">
      <alignment vertical="center"/>
    </xf>
    <xf numFmtId="196" fontId="26" fillId="0" borderId="0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4" fillId="0" borderId="11" xfId="8" applyFont="1" applyBorder="1" applyAlignment="1">
      <alignment vertical="center"/>
    </xf>
    <xf numFmtId="182" fontId="44" fillId="0" borderId="36" xfId="8" applyNumberFormat="1" applyFont="1" applyBorder="1" applyAlignment="1">
      <alignment vertical="center"/>
    </xf>
    <xf numFmtId="182" fontId="44" fillId="0" borderId="12" xfId="8" applyNumberFormat="1" applyFont="1" applyBorder="1" applyAlignment="1">
      <alignment vertical="center"/>
    </xf>
    <xf numFmtId="0" fontId="45" fillId="0" borderId="11" xfId="7" applyFont="1" applyBorder="1" applyAlignment="1">
      <alignment horizontal="center" vertical="center"/>
    </xf>
    <xf numFmtId="41" fontId="46" fillId="0" borderId="11" xfId="8" applyFont="1" applyBorder="1" applyAlignment="1">
      <alignment vertical="center"/>
    </xf>
    <xf numFmtId="182" fontId="46" fillId="0" borderId="36" xfId="8" applyNumberFormat="1" applyFont="1" applyBorder="1" applyAlignment="1">
      <alignment vertical="center"/>
    </xf>
    <xf numFmtId="0" fontId="45" fillId="0" borderId="20" xfId="7" applyFont="1" applyBorder="1" applyAlignment="1">
      <alignment horizontal="center" vertical="center"/>
    </xf>
    <xf numFmtId="41" fontId="46" fillId="0" borderId="20" xfId="8" applyFont="1" applyBorder="1">
      <alignment vertical="center"/>
    </xf>
    <xf numFmtId="182" fontId="46" fillId="0" borderId="41" xfId="8" applyNumberFormat="1" applyFont="1" applyBorder="1">
      <alignment vertical="center"/>
    </xf>
    <xf numFmtId="182" fontId="46" fillId="0" borderId="12" xfId="8" applyNumberFormat="1" applyFont="1" applyBorder="1" applyAlignment="1">
      <alignment vertical="center"/>
    </xf>
    <xf numFmtId="182" fontId="46" fillId="0" borderId="18" xfId="8" applyNumberFormat="1" applyFont="1" applyBorder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26" fillId="0" borderId="3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4" fillId="0" borderId="34" xfId="0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9" xfId="3" applyNumberFormat="1" applyFont="1" applyFill="1" applyBorder="1" applyAlignment="1">
      <alignment vertical="center"/>
    </xf>
    <xf numFmtId="177" fontId="16" fillId="0" borderId="13" xfId="3" applyNumberFormat="1" applyFont="1" applyFill="1" applyBorder="1" applyAlignment="1">
      <alignment horizontal="right" vertical="center"/>
    </xf>
    <xf numFmtId="0" fontId="16" fillId="0" borderId="13" xfId="3" applyFont="1" applyFill="1" applyBorder="1" applyAlignment="1">
      <alignment vertical="center"/>
    </xf>
    <xf numFmtId="0" fontId="16" fillId="0" borderId="38" xfId="3" applyFont="1" applyFill="1" applyBorder="1" applyAlignment="1">
      <alignment vertical="center"/>
    </xf>
    <xf numFmtId="176" fontId="16" fillId="0" borderId="13" xfId="3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88" fontId="14" fillId="0" borderId="0" xfId="1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42" fontId="47" fillId="0" borderId="0" xfId="3" applyNumberFormat="1" applyFont="1" applyFill="1" applyBorder="1" applyAlignment="1">
      <alignment horizontal="center" vertical="center"/>
    </xf>
    <xf numFmtId="184" fontId="14" fillId="0" borderId="0" xfId="1" applyNumberFormat="1" applyFont="1" applyFill="1" applyBorder="1" applyAlignment="1">
      <alignment horizontal="center" vertical="center"/>
    </xf>
    <xf numFmtId="183" fontId="14" fillId="0" borderId="0" xfId="1" applyNumberFormat="1" applyFont="1" applyFill="1" applyBorder="1" applyAlignment="1">
      <alignment horizontal="center" vertical="center"/>
    </xf>
    <xf numFmtId="187" fontId="14" fillId="0" borderId="0" xfId="1" applyNumberFormat="1" applyFont="1" applyFill="1" applyBorder="1" applyAlignment="1">
      <alignment horizontal="center" vertical="center"/>
    </xf>
    <xf numFmtId="186" fontId="14" fillId="0" borderId="0" xfId="3" applyNumberFormat="1" applyFont="1" applyFill="1" applyBorder="1" applyAlignment="1">
      <alignment vertical="center"/>
    </xf>
    <xf numFmtId="178" fontId="14" fillId="0" borderId="0" xfId="3" applyNumberFormat="1" applyFont="1" applyFill="1" applyBorder="1" applyAlignment="1">
      <alignment vertical="center"/>
    </xf>
    <xf numFmtId="180" fontId="14" fillId="0" borderId="0" xfId="2" applyNumberFormat="1" applyFont="1" applyFill="1" applyBorder="1" applyAlignment="1">
      <alignment vertical="center"/>
    </xf>
    <xf numFmtId="9" fontId="14" fillId="0" borderId="14" xfId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vertical="center"/>
    </xf>
    <xf numFmtId="42" fontId="14" fillId="0" borderId="14" xfId="3" applyNumberFormat="1" applyFont="1" applyFill="1" applyBorder="1" applyAlignment="1">
      <alignment horizontal="left" vertical="center"/>
    </xf>
    <xf numFmtId="177" fontId="14" fillId="0" borderId="14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85" fontId="14" fillId="0" borderId="0" xfId="3" applyNumberFormat="1" applyFont="1" applyFill="1" applyBorder="1" applyAlignment="1">
      <alignment horizontal="center" vertical="center"/>
    </xf>
    <xf numFmtId="176" fontId="14" fillId="0" borderId="31" xfId="3" applyNumberFormat="1" applyFont="1" applyFill="1" applyBorder="1" applyAlignment="1">
      <alignment horizontal="right" vertical="center"/>
    </xf>
    <xf numFmtId="181" fontId="14" fillId="0" borderId="0" xfId="1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0" fontId="14" fillId="0" borderId="10" xfId="3" applyFont="1" applyFill="1" applyBorder="1" applyAlignment="1">
      <alignment vertical="center"/>
    </xf>
    <xf numFmtId="41" fontId="14" fillId="0" borderId="14" xfId="2" applyFont="1" applyFill="1" applyBorder="1" applyAlignment="1">
      <alignment vertical="center"/>
    </xf>
    <xf numFmtId="198" fontId="14" fillId="0" borderId="0" xfId="1" applyNumberFormat="1" applyFont="1" applyFill="1" applyBorder="1" applyAlignment="1">
      <alignment horizontal="center" vertical="center"/>
    </xf>
    <xf numFmtId="185" fontId="14" fillId="0" borderId="0" xfId="3" applyNumberFormat="1" applyFont="1" applyFill="1" applyBorder="1" applyAlignment="1">
      <alignment vertical="center"/>
    </xf>
    <xf numFmtId="189" fontId="14" fillId="0" borderId="0" xfId="1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left" vertical="center"/>
    </xf>
    <xf numFmtId="9" fontId="14" fillId="0" borderId="53" xfId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41" fontId="14" fillId="0" borderId="3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left" vertical="center"/>
    </xf>
    <xf numFmtId="180" fontId="24" fillId="0" borderId="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left" vertical="center"/>
    </xf>
    <xf numFmtId="9" fontId="24" fillId="0" borderId="14" xfId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9" fontId="24" fillId="0" borderId="53" xfId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41" fontId="24" fillId="0" borderId="30" xfId="2" applyFont="1" applyFill="1" applyBorder="1" applyAlignment="1">
      <alignment vertical="center"/>
    </xf>
    <xf numFmtId="180" fontId="24" fillId="0" borderId="30" xfId="2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0" fontId="24" fillId="0" borderId="41" xfId="3" applyFont="1" applyFill="1" applyBorder="1" applyAlignment="1">
      <alignment vertical="center"/>
    </xf>
    <xf numFmtId="178" fontId="26" fillId="0" borderId="27" xfId="3" applyNumberFormat="1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0" fontId="14" fillId="0" borderId="42" xfId="3" applyFont="1" applyFill="1" applyBorder="1" applyAlignment="1">
      <alignment horizontal="center" vertical="center" wrapText="1"/>
    </xf>
    <xf numFmtId="178" fontId="26" fillId="0" borderId="0" xfId="3" applyNumberFormat="1" applyFont="1" applyFill="1" applyBorder="1" applyAlignment="1">
      <alignment vertical="center"/>
    </xf>
    <xf numFmtId="185" fontId="26" fillId="0" borderId="0" xfId="3" applyNumberFormat="1" applyFont="1" applyFill="1" applyBorder="1" applyAlignment="1">
      <alignment horizontal="center" vertical="center"/>
    </xf>
    <xf numFmtId="187" fontId="26" fillId="0" borderId="0" xfId="1" applyNumberFormat="1" applyFont="1" applyFill="1" applyBorder="1" applyAlignment="1">
      <alignment horizontal="center" vertical="center"/>
    </xf>
    <xf numFmtId="0" fontId="1" fillId="0" borderId="20" xfId="7" applyFont="1" applyBorder="1" applyAlignment="1">
      <alignment horizontal="center" vertical="center"/>
    </xf>
    <xf numFmtId="0" fontId="4" fillId="0" borderId="51" xfId="7" applyBorder="1" applyAlignment="1">
      <alignment vertical="center"/>
    </xf>
    <xf numFmtId="0" fontId="4" fillId="0" borderId="30" xfId="7" applyBorder="1" applyAlignment="1">
      <alignment vertical="center"/>
    </xf>
    <xf numFmtId="0" fontId="4" fillId="0" borderId="25" xfId="7" applyBorder="1" applyAlignment="1">
      <alignment vertical="center"/>
    </xf>
    <xf numFmtId="0" fontId="4" fillId="0" borderId="0" xfId="7" applyBorder="1" applyAlignment="1">
      <alignment vertical="center"/>
    </xf>
    <xf numFmtId="0" fontId="4" fillId="0" borderId="46" xfId="7" applyBorder="1" applyAlignment="1">
      <alignment vertical="center"/>
    </xf>
    <xf numFmtId="0" fontId="4" fillId="0" borderId="13" xfId="7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42" fontId="33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vertical="center"/>
    </xf>
    <xf numFmtId="177" fontId="31" fillId="0" borderId="11" xfId="3" applyNumberFormat="1" applyFont="1" applyFill="1" applyBorder="1" applyAlignment="1">
      <alignment vertical="center"/>
    </xf>
    <xf numFmtId="9" fontId="31" fillId="0" borderId="11" xfId="1" applyFont="1" applyFill="1" applyBorder="1" applyAlignment="1">
      <alignment horizontal="center" vertical="center"/>
    </xf>
    <xf numFmtId="178" fontId="24" fillId="0" borderId="1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4" fillId="0" borderId="0" xfId="0" applyNumberFormat="1" applyFont="1" applyFill="1" applyBorder="1" applyAlignment="1">
      <alignment vertical="center"/>
    </xf>
    <xf numFmtId="197" fontId="26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178" fontId="33" fillId="0" borderId="0" xfId="3" applyNumberFormat="1" applyFont="1" applyFill="1" applyBorder="1" applyAlignment="1">
      <alignment horizontal="center" vertical="center"/>
    </xf>
    <xf numFmtId="180" fontId="33" fillId="0" borderId="0" xfId="2" applyNumberFormat="1" applyFont="1" applyFill="1" applyBorder="1" applyAlignment="1">
      <alignment horizontal="center" vertical="center"/>
    </xf>
    <xf numFmtId="178" fontId="48" fillId="0" borderId="0" xfId="0" applyNumberFormat="1" applyFont="1" applyBorder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19" fillId="0" borderId="27" xfId="3" applyNumberFormat="1" applyFont="1" applyFill="1" applyBorder="1" applyAlignment="1">
      <alignment vertical="center"/>
    </xf>
    <xf numFmtId="177" fontId="19" fillId="0" borderId="27" xfId="3" applyNumberFormat="1" applyFont="1" applyFill="1" applyBorder="1" applyAlignment="1">
      <alignment vertical="center"/>
    </xf>
    <xf numFmtId="9" fontId="19" fillId="0" borderId="27" xfId="3" applyNumberFormat="1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3" fontId="26" fillId="0" borderId="14" xfId="0" applyNumberFormat="1" applyFont="1" applyFill="1" applyBorder="1" applyAlignment="1">
      <alignment vertical="center"/>
    </xf>
    <xf numFmtId="176" fontId="37" fillId="0" borderId="37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 wrapText="1"/>
    </xf>
    <xf numFmtId="0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horizontal="right" vertical="center"/>
    </xf>
    <xf numFmtId="176" fontId="49" fillId="0" borderId="0" xfId="0" applyNumberFormat="1" applyFont="1" applyFill="1">
      <alignment vertical="center"/>
    </xf>
    <xf numFmtId="0" fontId="24" fillId="0" borderId="0" xfId="0" applyFont="1" applyFill="1">
      <alignment vertical="center"/>
    </xf>
    <xf numFmtId="178" fontId="24" fillId="0" borderId="0" xfId="0" applyNumberFormat="1" applyFont="1" applyFill="1" applyAlignment="1">
      <alignment horizontal="right" vertical="center"/>
    </xf>
    <xf numFmtId="176" fontId="41" fillId="0" borderId="0" xfId="3" applyNumberFormat="1" applyFont="1" applyFill="1" applyBorder="1" applyAlignment="1">
      <alignment horizontal="right" vertical="center"/>
    </xf>
    <xf numFmtId="178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0" fontId="26" fillId="0" borderId="33" xfId="3" applyFont="1" applyFill="1" applyBorder="1" applyAlignment="1">
      <alignment horizontal="left" vertical="center"/>
    </xf>
    <xf numFmtId="181" fontId="26" fillId="0" borderId="0" xfId="1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33" fillId="0" borderId="27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49" fillId="0" borderId="0" xfId="3" applyNumberFormat="1" applyFont="1" applyFill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26" fillId="0" borderId="27" xfId="3" applyFont="1" applyFill="1" applyBorder="1" applyAlignment="1">
      <alignment horizontal="center" vertical="center" wrapText="1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33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5" xfId="0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14" fillId="0" borderId="27" xfId="0" applyNumberFormat="1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horizontal="left" vertical="center"/>
    </xf>
    <xf numFmtId="176" fontId="26" fillId="0" borderId="30" xfId="3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horizontal="left" vertical="center"/>
    </xf>
    <xf numFmtId="176" fontId="24" fillId="0" borderId="56" xfId="3" applyNumberFormat="1" applyFont="1" applyFill="1" applyBorder="1" applyAlignment="1">
      <alignment horizontal="right" vertical="center"/>
    </xf>
    <xf numFmtId="176" fontId="34" fillId="0" borderId="44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33" fillId="0" borderId="0" xfId="0" applyNumberFormat="1" applyFont="1" applyFill="1" applyBorder="1" applyAlignment="1">
      <alignment horizontal="right" vertical="center"/>
    </xf>
    <xf numFmtId="0" fontId="33" fillId="0" borderId="5" xfId="0" applyFont="1" applyFill="1" applyBorder="1">
      <alignment vertical="center"/>
    </xf>
    <xf numFmtId="178" fontId="33" fillId="0" borderId="14" xfId="3" applyNumberFormat="1" applyFont="1" applyFill="1" applyBorder="1" applyAlignment="1">
      <alignment horizontal="right" vertical="center"/>
    </xf>
    <xf numFmtId="41" fontId="36" fillId="0" borderId="0" xfId="2" applyFont="1" applyFill="1" applyAlignment="1">
      <alignment vertical="center"/>
    </xf>
    <xf numFmtId="177" fontId="26" fillId="0" borderId="27" xfId="3" applyNumberFormat="1" applyFont="1" applyFill="1" applyBorder="1" applyAlignment="1">
      <alignment vertical="center"/>
    </xf>
    <xf numFmtId="9" fontId="26" fillId="0" borderId="27" xfId="3" applyNumberFormat="1" applyFont="1" applyFill="1" applyBorder="1" applyAlignment="1">
      <alignment horizontal="center" vertical="center"/>
    </xf>
    <xf numFmtId="177" fontId="26" fillId="0" borderId="1" xfId="3" applyNumberFormat="1" applyFont="1" applyFill="1" applyBorder="1" applyAlignment="1">
      <alignment vertical="center"/>
    </xf>
    <xf numFmtId="9" fontId="26" fillId="0" borderId="1" xfId="3" applyNumberFormat="1" applyFont="1" applyFill="1" applyBorder="1" applyAlignment="1">
      <alignment horizontal="center" vertical="center"/>
    </xf>
    <xf numFmtId="0" fontId="26" fillId="0" borderId="7" xfId="3" applyFont="1" applyFill="1" applyBorder="1" applyAlignment="1">
      <alignment horizontal="center" vertical="center" wrapText="1"/>
    </xf>
    <xf numFmtId="178" fontId="26" fillId="0" borderId="7" xfId="3" applyNumberFormat="1" applyFont="1" applyFill="1" applyBorder="1" applyAlignment="1">
      <alignment vertical="center"/>
    </xf>
    <xf numFmtId="177" fontId="26" fillId="0" borderId="7" xfId="3" applyNumberFormat="1" applyFont="1" applyFill="1" applyBorder="1" applyAlignment="1">
      <alignment vertical="center"/>
    </xf>
    <xf numFmtId="9" fontId="26" fillId="0" borderId="7" xfId="3" applyNumberFormat="1" applyFont="1" applyFill="1" applyBorder="1" applyAlignment="1">
      <alignment horizontal="center" vertical="center"/>
    </xf>
    <xf numFmtId="0" fontId="26" fillId="0" borderId="38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43" fillId="0" borderId="17" xfId="7" applyFont="1" applyBorder="1" applyAlignment="1">
      <alignment horizontal="center" vertical="center"/>
    </xf>
    <xf numFmtId="0" fontId="43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17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8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176" fontId="26" fillId="0" borderId="53" xfId="3" applyNumberFormat="1" applyFont="1" applyFill="1" applyBorder="1" applyAlignment="1">
      <alignment horizontal="center" vertical="center"/>
    </xf>
    <xf numFmtId="176" fontId="14" fillId="0" borderId="53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8" fontId="15" fillId="0" borderId="23" xfId="3" applyNumberFormat="1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horizontal="center" vertical="center" wrapText="1"/>
    </xf>
    <xf numFmtId="0" fontId="14" fillId="0" borderId="13" xfId="3" applyFont="1" applyFill="1" applyBorder="1" applyAlignment="1">
      <alignment horizontal="left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57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26" fillId="0" borderId="0" xfId="3" applyFont="1" applyFill="1" applyBorder="1" applyAlignment="1">
      <alignment horizontal="center" vertical="center" wrapText="1"/>
    </xf>
    <xf numFmtId="0" fontId="14" fillId="0" borderId="40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44" xfId="3" applyNumberFormat="1" applyFont="1" applyFill="1" applyBorder="1" applyAlignment="1">
      <alignment horizontal="center" vertical="center" wrapText="1"/>
    </xf>
    <xf numFmtId="178" fontId="15" fillId="0" borderId="52" xfId="3" applyNumberFormat="1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10" xfId="3" applyFont="1" applyFill="1" applyBorder="1" applyAlignment="1">
      <alignment horizontal="center" vertical="center" wrapText="1"/>
    </xf>
    <xf numFmtId="0" fontId="14" fillId="0" borderId="52" xfId="3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00FFFF"/>
      <color rgb="FFFFFF00"/>
      <color rgb="FF1212F6"/>
      <color rgb="FF000099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zoomScale="85" zoomScaleNormal="85" workbookViewId="0">
      <selection activeCell="J11" sqref="J11"/>
    </sheetView>
  </sheetViews>
  <sheetFormatPr defaultRowHeight="16.5"/>
  <cols>
    <col min="1" max="1" width="1.44140625" style="191" customWidth="1"/>
    <col min="2" max="2" width="11.5546875" style="191" bestFit="1" customWidth="1"/>
    <col min="3" max="3" width="13.33203125" style="191" bestFit="1" customWidth="1"/>
    <col min="4" max="5" width="18" style="191" bestFit="1" customWidth="1"/>
    <col min="6" max="6" width="16" style="191" bestFit="1" customWidth="1"/>
    <col min="7" max="7" width="9.6640625" style="191" bestFit="1" customWidth="1"/>
    <col min="8" max="8" width="13.33203125" style="191" bestFit="1" customWidth="1"/>
    <col min="9" max="10" width="18" style="191" bestFit="1" customWidth="1"/>
    <col min="11" max="11" width="16" style="191" bestFit="1" customWidth="1"/>
    <col min="12" max="16384" width="8.88671875" style="191"/>
  </cols>
  <sheetData>
    <row r="1" spans="2:11" ht="9.9499999999999993" customHeight="1"/>
    <row r="2" spans="2:11" ht="26.25">
      <c r="B2" s="192" t="s">
        <v>784</v>
      </c>
      <c r="K2" s="193" t="s">
        <v>882</v>
      </c>
    </row>
    <row r="3" spans="2:11" ht="9.9499999999999993" customHeight="1" thickBot="1"/>
    <row r="4" spans="2:11" ht="30" customHeight="1">
      <c r="B4" s="678" t="s">
        <v>158</v>
      </c>
      <c r="C4" s="679"/>
      <c r="D4" s="679"/>
      <c r="E4" s="679"/>
      <c r="F4" s="680"/>
      <c r="G4" s="678" t="s">
        <v>159</v>
      </c>
      <c r="H4" s="679"/>
      <c r="I4" s="679"/>
      <c r="J4" s="679"/>
      <c r="K4" s="681"/>
    </row>
    <row r="5" spans="2:11" ht="16.5" customHeight="1">
      <c r="B5" s="682" t="s">
        <v>160</v>
      </c>
      <c r="C5" s="683"/>
      <c r="D5" s="686" t="s">
        <v>785</v>
      </c>
      <c r="E5" s="686" t="s">
        <v>786</v>
      </c>
      <c r="F5" s="688" t="s">
        <v>161</v>
      </c>
      <c r="G5" s="682" t="s">
        <v>160</v>
      </c>
      <c r="H5" s="683"/>
      <c r="I5" s="686" t="s">
        <v>785</v>
      </c>
      <c r="J5" s="686" t="s">
        <v>786</v>
      </c>
      <c r="K5" s="690" t="s">
        <v>161</v>
      </c>
    </row>
    <row r="6" spans="2:11" ht="22.5" customHeight="1" thickBot="1">
      <c r="B6" s="684"/>
      <c r="C6" s="685"/>
      <c r="D6" s="687"/>
      <c r="E6" s="687"/>
      <c r="F6" s="689"/>
      <c r="G6" s="684"/>
      <c r="H6" s="685"/>
      <c r="I6" s="687"/>
      <c r="J6" s="687"/>
      <c r="K6" s="691"/>
    </row>
    <row r="7" spans="2:11" ht="24.95" customHeight="1" thickTop="1">
      <c r="B7" s="670" t="s">
        <v>162</v>
      </c>
      <c r="C7" s="671"/>
      <c r="D7" s="419">
        <f>SUM(D8:D23)/2</f>
        <v>2326047</v>
      </c>
      <c r="E7" s="419">
        <f>SUM(E8:E23)/2</f>
        <v>2403302</v>
      </c>
      <c r="F7" s="420">
        <f>SUM(F8:F23)/2</f>
        <v>77255</v>
      </c>
      <c r="G7" s="670" t="s">
        <v>162</v>
      </c>
      <c r="H7" s="671"/>
      <c r="I7" s="419">
        <f>SUM(I8:I28)/2</f>
        <v>2326047</v>
      </c>
      <c r="J7" s="419">
        <f>SUM(J8:J28)/2</f>
        <v>2403302</v>
      </c>
      <c r="K7" s="421">
        <f>SUM(K8:K28)/2</f>
        <v>77255</v>
      </c>
    </row>
    <row r="8" spans="2:11" ht="24.95" customHeight="1">
      <c r="B8" s="672" t="s">
        <v>163</v>
      </c>
      <c r="C8" s="422" t="s">
        <v>296</v>
      </c>
      <c r="D8" s="423">
        <f>D9</f>
        <v>117600</v>
      </c>
      <c r="E8" s="423">
        <f>E9</f>
        <v>117600</v>
      </c>
      <c r="F8" s="424">
        <f>F9</f>
        <v>0</v>
      </c>
      <c r="G8" s="672" t="s">
        <v>165</v>
      </c>
      <c r="H8" s="422" t="s">
        <v>296</v>
      </c>
      <c r="I8" s="423">
        <f>SUM(I9:I11)</f>
        <v>1818634</v>
      </c>
      <c r="J8" s="423">
        <f>SUM(J9:J11)</f>
        <v>1876750</v>
      </c>
      <c r="K8" s="428">
        <f>SUM(K9:K11)</f>
        <v>58116</v>
      </c>
    </row>
    <row r="9" spans="2:11" ht="24.95" customHeight="1">
      <c r="B9" s="673"/>
      <c r="C9" s="194" t="s">
        <v>164</v>
      </c>
      <c r="D9" s="195">
        <v>117600</v>
      </c>
      <c r="E9" s="195">
        <v>117600</v>
      </c>
      <c r="F9" s="196">
        <f>E9-D9</f>
        <v>0</v>
      </c>
      <c r="G9" s="674"/>
      <c r="H9" s="194" t="s">
        <v>166</v>
      </c>
      <c r="I9" s="195">
        <v>1736880</v>
      </c>
      <c r="J9" s="195">
        <v>1783850</v>
      </c>
      <c r="K9" s="197">
        <f>J9-I9</f>
        <v>46970</v>
      </c>
    </row>
    <row r="10" spans="2:11" ht="24.95" customHeight="1">
      <c r="B10" s="672" t="s">
        <v>167</v>
      </c>
      <c r="C10" s="425" t="s">
        <v>296</v>
      </c>
      <c r="D10" s="426">
        <f>SUM(D11:D14)</f>
        <v>1912543</v>
      </c>
      <c r="E10" s="426">
        <f>SUM(E11:E14)</f>
        <v>1969266</v>
      </c>
      <c r="F10" s="427">
        <f>SUM(F11:F14)</f>
        <v>56723</v>
      </c>
      <c r="G10" s="674"/>
      <c r="H10" s="194" t="s">
        <v>168</v>
      </c>
      <c r="I10" s="195">
        <v>1480</v>
      </c>
      <c r="J10" s="195">
        <v>1480</v>
      </c>
      <c r="K10" s="197">
        <f t="shared" ref="K10:K11" si="0">J10-I10</f>
        <v>0</v>
      </c>
    </row>
    <row r="11" spans="2:11" ht="24.95" customHeight="1">
      <c r="B11" s="674"/>
      <c r="C11" s="276" t="s">
        <v>192</v>
      </c>
      <c r="D11" s="195">
        <v>1233350</v>
      </c>
      <c r="E11" s="195">
        <v>1265010</v>
      </c>
      <c r="F11" s="196">
        <f t="shared" ref="F11:F23" si="1">E11-D11</f>
        <v>31660</v>
      </c>
      <c r="G11" s="673"/>
      <c r="H11" s="194" t="s">
        <v>93</v>
      </c>
      <c r="I11" s="195">
        <v>80274</v>
      </c>
      <c r="J11" s="195">
        <v>91420</v>
      </c>
      <c r="K11" s="197">
        <f t="shared" si="0"/>
        <v>11146</v>
      </c>
    </row>
    <row r="12" spans="2:11" ht="24.95" customHeight="1">
      <c r="B12" s="674"/>
      <c r="C12" s="276" t="s">
        <v>193</v>
      </c>
      <c r="D12" s="195">
        <v>109275</v>
      </c>
      <c r="E12" s="195">
        <v>112695</v>
      </c>
      <c r="F12" s="196">
        <f t="shared" si="1"/>
        <v>3420</v>
      </c>
      <c r="G12" s="672" t="s">
        <v>94</v>
      </c>
      <c r="H12" s="425" t="s">
        <v>296</v>
      </c>
      <c r="I12" s="426">
        <f>SUM(I13:I15)</f>
        <v>111812</v>
      </c>
      <c r="J12" s="426">
        <f>SUM(J13:J15)</f>
        <v>131898</v>
      </c>
      <c r="K12" s="429">
        <f>SUM(K13:K15)</f>
        <v>20086</v>
      </c>
    </row>
    <row r="13" spans="2:11" ht="24.95" customHeight="1">
      <c r="B13" s="674"/>
      <c r="C13" s="276" t="s">
        <v>194</v>
      </c>
      <c r="D13" s="195">
        <v>569918</v>
      </c>
      <c r="E13" s="195">
        <v>591561</v>
      </c>
      <c r="F13" s="196">
        <f t="shared" ref="F13" si="2">E13-D13</f>
        <v>21643</v>
      </c>
      <c r="G13" s="674"/>
      <c r="H13" s="194" t="s">
        <v>95</v>
      </c>
      <c r="I13" s="195">
        <v>0</v>
      </c>
      <c r="J13" s="195">
        <v>0</v>
      </c>
      <c r="K13" s="197">
        <f t="shared" ref="K13" si="3">J13-I13</f>
        <v>0</v>
      </c>
    </row>
    <row r="14" spans="2:11" ht="24.95" customHeight="1">
      <c r="B14" s="673"/>
      <c r="C14" s="521" t="s">
        <v>536</v>
      </c>
      <c r="D14" s="195">
        <v>0</v>
      </c>
      <c r="E14" s="195">
        <v>0</v>
      </c>
      <c r="F14" s="196">
        <f t="shared" si="1"/>
        <v>0</v>
      </c>
      <c r="G14" s="674"/>
      <c r="H14" s="194" t="s">
        <v>98</v>
      </c>
      <c r="I14" s="195">
        <v>28000</v>
      </c>
      <c r="J14" s="195">
        <v>35160</v>
      </c>
      <c r="K14" s="197">
        <f t="shared" ref="K14:K15" si="4">J14-I14</f>
        <v>7160</v>
      </c>
    </row>
    <row r="15" spans="2:11" ht="24.95" customHeight="1">
      <c r="B15" s="672" t="s">
        <v>96</v>
      </c>
      <c r="C15" s="425" t="s">
        <v>296</v>
      </c>
      <c r="D15" s="426">
        <f>SUM(D16:D17)</f>
        <v>168460</v>
      </c>
      <c r="E15" s="426">
        <f>SUM(E16:E17)</f>
        <v>168304</v>
      </c>
      <c r="F15" s="427">
        <f>SUM(F16:F17)</f>
        <v>-156</v>
      </c>
      <c r="G15" s="673"/>
      <c r="H15" s="194" t="s">
        <v>100</v>
      </c>
      <c r="I15" s="195">
        <v>83812</v>
      </c>
      <c r="J15" s="195">
        <v>96738</v>
      </c>
      <c r="K15" s="197">
        <f t="shared" si="4"/>
        <v>12926</v>
      </c>
    </row>
    <row r="16" spans="2:11" ht="24.95" customHeight="1">
      <c r="B16" s="674"/>
      <c r="C16" s="194" t="s">
        <v>97</v>
      </c>
      <c r="D16" s="195">
        <v>64060</v>
      </c>
      <c r="E16" s="195">
        <v>63904</v>
      </c>
      <c r="F16" s="196">
        <f t="shared" si="1"/>
        <v>-156</v>
      </c>
      <c r="G16" s="672" t="s">
        <v>103</v>
      </c>
      <c r="H16" s="425" t="s">
        <v>296</v>
      </c>
      <c r="I16" s="426">
        <f>SUM(I17:I22)</f>
        <v>395281</v>
      </c>
      <c r="J16" s="426">
        <f>SUM(J17:J22)</f>
        <v>394414</v>
      </c>
      <c r="K16" s="429">
        <f>SUM(K17:K22)</f>
        <v>-867</v>
      </c>
    </row>
    <row r="17" spans="2:11" ht="24.95" customHeight="1">
      <c r="B17" s="673"/>
      <c r="C17" s="194" t="s">
        <v>99</v>
      </c>
      <c r="D17" s="195">
        <v>104400</v>
      </c>
      <c r="E17" s="195">
        <v>104400</v>
      </c>
      <c r="F17" s="196">
        <f t="shared" si="1"/>
        <v>0</v>
      </c>
      <c r="G17" s="674"/>
      <c r="H17" s="194" t="s">
        <v>104</v>
      </c>
      <c r="I17" s="195">
        <v>216072</v>
      </c>
      <c r="J17" s="195">
        <v>222190</v>
      </c>
      <c r="K17" s="197">
        <f t="shared" ref="K17:K22" si="5">J17-I17</f>
        <v>6118</v>
      </c>
    </row>
    <row r="18" spans="2:11" ht="24.95" customHeight="1">
      <c r="B18" s="672" t="s">
        <v>101</v>
      </c>
      <c r="C18" s="425" t="s">
        <v>296</v>
      </c>
      <c r="D18" s="426">
        <f>D19</f>
        <v>39324</v>
      </c>
      <c r="E18" s="426">
        <f>E19</f>
        <v>43607</v>
      </c>
      <c r="F18" s="427">
        <f>F19</f>
        <v>4283</v>
      </c>
      <c r="G18" s="674"/>
      <c r="H18" s="194" t="s">
        <v>107</v>
      </c>
      <c r="I18" s="195">
        <v>6828</v>
      </c>
      <c r="J18" s="195">
        <v>7433</v>
      </c>
      <c r="K18" s="197">
        <f t="shared" si="5"/>
        <v>605</v>
      </c>
    </row>
    <row r="19" spans="2:11" ht="24.95" customHeight="1">
      <c r="B19" s="673"/>
      <c r="C19" s="194" t="s">
        <v>102</v>
      </c>
      <c r="D19" s="195">
        <v>39324</v>
      </c>
      <c r="E19" s="195">
        <v>43607</v>
      </c>
      <c r="F19" s="196">
        <f t="shared" si="1"/>
        <v>4283</v>
      </c>
      <c r="G19" s="674"/>
      <c r="H19" s="194" t="s">
        <v>110</v>
      </c>
      <c r="I19" s="195">
        <v>18360</v>
      </c>
      <c r="J19" s="195">
        <v>16640</v>
      </c>
      <c r="K19" s="197">
        <f t="shared" si="5"/>
        <v>-1720</v>
      </c>
    </row>
    <row r="20" spans="2:11" ht="24.95" customHeight="1">
      <c r="B20" s="672" t="s">
        <v>105</v>
      </c>
      <c r="C20" s="425" t="s">
        <v>296</v>
      </c>
      <c r="D20" s="426">
        <f>D21</f>
        <v>33000</v>
      </c>
      <c r="E20" s="426">
        <f>E21</f>
        <v>49405</v>
      </c>
      <c r="F20" s="427">
        <f>F21</f>
        <v>16405</v>
      </c>
      <c r="G20" s="674"/>
      <c r="H20" s="194" t="s">
        <v>111</v>
      </c>
      <c r="I20" s="195">
        <v>18080</v>
      </c>
      <c r="J20" s="195">
        <v>16686</v>
      </c>
      <c r="K20" s="197">
        <f t="shared" si="5"/>
        <v>-1394</v>
      </c>
    </row>
    <row r="21" spans="2:11" ht="24.95" customHeight="1">
      <c r="B21" s="673"/>
      <c r="C21" s="194" t="s">
        <v>106</v>
      </c>
      <c r="D21" s="195">
        <v>33000</v>
      </c>
      <c r="E21" s="195">
        <v>49405</v>
      </c>
      <c r="F21" s="196">
        <f t="shared" si="1"/>
        <v>16405</v>
      </c>
      <c r="G21" s="674"/>
      <c r="H21" s="194" t="s">
        <v>112</v>
      </c>
      <c r="I21" s="195">
        <v>32691</v>
      </c>
      <c r="J21" s="195">
        <v>27839</v>
      </c>
      <c r="K21" s="197">
        <f t="shared" si="5"/>
        <v>-4852</v>
      </c>
    </row>
    <row r="22" spans="2:11" ht="24.95" customHeight="1">
      <c r="B22" s="672" t="s">
        <v>108</v>
      </c>
      <c r="C22" s="425" t="s">
        <v>296</v>
      </c>
      <c r="D22" s="426">
        <f>D23</f>
        <v>55120</v>
      </c>
      <c r="E22" s="426">
        <f>E23</f>
        <v>55120</v>
      </c>
      <c r="F22" s="427">
        <f>F23</f>
        <v>0</v>
      </c>
      <c r="G22" s="673"/>
      <c r="H22" s="194" t="s">
        <v>113</v>
      </c>
      <c r="I22" s="195">
        <v>103250</v>
      </c>
      <c r="J22" s="195">
        <v>103626</v>
      </c>
      <c r="K22" s="197">
        <f t="shared" si="5"/>
        <v>376</v>
      </c>
    </row>
    <row r="23" spans="2:11" ht="24.95" customHeight="1">
      <c r="B23" s="673"/>
      <c r="C23" s="194" t="s">
        <v>109</v>
      </c>
      <c r="D23" s="195">
        <v>55120</v>
      </c>
      <c r="E23" s="195">
        <v>55120</v>
      </c>
      <c r="F23" s="196">
        <f t="shared" si="1"/>
        <v>0</v>
      </c>
      <c r="G23" s="676" t="s">
        <v>156</v>
      </c>
      <c r="H23" s="425" t="s">
        <v>296</v>
      </c>
      <c r="I23" s="426">
        <f>I24</f>
        <v>240</v>
      </c>
      <c r="J23" s="426">
        <f>J24</f>
        <v>240</v>
      </c>
      <c r="K23" s="429">
        <f>K24</f>
        <v>0</v>
      </c>
    </row>
    <row r="24" spans="2:11" ht="24.95" customHeight="1">
      <c r="B24" s="522"/>
      <c r="C24" s="523"/>
      <c r="D24" s="523"/>
      <c r="E24" s="523"/>
      <c r="F24" s="523"/>
      <c r="G24" s="677"/>
      <c r="H24" s="194" t="s">
        <v>114</v>
      </c>
      <c r="I24" s="195">
        <v>240</v>
      </c>
      <c r="J24" s="195">
        <v>240</v>
      </c>
      <c r="K24" s="197">
        <f t="shared" ref="K24" si="6">J24-I24</f>
        <v>0</v>
      </c>
    </row>
    <row r="25" spans="2:11" ht="24.95" customHeight="1">
      <c r="B25" s="524"/>
      <c r="C25" s="525"/>
      <c r="D25" s="525"/>
      <c r="E25" s="525"/>
      <c r="F25" s="525"/>
      <c r="G25" s="672" t="s">
        <v>115</v>
      </c>
      <c r="H25" s="425" t="s">
        <v>296</v>
      </c>
      <c r="I25" s="426">
        <v>0</v>
      </c>
      <c r="J25" s="426">
        <f>J26</f>
        <v>0</v>
      </c>
      <c r="K25" s="429">
        <f>K26</f>
        <v>0</v>
      </c>
    </row>
    <row r="26" spans="2:11" ht="24.95" customHeight="1">
      <c r="B26" s="524"/>
      <c r="C26" s="525"/>
      <c r="D26" s="525"/>
      <c r="E26" s="525"/>
      <c r="F26" s="525"/>
      <c r="G26" s="673"/>
      <c r="H26" s="194" t="s">
        <v>116</v>
      </c>
      <c r="I26" s="195">
        <v>0</v>
      </c>
      <c r="J26" s="195">
        <v>0</v>
      </c>
      <c r="K26" s="197">
        <f t="shared" ref="K26" si="7">J26-I26</f>
        <v>0</v>
      </c>
    </row>
    <row r="27" spans="2:11" ht="24.95" customHeight="1">
      <c r="B27" s="524"/>
      <c r="C27" s="525"/>
      <c r="D27" s="525"/>
      <c r="E27" s="525"/>
      <c r="F27" s="525"/>
      <c r="G27" s="672" t="s">
        <v>117</v>
      </c>
      <c r="H27" s="425" t="s">
        <v>296</v>
      </c>
      <c r="I27" s="426">
        <f>I28</f>
        <v>80</v>
      </c>
      <c r="J27" s="426">
        <f>J28</f>
        <v>0</v>
      </c>
      <c r="K27" s="429">
        <f>K28</f>
        <v>-80</v>
      </c>
    </row>
    <row r="28" spans="2:11" ht="24.95" customHeight="1" thickBot="1">
      <c r="B28" s="526"/>
      <c r="C28" s="527"/>
      <c r="D28" s="527"/>
      <c r="E28" s="527"/>
      <c r="F28" s="527"/>
      <c r="G28" s="675"/>
      <c r="H28" s="198" t="s">
        <v>118</v>
      </c>
      <c r="I28" s="199">
        <v>80</v>
      </c>
      <c r="J28" s="199">
        <v>0</v>
      </c>
      <c r="K28" s="200">
        <f>J28-I28</f>
        <v>-80</v>
      </c>
    </row>
    <row r="29" spans="2:11" ht="24.95" customHeight="1"/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18:B19"/>
    <mergeCell ref="B20:B21"/>
    <mergeCell ref="B22:B23"/>
    <mergeCell ref="G8:G11"/>
    <mergeCell ref="G27:G28"/>
    <mergeCell ref="G16:G22"/>
    <mergeCell ref="G23:G24"/>
    <mergeCell ref="G25:G26"/>
    <mergeCell ref="G12:G15"/>
    <mergeCell ref="B7:C7"/>
    <mergeCell ref="G7:H7"/>
    <mergeCell ref="B8:B9"/>
    <mergeCell ref="B10:B14"/>
    <mergeCell ref="B15:B17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300"/>
  <sheetViews>
    <sheetView zoomScale="85" zoomScaleNormal="85" workbookViewId="0">
      <pane xSplit="4" ySplit="4" topLeftCell="E275" activePane="bottomRight" state="frozen"/>
      <selection pane="topRight" activeCell="E1" sqref="E1"/>
      <selection pane="bottomLeft" activeCell="A5" sqref="A5"/>
      <selection pane="bottomRight" activeCell="F236" sqref="F236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2.1093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.6640625" style="12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700" t="s">
        <v>787</v>
      </c>
      <c r="B1" s="700"/>
      <c r="C1" s="700"/>
      <c r="D1" s="700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701" t="s">
        <v>533</v>
      </c>
      <c r="B2" s="702"/>
      <c r="C2" s="702"/>
      <c r="D2" s="702"/>
      <c r="E2" s="698" t="s">
        <v>788</v>
      </c>
      <c r="F2" s="698" t="s">
        <v>827</v>
      </c>
      <c r="G2" s="706" t="s">
        <v>23</v>
      </c>
      <c r="H2" s="706"/>
      <c r="I2" s="706" t="s">
        <v>532</v>
      </c>
      <c r="J2" s="706"/>
      <c r="K2" s="706"/>
      <c r="L2" s="706"/>
      <c r="M2" s="706"/>
      <c r="N2" s="706"/>
      <c r="O2" s="706"/>
      <c r="P2" s="706"/>
      <c r="Q2" s="706"/>
      <c r="R2" s="706"/>
      <c r="S2" s="706"/>
      <c r="T2" s="706"/>
      <c r="U2" s="706"/>
      <c r="V2" s="706"/>
      <c r="W2" s="706"/>
      <c r="X2" s="706"/>
      <c r="Y2" s="707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531</v>
      </c>
      <c r="D3" s="26" t="s">
        <v>530</v>
      </c>
      <c r="E3" s="699"/>
      <c r="F3" s="699"/>
      <c r="G3" s="143" t="s">
        <v>529</v>
      </c>
      <c r="H3" s="27" t="s">
        <v>4</v>
      </c>
      <c r="I3" s="708"/>
      <c r="J3" s="708"/>
      <c r="K3" s="708"/>
      <c r="L3" s="708"/>
      <c r="M3" s="708"/>
      <c r="N3" s="708"/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9"/>
      <c r="Z3" s="8"/>
    </row>
    <row r="4" spans="1:26" s="3" customFormat="1" ht="19.5" customHeight="1">
      <c r="A4" s="703" t="s">
        <v>24</v>
      </c>
      <c r="B4" s="704"/>
      <c r="C4" s="704"/>
      <c r="D4" s="705"/>
      <c r="E4" s="222">
        <f>SUM(E5,E8,E10,E12,E171,E191,E198,E236,E261)</f>
        <v>2326047</v>
      </c>
      <c r="F4" s="222">
        <f>SUM(F5,F8,F10,F12,F171,F191,F198,F236,F261)</f>
        <v>2403302</v>
      </c>
      <c r="G4" s="290">
        <f>SUM(G5,G8,G10,G12,G171,G191,G198,G236,G261)</f>
        <v>77255</v>
      </c>
      <c r="H4" s="223">
        <f>IF(E4=0,0,G4/E4)</f>
        <v>3.3213000425184873E-2</v>
      </c>
      <c r="I4" s="28" t="s">
        <v>528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75">
        <f>SUM(X5,X8,X10,X12,X171,X191,X198,X236,X261)</f>
        <v>2403302000</v>
      </c>
      <c r="Y4" s="30" t="s">
        <v>387</v>
      </c>
      <c r="Z4" s="8"/>
    </row>
    <row r="5" spans="1:26" ht="21" customHeight="1" thickBot="1">
      <c r="A5" s="35" t="s">
        <v>527</v>
      </c>
      <c r="B5" s="36" t="s">
        <v>527</v>
      </c>
      <c r="C5" s="202" t="s">
        <v>526</v>
      </c>
      <c r="D5" s="202" t="s">
        <v>525</v>
      </c>
      <c r="E5" s="216">
        <v>117600</v>
      </c>
      <c r="F5" s="216">
        <f>ROUND(X5/1000,0)</f>
        <v>117600</v>
      </c>
      <c r="G5" s="217">
        <f>F5-E5</f>
        <v>0</v>
      </c>
      <c r="H5" s="218">
        <f>IF(E5=0,0,G5/E5)</f>
        <v>0</v>
      </c>
      <c r="I5" s="40" t="s">
        <v>524</v>
      </c>
      <c r="J5" s="137"/>
      <c r="K5" s="41"/>
      <c r="L5" s="41"/>
      <c r="M5" s="41"/>
      <c r="N5" s="41"/>
      <c r="O5" s="41"/>
      <c r="P5" s="42"/>
      <c r="Q5" s="42" t="s">
        <v>520</v>
      </c>
      <c r="R5" s="42"/>
      <c r="S5" s="42"/>
      <c r="T5" s="42"/>
      <c r="U5" s="42"/>
      <c r="V5" s="42"/>
      <c r="W5" s="43"/>
      <c r="X5" s="43">
        <f>SUM(X6:X7)</f>
        <v>117600000</v>
      </c>
      <c r="Y5" s="44" t="s">
        <v>25</v>
      </c>
    </row>
    <row r="6" spans="1:26" ht="21" customHeight="1">
      <c r="A6" s="45" t="s">
        <v>523</v>
      </c>
      <c r="B6" s="46" t="s">
        <v>120</v>
      </c>
      <c r="C6" s="47" t="s">
        <v>120</v>
      </c>
      <c r="D6" s="47" t="s">
        <v>120</v>
      </c>
      <c r="E6" s="571"/>
      <c r="F6" s="571"/>
      <c r="G6" s="572"/>
      <c r="H6" s="573"/>
      <c r="I6" s="604" t="s">
        <v>685</v>
      </c>
      <c r="J6" s="594"/>
      <c r="K6" s="297"/>
      <c r="L6" s="297"/>
      <c r="M6" s="598">
        <v>350000</v>
      </c>
      <c r="N6" s="598" t="s">
        <v>677</v>
      </c>
      <c r="O6" s="599" t="s">
        <v>678</v>
      </c>
      <c r="P6" s="598">
        <v>28</v>
      </c>
      <c r="Q6" s="598" t="s">
        <v>679</v>
      </c>
      <c r="R6" s="599" t="s">
        <v>678</v>
      </c>
      <c r="S6" s="298">
        <v>12</v>
      </c>
      <c r="T6" s="568" t="s">
        <v>686</v>
      </c>
      <c r="U6" s="568" t="s">
        <v>681</v>
      </c>
      <c r="V6" s="568"/>
      <c r="W6" s="598"/>
      <c r="X6" s="598">
        <f>M6*P6*S6</f>
        <v>117600000</v>
      </c>
      <c r="Y6" s="131" t="s">
        <v>677</v>
      </c>
    </row>
    <row r="7" spans="1:26" ht="21" customHeight="1">
      <c r="A7" s="45"/>
      <c r="B7" s="46"/>
      <c r="C7" s="47"/>
      <c r="D7" s="47"/>
      <c r="E7" s="48"/>
      <c r="F7" s="48"/>
      <c r="G7" s="49"/>
      <c r="H7" s="31"/>
      <c r="I7" s="604"/>
      <c r="J7" s="594"/>
      <c r="K7" s="297"/>
      <c r="L7" s="297"/>
      <c r="M7" s="598"/>
      <c r="N7" s="598" t="s">
        <v>677</v>
      </c>
      <c r="O7" s="599" t="s">
        <v>678</v>
      </c>
      <c r="P7" s="598"/>
      <c r="Q7" s="598" t="s">
        <v>679</v>
      </c>
      <c r="R7" s="599" t="s">
        <v>678</v>
      </c>
      <c r="S7" s="298"/>
      <c r="T7" s="568" t="s">
        <v>686</v>
      </c>
      <c r="U7" s="568" t="s">
        <v>681</v>
      </c>
      <c r="V7" s="568"/>
      <c r="W7" s="598"/>
      <c r="X7" s="598">
        <f>M7*P7*S7</f>
        <v>0</v>
      </c>
      <c r="Y7" s="131" t="s">
        <v>677</v>
      </c>
    </row>
    <row r="8" spans="1:26" s="11" customFormat="1" ht="19.5" customHeight="1" thickBot="1">
      <c r="A8" s="35" t="s">
        <v>522</v>
      </c>
      <c r="B8" s="36" t="s">
        <v>522</v>
      </c>
      <c r="C8" s="36" t="s">
        <v>522</v>
      </c>
      <c r="D8" s="36" t="s">
        <v>522</v>
      </c>
      <c r="E8" s="216">
        <v>0</v>
      </c>
      <c r="F8" s="216">
        <f>ROUND(X8/1000,0)</f>
        <v>0</v>
      </c>
      <c r="G8" s="217">
        <f>F8-E8</f>
        <v>0</v>
      </c>
      <c r="H8" s="218">
        <f>IF(E8=0,0,G8/E8)</f>
        <v>0</v>
      </c>
      <c r="I8" s="40" t="s">
        <v>521</v>
      </c>
      <c r="J8" s="137"/>
      <c r="K8" s="41"/>
      <c r="L8" s="41"/>
      <c r="M8" s="41"/>
      <c r="N8" s="41"/>
      <c r="O8" s="41"/>
      <c r="P8" s="42"/>
      <c r="Q8" s="42" t="s">
        <v>520</v>
      </c>
      <c r="R8" s="42"/>
      <c r="S8" s="42"/>
      <c r="T8" s="42"/>
      <c r="U8" s="42"/>
      <c r="V8" s="42"/>
      <c r="W8" s="43"/>
      <c r="X8" s="43">
        <f>X9</f>
        <v>0</v>
      </c>
      <c r="Y8" s="44" t="s">
        <v>25</v>
      </c>
      <c r="Z8" s="6"/>
    </row>
    <row r="9" spans="1:26" ht="21" customHeight="1">
      <c r="A9" s="58" t="s">
        <v>513</v>
      </c>
      <c r="B9" s="59" t="s">
        <v>513</v>
      </c>
      <c r="C9" s="59" t="s">
        <v>513</v>
      </c>
      <c r="D9" s="59" t="s">
        <v>513</v>
      </c>
      <c r="E9" s="48"/>
      <c r="F9" s="48"/>
      <c r="G9" s="49"/>
      <c r="H9" s="31"/>
      <c r="I9" s="53" t="s">
        <v>519</v>
      </c>
      <c r="J9" s="54"/>
      <c r="K9" s="55"/>
      <c r="L9" s="55"/>
      <c r="M9" s="295"/>
      <c r="N9" s="295"/>
      <c r="O9" s="296"/>
      <c r="P9" s="295"/>
      <c r="Q9" s="295"/>
      <c r="R9" s="296"/>
      <c r="S9" s="56"/>
      <c r="T9" s="459"/>
      <c r="U9" s="459"/>
      <c r="V9" s="459"/>
      <c r="W9" s="295"/>
      <c r="X9" s="295">
        <v>0</v>
      </c>
      <c r="Y9" s="57" t="s">
        <v>364</v>
      </c>
    </row>
    <row r="10" spans="1:26" ht="21" customHeight="1" thickBot="1">
      <c r="A10" s="35" t="s">
        <v>518</v>
      </c>
      <c r="B10" s="36" t="s">
        <v>518</v>
      </c>
      <c r="C10" s="36" t="s">
        <v>518</v>
      </c>
      <c r="D10" s="36" t="s">
        <v>518</v>
      </c>
      <c r="E10" s="216">
        <v>0</v>
      </c>
      <c r="F10" s="216">
        <f>ROUND(X10/1000,0)</f>
        <v>0</v>
      </c>
      <c r="G10" s="217">
        <f>F10-E10</f>
        <v>0</v>
      </c>
      <c r="H10" s="218">
        <f>IF(E10=0,0,G10/E10)</f>
        <v>0</v>
      </c>
      <c r="I10" s="40" t="s">
        <v>517</v>
      </c>
      <c r="J10" s="137"/>
      <c r="K10" s="41"/>
      <c r="L10" s="41"/>
      <c r="M10" s="41"/>
      <c r="N10" s="41"/>
      <c r="O10" s="41"/>
      <c r="P10" s="42"/>
      <c r="Q10" s="42" t="s">
        <v>516</v>
      </c>
      <c r="R10" s="42"/>
      <c r="S10" s="42"/>
      <c r="T10" s="42"/>
      <c r="U10" s="42"/>
      <c r="V10" s="42"/>
      <c r="W10" s="43"/>
      <c r="X10" s="43">
        <f>X11</f>
        <v>0</v>
      </c>
      <c r="Y10" s="44" t="s">
        <v>25</v>
      </c>
    </row>
    <row r="11" spans="1:26" ht="21" customHeight="1">
      <c r="A11" s="58" t="s">
        <v>513</v>
      </c>
      <c r="B11" s="59" t="s">
        <v>513</v>
      </c>
      <c r="C11" s="59" t="s">
        <v>513</v>
      </c>
      <c r="D11" s="517" t="s">
        <v>513</v>
      </c>
      <c r="E11" s="225"/>
      <c r="F11" s="226">
        <v>0</v>
      </c>
      <c r="G11" s="227"/>
      <c r="H11" s="228"/>
      <c r="I11" s="229"/>
      <c r="J11" s="230"/>
      <c r="K11" s="231"/>
      <c r="L11" s="231"/>
      <c r="M11" s="231"/>
      <c r="N11" s="231"/>
      <c r="O11" s="231"/>
      <c r="P11" s="232"/>
      <c r="Q11" s="232"/>
      <c r="R11" s="232"/>
      <c r="S11" s="232"/>
      <c r="T11" s="232"/>
      <c r="U11" s="232"/>
      <c r="V11" s="232"/>
      <c r="W11" s="233"/>
      <c r="X11" s="233">
        <v>0</v>
      </c>
      <c r="Y11" s="265" t="s">
        <v>364</v>
      </c>
    </row>
    <row r="12" spans="1:26" s="11" customFormat="1" ht="19.5" customHeight="1">
      <c r="A12" s="35" t="s">
        <v>494</v>
      </c>
      <c r="B12" s="36" t="s">
        <v>494</v>
      </c>
      <c r="C12" s="696" t="s">
        <v>376</v>
      </c>
      <c r="D12" s="697"/>
      <c r="E12" s="248">
        <f>SUM(E13,E42,E106,E168)</f>
        <v>1912543</v>
      </c>
      <c r="F12" s="248">
        <f>SUM(F13,F42,F106,F168)</f>
        <v>1969266</v>
      </c>
      <c r="G12" s="249">
        <f>F12-E12</f>
        <v>56723</v>
      </c>
      <c r="H12" s="250">
        <f>IF(E12=0,0,G12/E12)</f>
        <v>2.9658418137526843E-2</v>
      </c>
      <c r="I12" s="251" t="s">
        <v>515</v>
      </c>
      <c r="J12" s="252"/>
      <c r="K12" s="253"/>
      <c r="L12" s="253"/>
      <c r="M12" s="252"/>
      <c r="N12" s="252"/>
      <c r="O12" s="252"/>
      <c r="P12" s="252"/>
      <c r="Q12" s="252"/>
      <c r="R12" s="254"/>
      <c r="S12" s="254"/>
      <c r="T12" s="254"/>
      <c r="U12" s="254"/>
      <c r="V12" s="254"/>
      <c r="W12" s="254"/>
      <c r="X12" s="255">
        <f>SUM(X13,X42,X106,X168)</f>
        <v>1969266000</v>
      </c>
      <c r="Y12" s="266" t="s">
        <v>25</v>
      </c>
      <c r="Z12" s="6"/>
    </row>
    <row r="13" spans="1:26" s="11" customFormat="1" ht="19.5" customHeight="1">
      <c r="A13" s="45" t="s">
        <v>514</v>
      </c>
      <c r="B13" s="46" t="s">
        <v>513</v>
      </c>
      <c r="C13" s="36" t="s">
        <v>512</v>
      </c>
      <c r="D13" s="461" t="s">
        <v>372</v>
      </c>
      <c r="E13" s="219">
        <f>SUM(E14:E34)</f>
        <v>1233350</v>
      </c>
      <c r="F13" s="219">
        <f>SUM(F14:F34)</f>
        <v>1265010</v>
      </c>
      <c r="G13" s="220">
        <f>F13-E13</f>
        <v>31660</v>
      </c>
      <c r="H13" s="221">
        <f>IF(E13=0,0,G13/E13)</f>
        <v>2.5669923379413793E-2</v>
      </c>
      <c r="I13" s="204" t="s">
        <v>511</v>
      </c>
      <c r="J13" s="205"/>
      <c r="K13" s="206"/>
      <c r="L13" s="206"/>
      <c r="M13" s="206"/>
      <c r="N13" s="206"/>
      <c r="O13" s="206"/>
      <c r="P13" s="207"/>
      <c r="Q13" s="207"/>
      <c r="R13" s="207"/>
      <c r="S13" s="207"/>
      <c r="T13" s="207"/>
      <c r="U13" s="207"/>
      <c r="V13" s="234" t="s">
        <v>365</v>
      </c>
      <c r="W13" s="235"/>
      <c r="X13" s="236">
        <f>SUM(X14,X19,X34)</f>
        <v>1265010000</v>
      </c>
      <c r="Y13" s="267" t="s">
        <v>364</v>
      </c>
      <c r="Z13" s="6"/>
    </row>
    <row r="14" spans="1:26" s="11" customFormat="1" ht="19.5" customHeight="1">
      <c r="A14" s="45"/>
      <c r="B14" s="46"/>
      <c r="C14" s="46" t="s">
        <v>494</v>
      </c>
      <c r="D14" s="46" t="s">
        <v>493</v>
      </c>
      <c r="E14" s="516">
        <v>64773</v>
      </c>
      <c r="F14" s="516">
        <f>ROUND(X14/1000,0)</f>
        <v>67863</v>
      </c>
      <c r="G14" s="271">
        <f>F14-E14</f>
        <v>3090</v>
      </c>
      <c r="H14" s="272">
        <f>IF(E14=0,0,G14/E14)</f>
        <v>4.7705062294474548E-2</v>
      </c>
      <c r="I14" s="138" t="s">
        <v>492</v>
      </c>
      <c r="J14" s="296"/>
      <c r="K14" s="295"/>
      <c r="L14" s="295"/>
      <c r="M14" s="295"/>
      <c r="N14" s="459"/>
      <c r="O14" s="208"/>
      <c r="P14" s="295"/>
      <c r="Q14" s="54"/>
      <c r="R14" s="209"/>
      <c r="S14" s="211"/>
      <c r="T14" s="211"/>
      <c r="U14" s="459"/>
      <c r="V14" s="494" t="s">
        <v>461</v>
      </c>
      <c r="W14" s="140"/>
      <c r="X14" s="140">
        <f>SUM(X15:X17)</f>
        <v>67863000</v>
      </c>
      <c r="Y14" s="141" t="s">
        <v>364</v>
      </c>
      <c r="Z14" s="6"/>
    </row>
    <row r="15" spans="1:26" s="11" customFormat="1" ht="19.5" customHeight="1">
      <c r="A15" s="60"/>
      <c r="B15" s="46"/>
      <c r="C15" s="46"/>
      <c r="D15" s="46"/>
      <c r="E15" s="48"/>
      <c r="F15" s="515"/>
      <c r="G15" s="49"/>
      <c r="H15" s="68"/>
      <c r="I15" s="285" t="s">
        <v>491</v>
      </c>
      <c r="J15" s="296"/>
      <c r="K15" s="295"/>
      <c r="L15" s="295"/>
      <c r="M15" s="295">
        <v>252812</v>
      </c>
      <c r="N15" s="459" t="s">
        <v>25</v>
      </c>
      <c r="O15" s="208" t="s">
        <v>26</v>
      </c>
      <c r="P15" s="460">
        <v>24</v>
      </c>
      <c r="Q15" s="54" t="s">
        <v>139</v>
      </c>
      <c r="R15" s="209" t="s">
        <v>26</v>
      </c>
      <c r="S15" s="211">
        <v>12</v>
      </c>
      <c r="T15" s="211" t="s">
        <v>29</v>
      </c>
      <c r="U15" s="459" t="s">
        <v>26</v>
      </c>
      <c r="V15" s="493">
        <v>0.9</v>
      </c>
      <c r="W15" s="66" t="s">
        <v>27</v>
      </c>
      <c r="X15" s="66">
        <f>ROUND(M15*P15*S15*V15,-3)</f>
        <v>65529000</v>
      </c>
      <c r="Y15" s="57" t="s">
        <v>364</v>
      </c>
      <c r="Z15" s="6"/>
    </row>
    <row r="16" spans="1:26" s="11" customFormat="1" ht="19.5" customHeight="1">
      <c r="A16" s="60"/>
      <c r="B16" s="46"/>
      <c r="C16" s="46"/>
      <c r="D16" s="46"/>
      <c r="E16" s="48"/>
      <c r="F16" s="515"/>
      <c r="G16" s="49"/>
      <c r="H16" s="68"/>
      <c r="I16" s="285" t="s">
        <v>490</v>
      </c>
      <c r="J16" s="296"/>
      <c r="K16" s="295"/>
      <c r="L16" s="295"/>
      <c r="M16" s="295">
        <v>35394</v>
      </c>
      <c r="N16" s="459" t="s">
        <v>25</v>
      </c>
      <c r="O16" s="208" t="s">
        <v>26</v>
      </c>
      <c r="P16" s="460">
        <v>24</v>
      </c>
      <c r="Q16" s="54" t="s">
        <v>139</v>
      </c>
      <c r="R16" s="478" t="s">
        <v>26</v>
      </c>
      <c r="S16" s="211">
        <v>1</v>
      </c>
      <c r="T16" s="211" t="s">
        <v>488</v>
      </c>
      <c r="U16" s="459" t="s">
        <v>26</v>
      </c>
      <c r="V16" s="493">
        <v>0.9</v>
      </c>
      <c r="W16" s="66" t="s">
        <v>27</v>
      </c>
      <c r="X16" s="66">
        <f>ROUNDUP(M16*P16*S16*V16,-3)</f>
        <v>765000</v>
      </c>
      <c r="Y16" s="57" t="s">
        <v>364</v>
      </c>
      <c r="Z16" s="6"/>
    </row>
    <row r="17" spans="1:26" s="11" customFormat="1" ht="19.5" customHeight="1">
      <c r="A17" s="60"/>
      <c r="B17" s="46"/>
      <c r="C17" s="46"/>
      <c r="D17" s="46"/>
      <c r="E17" s="48"/>
      <c r="F17" s="48"/>
      <c r="G17" s="49"/>
      <c r="H17" s="68"/>
      <c r="I17" s="285" t="s">
        <v>489</v>
      </c>
      <c r="J17" s="66"/>
      <c r="K17" s="210"/>
      <c r="L17" s="210"/>
      <c r="M17" s="295">
        <v>36300</v>
      </c>
      <c r="N17" s="295" t="s">
        <v>25</v>
      </c>
      <c r="O17" s="208" t="s">
        <v>26</v>
      </c>
      <c r="P17" s="460">
        <v>24</v>
      </c>
      <c r="Q17" s="54" t="s">
        <v>139</v>
      </c>
      <c r="R17" s="478" t="s">
        <v>26</v>
      </c>
      <c r="S17" s="56">
        <v>2</v>
      </c>
      <c r="T17" s="459" t="s">
        <v>488</v>
      </c>
      <c r="U17" s="459" t="s">
        <v>26</v>
      </c>
      <c r="V17" s="493">
        <v>0.9</v>
      </c>
      <c r="W17" s="296" t="s">
        <v>27</v>
      </c>
      <c r="X17" s="66">
        <f>ROUNDUP(M17*P17*S17*V17,-3)</f>
        <v>1569000</v>
      </c>
      <c r="Y17" s="57" t="s">
        <v>364</v>
      </c>
      <c r="Z17" s="6"/>
    </row>
    <row r="18" spans="1:26" s="11" customFormat="1" ht="19.5" customHeight="1">
      <c r="A18" s="60"/>
      <c r="B18" s="46"/>
      <c r="C18" s="46"/>
      <c r="D18" s="46"/>
      <c r="E18" s="48"/>
      <c r="F18" s="48"/>
      <c r="G18" s="49"/>
      <c r="H18" s="68"/>
      <c r="I18" s="285"/>
      <c r="J18" s="66"/>
      <c r="K18" s="210"/>
      <c r="L18" s="210"/>
      <c r="M18" s="295"/>
      <c r="N18" s="295"/>
      <c r="O18" s="208"/>
      <c r="P18" s="460"/>
      <c r="Q18" s="54"/>
      <c r="R18" s="478"/>
      <c r="S18" s="56"/>
      <c r="T18" s="459"/>
      <c r="U18" s="459"/>
      <c r="V18" s="493"/>
      <c r="W18" s="296"/>
      <c r="X18" s="66"/>
      <c r="Y18" s="57"/>
      <c r="Z18" s="6"/>
    </row>
    <row r="19" spans="1:26" s="11" customFormat="1" ht="19.5" customHeight="1" thickBot="1">
      <c r="A19" s="60"/>
      <c r="B19" s="46"/>
      <c r="C19" s="46"/>
      <c r="D19" s="36" t="s">
        <v>487</v>
      </c>
      <c r="E19" s="37">
        <v>1112248</v>
      </c>
      <c r="F19" s="237">
        <f>ROUND(X19/1000,0)</f>
        <v>1139824</v>
      </c>
      <c r="G19" s="38">
        <f>F19-E19</f>
        <v>27576</v>
      </c>
      <c r="H19" s="115">
        <f>IF(E19=0,0,G19/E19)</f>
        <v>2.4793031769893045E-2</v>
      </c>
      <c r="I19" s="243" t="s">
        <v>582</v>
      </c>
      <c r="J19" s="242"/>
      <c r="K19" s="247"/>
      <c r="L19" s="247"/>
      <c r="M19" s="86"/>
      <c r="N19" s="86"/>
      <c r="O19" s="238"/>
      <c r="P19" s="86"/>
      <c r="Q19" s="239"/>
      <c r="R19" s="240"/>
      <c r="S19" s="241"/>
      <c r="T19" s="246"/>
      <c r="U19" s="246"/>
      <c r="V19" s="244" t="s">
        <v>461</v>
      </c>
      <c r="W19" s="245"/>
      <c r="X19" s="245">
        <f>SUM(X20,X21,X25,X27)</f>
        <v>1139824000</v>
      </c>
      <c r="Y19" s="268" t="s">
        <v>364</v>
      </c>
      <c r="Z19" s="6"/>
    </row>
    <row r="20" spans="1:26" s="11" customFormat="1" ht="19.5" customHeight="1">
      <c r="A20" s="60"/>
      <c r="B20" s="46"/>
      <c r="C20" s="46"/>
      <c r="D20" s="46"/>
      <c r="E20" s="48"/>
      <c r="F20" s="48"/>
      <c r="G20" s="49"/>
      <c r="H20" s="68"/>
      <c r="I20" s="286" t="s">
        <v>486</v>
      </c>
      <c r="J20" s="296"/>
      <c r="K20" s="295"/>
      <c r="L20" s="295"/>
      <c r="M20" s="295">
        <v>1025040000</v>
      </c>
      <c r="N20" s="295" t="s">
        <v>364</v>
      </c>
      <c r="O20" s="72" t="s">
        <v>378</v>
      </c>
      <c r="P20" s="492">
        <v>0.7</v>
      </c>
      <c r="Q20" s="295"/>
      <c r="R20" s="295"/>
      <c r="S20" s="295"/>
      <c r="T20" s="295"/>
      <c r="U20" s="295" t="s">
        <v>377</v>
      </c>
      <c r="V20" s="224" t="s">
        <v>365</v>
      </c>
      <c r="W20" s="70"/>
      <c r="X20" s="224">
        <f>ROUNDUP(M20*P20,-3)</f>
        <v>717528000</v>
      </c>
      <c r="Y20" s="71" t="s">
        <v>25</v>
      </c>
      <c r="Z20" s="6"/>
    </row>
    <row r="21" spans="1:26" s="11" customFormat="1" ht="19.5" customHeight="1">
      <c r="A21" s="60"/>
      <c r="B21" s="46"/>
      <c r="C21" s="46"/>
      <c r="D21" s="46"/>
      <c r="E21" s="48"/>
      <c r="F21" s="48"/>
      <c r="G21" s="49"/>
      <c r="H21" s="68"/>
      <c r="I21" s="287" t="s">
        <v>485</v>
      </c>
      <c r="J21" s="296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139" t="s">
        <v>365</v>
      </c>
      <c r="W21" s="140"/>
      <c r="X21" s="139">
        <f>SUM(X22:X24)</f>
        <v>248988000</v>
      </c>
      <c r="Y21" s="141" t="s">
        <v>25</v>
      </c>
      <c r="Z21" s="6"/>
    </row>
    <row r="22" spans="1:26" s="11" customFormat="1" ht="19.5" customHeight="1">
      <c r="A22" s="60"/>
      <c r="B22" s="46"/>
      <c r="C22" s="46"/>
      <c r="D22" s="46"/>
      <c r="E22" s="48"/>
      <c r="F22" s="48"/>
      <c r="G22" s="49"/>
      <c r="H22" s="68"/>
      <c r="I22" s="285" t="s">
        <v>452</v>
      </c>
      <c r="J22" s="296"/>
      <c r="K22" s="295"/>
      <c r="L22" s="295"/>
      <c r="M22" s="295">
        <v>105713000</v>
      </c>
      <c r="N22" s="295" t="s">
        <v>364</v>
      </c>
      <c r="O22" s="72" t="s">
        <v>378</v>
      </c>
      <c r="P22" s="492">
        <v>0.7</v>
      </c>
      <c r="Q22" s="295"/>
      <c r="R22" s="295"/>
      <c r="S22" s="295"/>
      <c r="T22" s="295"/>
      <c r="U22" s="295" t="s">
        <v>377</v>
      </c>
      <c r="V22" s="695"/>
      <c r="W22" s="695"/>
      <c r="X22" s="242">
        <f>ROUNDDOWN(M22*P22,-3)</f>
        <v>73999000</v>
      </c>
      <c r="Y22" s="487" t="s">
        <v>364</v>
      </c>
      <c r="Z22" s="6"/>
    </row>
    <row r="23" spans="1:26" s="11" customFormat="1" ht="19.5" customHeight="1">
      <c r="A23" s="60"/>
      <c r="B23" s="46"/>
      <c r="C23" s="46"/>
      <c r="D23" s="46"/>
      <c r="E23" s="48"/>
      <c r="F23" s="48"/>
      <c r="G23" s="49"/>
      <c r="H23" s="68"/>
      <c r="I23" s="285" t="s">
        <v>451</v>
      </c>
      <c r="J23" s="296"/>
      <c r="K23" s="295"/>
      <c r="L23" s="295"/>
      <c r="M23" s="295">
        <v>14400000</v>
      </c>
      <c r="N23" s="295" t="s">
        <v>364</v>
      </c>
      <c r="O23" s="72" t="s">
        <v>378</v>
      </c>
      <c r="P23" s="492">
        <v>0.7</v>
      </c>
      <c r="Q23" s="295"/>
      <c r="R23" s="295"/>
      <c r="S23" s="295"/>
      <c r="T23" s="295"/>
      <c r="U23" s="295" t="s">
        <v>377</v>
      </c>
      <c r="V23" s="694"/>
      <c r="W23" s="694"/>
      <c r="X23" s="66">
        <f>ROUND(M23*P23,-3)</f>
        <v>10080000</v>
      </c>
      <c r="Y23" s="57" t="s">
        <v>364</v>
      </c>
      <c r="Z23" s="6"/>
    </row>
    <row r="24" spans="1:26" s="11" customFormat="1" ht="19.5" customHeight="1">
      <c r="A24" s="60"/>
      <c r="B24" s="46"/>
      <c r="C24" s="46"/>
      <c r="D24" s="46"/>
      <c r="E24" s="48"/>
      <c r="F24" s="48"/>
      <c r="G24" s="49"/>
      <c r="H24" s="68"/>
      <c r="I24" s="285" t="s">
        <v>450</v>
      </c>
      <c r="J24" s="296"/>
      <c r="K24" s="295"/>
      <c r="L24" s="295"/>
      <c r="M24" s="295">
        <v>235584000</v>
      </c>
      <c r="N24" s="295" t="s">
        <v>364</v>
      </c>
      <c r="O24" s="72" t="s">
        <v>378</v>
      </c>
      <c r="P24" s="492">
        <v>0.7</v>
      </c>
      <c r="Q24" s="295"/>
      <c r="R24" s="295"/>
      <c r="S24" s="295"/>
      <c r="T24" s="295"/>
      <c r="U24" s="295" t="s">
        <v>377</v>
      </c>
      <c r="V24" s="694"/>
      <c r="W24" s="694"/>
      <c r="X24" s="66">
        <f>ROUNDUP(M24*P24,-3)</f>
        <v>164909000</v>
      </c>
      <c r="Y24" s="57" t="s">
        <v>364</v>
      </c>
      <c r="Z24" s="6"/>
    </row>
    <row r="25" spans="1:26" s="11" customFormat="1" ht="19.5" customHeight="1">
      <c r="A25" s="60"/>
      <c r="B25" s="46"/>
      <c r="C25" s="46"/>
      <c r="D25" s="46"/>
      <c r="E25" s="48"/>
      <c r="F25" s="48"/>
      <c r="G25" s="49"/>
      <c r="H25" s="68"/>
      <c r="I25" s="286" t="s">
        <v>484</v>
      </c>
      <c r="J25" s="296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24" t="s">
        <v>365</v>
      </c>
      <c r="W25" s="70"/>
      <c r="X25" s="224">
        <f>X26</f>
        <v>80543000</v>
      </c>
      <c r="Y25" s="71" t="s">
        <v>25</v>
      </c>
      <c r="Z25" s="6"/>
    </row>
    <row r="26" spans="1:26" s="11" customFormat="1" ht="19.5" customHeight="1">
      <c r="A26" s="60"/>
      <c r="B26" s="46"/>
      <c r="C26" s="46"/>
      <c r="D26" s="46"/>
      <c r="E26" s="48"/>
      <c r="F26" s="48"/>
      <c r="G26" s="49"/>
      <c r="H26" s="68"/>
      <c r="I26" s="285" t="s">
        <v>583</v>
      </c>
      <c r="J26" s="296"/>
      <c r="K26" s="295"/>
      <c r="L26" s="295"/>
      <c r="M26" s="295">
        <f>SUM(M20:M24)</f>
        <v>1380737000</v>
      </c>
      <c r="N26" s="54" t="s">
        <v>364</v>
      </c>
      <c r="O26" s="459" t="s">
        <v>385</v>
      </c>
      <c r="P26" s="486">
        <v>12</v>
      </c>
      <c r="Q26" s="208" t="s">
        <v>384</v>
      </c>
      <c r="R26" s="72" t="s">
        <v>378</v>
      </c>
      <c r="S26" s="492">
        <v>0.7</v>
      </c>
      <c r="T26" s="295"/>
      <c r="U26" s="295" t="s">
        <v>377</v>
      </c>
      <c r="V26" s="86"/>
      <c r="W26" s="86"/>
      <c r="X26" s="242">
        <f>ROUND(M26/P26*S26,-3)</f>
        <v>80543000</v>
      </c>
      <c r="Y26" s="501" t="s">
        <v>364</v>
      </c>
      <c r="Z26" s="6"/>
    </row>
    <row r="27" spans="1:26" s="11" customFormat="1" ht="19.5" customHeight="1">
      <c r="A27" s="60"/>
      <c r="B27" s="46"/>
      <c r="C27" s="46"/>
      <c r="D27" s="46"/>
      <c r="E27" s="48"/>
      <c r="F27" s="48"/>
      <c r="G27" s="49"/>
      <c r="H27" s="68"/>
      <c r="I27" s="286" t="s">
        <v>483</v>
      </c>
      <c r="J27" s="296"/>
      <c r="K27" s="295"/>
      <c r="L27" s="295"/>
      <c r="M27" s="295"/>
      <c r="N27" s="54"/>
      <c r="O27" s="295"/>
      <c r="P27" s="295"/>
      <c r="Q27" s="295"/>
      <c r="R27" s="295"/>
      <c r="S27" s="295"/>
      <c r="T27" s="295"/>
      <c r="U27" s="295"/>
      <c r="V27" s="224" t="s">
        <v>365</v>
      </c>
      <c r="W27" s="70"/>
      <c r="X27" s="224">
        <f>SUM(X28:X32)</f>
        <v>92765000</v>
      </c>
      <c r="Y27" s="71" t="s">
        <v>25</v>
      </c>
      <c r="Z27" s="6"/>
    </row>
    <row r="28" spans="1:26" s="11" customFormat="1" ht="19.5" customHeight="1">
      <c r="A28" s="60"/>
      <c r="B28" s="46"/>
      <c r="C28" s="46"/>
      <c r="D28" s="46"/>
      <c r="E28" s="48"/>
      <c r="F28" s="48"/>
      <c r="G28" s="49"/>
      <c r="H28" s="68"/>
      <c r="I28" s="285" t="s">
        <v>482</v>
      </c>
      <c r="J28" s="296"/>
      <c r="K28" s="295"/>
      <c r="L28" s="295"/>
      <c r="M28" s="295">
        <f>M26</f>
        <v>1380737000</v>
      </c>
      <c r="N28" s="54" t="s">
        <v>364</v>
      </c>
      <c r="O28" s="72" t="s">
        <v>378</v>
      </c>
      <c r="P28" s="474">
        <v>0.09</v>
      </c>
      <c r="Q28" s="459">
        <v>2</v>
      </c>
      <c r="R28" s="72" t="s">
        <v>378</v>
      </c>
      <c r="S28" s="492">
        <v>0.7</v>
      </c>
      <c r="T28" s="74"/>
      <c r="U28" s="459" t="s">
        <v>377</v>
      </c>
      <c r="V28" s="295"/>
      <c r="W28" s="66"/>
      <c r="X28" s="66">
        <f>ROUNDUP(M28*P28/Q28*S28,-3)</f>
        <v>43494000</v>
      </c>
      <c r="Y28" s="57" t="s">
        <v>364</v>
      </c>
      <c r="Z28" s="6"/>
    </row>
    <row r="29" spans="1:26" s="11" customFormat="1" ht="19.5" customHeight="1">
      <c r="A29" s="60"/>
      <c r="B29" s="46"/>
      <c r="C29" s="46"/>
      <c r="D29" s="46"/>
      <c r="E29" s="48"/>
      <c r="F29" s="48"/>
      <c r="G29" s="49"/>
      <c r="H29" s="68"/>
      <c r="I29" s="285" t="s">
        <v>481</v>
      </c>
      <c r="J29" s="296"/>
      <c r="K29" s="295"/>
      <c r="L29" s="295"/>
      <c r="M29" s="295">
        <f>M26</f>
        <v>1380737000</v>
      </c>
      <c r="N29" s="54" t="s">
        <v>364</v>
      </c>
      <c r="O29" s="72" t="s">
        <v>378</v>
      </c>
      <c r="P29" s="473">
        <v>6.4600000000000005E-2</v>
      </c>
      <c r="Q29" s="459">
        <v>2</v>
      </c>
      <c r="R29" s="72" t="s">
        <v>378</v>
      </c>
      <c r="S29" s="492">
        <v>0.7</v>
      </c>
      <c r="T29" s="74"/>
      <c r="U29" s="459" t="s">
        <v>377</v>
      </c>
      <c r="V29" s="295"/>
      <c r="W29" s="66"/>
      <c r="X29" s="66">
        <f>ROUNDUP(M29*P29/Q29*S29,-3)</f>
        <v>31219000</v>
      </c>
      <c r="Y29" s="57" t="s">
        <v>364</v>
      </c>
      <c r="Z29" s="6"/>
    </row>
    <row r="30" spans="1:26" s="11" customFormat="1" ht="19.5" customHeight="1">
      <c r="A30" s="60"/>
      <c r="B30" s="46"/>
      <c r="C30" s="46"/>
      <c r="D30" s="46"/>
      <c r="E30" s="48"/>
      <c r="F30" s="48"/>
      <c r="G30" s="49"/>
      <c r="H30" s="68"/>
      <c r="I30" s="285" t="s">
        <v>480</v>
      </c>
      <c r="J30" s="296"/>
      <c r="K30" s="295"/>
      <c r="L30" s="295"/>
      <c r="M30" s="295">
        <f>X29</f>
        <v>31219000</v>
      </c>
      <c r="N30" s="54" t="s">
        <v>364</v>
      </c>
      <c r="O30" s="72" t="s">
        <v>378</v>
      </c>
      <c r="P30" s="76">
        <v>8.5099999999999995E-2</v>
      </c>
      <c r="Q30" s="472"/>
      <c r="R30" s="72"/>
      <c r="S30" s="75"/>
      <c r="T30" s="471"/>
      <c r="U30" s="459" t="s">
        <v>377</v>
      </c>
      <c r="V30" s="295"/>
      <c r="W30" s="66"/>
      <c r="X30" s="66">
        <f>ROUNDDOWN(M30*P30,-3)</f>
        <v>2656000</v>
      </c>
      <c r="Y30" s="57" t="s">
        <v>364</v>
      </c>
      <c r="Z30" s="6"/>
    </row>
    <row r="31" spans="1:26" s="11" customFormat="1" ht="19.5" customHeight="1">
      <c r="A31" s="60"/>
      <c r="B31" s="46"/>
      <c r="C31" s="46"/>
      <c r="D31" s="46"/>
      <c r="E31" s="48"/>
      <c r="F31" s="48"/>
      <c r="G31" s="49"/>
      <c r="H31" s="68"/>
      <c r="I31" s="285" t="s">
        <v>479</v>
      </c>
      <c r="J31" s="296"/>
      <c r="K31" s="295"/>
      <c r="L31" s="295"/>
      <c r="M31" s="295">
        <f>M26</f>
        <v>1380737000</v>
      </c>
      <c r="N31" s="54" t="s">
        <v>364</v>
      </c>
      <c r="O31" s="72" t="s">
        <v>378</v>
      </c>
      <c r="P31" s="76">
        <v>8.9999999999999993E-3</v>
      </c>
      <c r="Q31" s="72"/>
      <c r="R31" s="72" t="s">
        <v>378</v>
      </c>
      <c r="S31" s="492">
        <v>0.7</v>
      </c>
      <c r="T31" s="74"/>
      <c r="U31" s="459" t="s">
        <v>377</v>
      </c>
      <c r="V31" s="295"/>
      <c r="W31" s="66"/>
      <c r="X31" s="66">
        <f>ROUNDUP(ROUNDUP(M31*P31,-3)*S31,-3)</f>
        <v>8699000</v>
      </c>
      <c r="Y31" s="57" t="s">
        <v>364</v>
      </c>
      <c r="Z31" s="6"/>
    </row>
    <row r="32" spans="1:26" s="11" customFormat="1" ht="19.5" customHeight="1">
      <c r="A32" s="60"/>
      <c r="B32" s="46"/>
      <c r="C32" s="46"/>
      <c r="D32" s="46"/>
      <c r="E32" s="48"/>
      <c r="F32" s="48"/>
      <c r="G32" s="49"/>
      <c r="H32" s="68"/>
      <c r="I32" s="285" t="s">
        <v>478</v>
      </c>
      <c r="J32" s="296"/>
      <c r="K32" s="295"/>
      <c r="L32" s="295"/>
      <c r="M32" s="295">
        <f>M26</f>
        <v>1380737000</v>
      </c>
      <c r="N32" s="54" t="s">
        <v>364</v>
      </c>
      <c r="O32" s="72" t="s">
        <v>378</v>
      </c>
      <c r="P32" s="470">
        <v>6.9300000000000004E-3</v>
      </c>
      <c r="Q32" s="72"/>
      <c r="R32" s="72" t="s">
        <v>378</v>
      </c>
      <c r="S32" s="492">
        <v>0.7</v>
      </c>
      <c r="T32" s="74"/>
      <c r="U32" s="459" t="s">
        <v>377</v>
      </c>
      <c r="V32" s="295"/>
      <c r="W32" s="66"/>
      <c r="X32" s="66">
        <f>ROUNDDOWN(M32*P32*S32,-3)</f>
        <v>6697000</v>
      </c>
      <c r="Y32" s="57" t="s">
        <v>364</v>
      </c>
      <c r="Z32" s="6"/>
    </row>
    <row r="33" spans="1:26" s="11" customFormat="1" ht="19.5" customHeight="1">
      <c r="A33" s="60"/>
      <c r="B33" s="46"/>
      <c r="C33" s="46"/>
      <c r="D33" s="59"/>
      <c r="E33" s="61"/>
      <c r="F33" s="61"/>
      <c r="G33" s="62"/>
      <c r="H33" s="82"/>
      <c r="I33" s="361"/>
      <c r="J33" s="70"/>
      <c r="K33" s="482"/>
      <c r="L33" s="482"/>
      <c r="M33" s="224"/>
      <c r="N33" s="224"/>
      <c r="O33" s="481"/>
      <c r="P33" s="224"/>
      <c r="Q33" s="125"/>
      <c r="R33" s="480"/>
      <c r="S33" s="489"/>
      <c r="T33" s="201"/>
      <c r="U33" s="201"/>
      <c r="V33" s="479"/>
      <c r="W33" s="361"/>
      <c r="X33" s="70"/>
      <c r="Y33" s="71"/>
      <c r="Z33" s="6"/>
    </row>
    <row r="34" spans="1:26" s="11" customFormat="1" ht="19.5" customHeight="1">
      <c r="A34" s="60"/>
      <c r="B34" s="46"/>
      <c r="C34" s="46"/>
      <c r="D34" s="36" t="s">
        <v>477</v>
      </c>
      <c r="E34" s="237">
        <v>56329</v>
      </c>
      <c r="F34" s="237">
        <f>ROUND(X34/1000,0)</f>
        <v>57323</v>
      </c>
      <c r="G34" s="273">
        <f>F34-E34</f>
        <v>994</v>
      </c>
      <c r="H34" s="115">
        <f>IF(E34=0,0,G34/E34)</f>
        <v>1.7646327824033803E-2</v>
      </c>
      <c r="I34" s="514" t="s">
        <v>510</v>
      </c>
      <c r="J34" s="513"/>
      <c r="K34" s="512"/>
      <c r="L34" s="512"/>
      <c r="M34" s="510"/>
      <c r="N34" s="510"/>
      <c r="O34" s="511"/>
      <c r="P34" s="510"/>
      <c r="Q34" s="509"/>
      <c r="R34" s="508"/>
      <c r="S34" s="507"/>
      <c r="T34" s="506"/>
      <c r="U34" s="506"/>
      <c r="V34" s="505" t="s">
        <v>461</v>
      </c>
      <c r="W34" s="504"/>
      <c r="X34" s="504">
        <f>SUM(X35:X36)+X38</f>
        <v>57323000</v>
      </c>
      <c r="Y34" s="503" t="s">
        <v>364</v>
      </c>
      <c r="Z34" s="6"/>
    </row>
    <row r="35" spans="1:26" s="11" customFormat="1" ht="19.5" customHeight="1">
      <c r="A35" s="60"/>
      <c r="B35" s="46"/>
      <c r="C35" s="46"/>
      <c r="D35" s="46"/>
      <c r="E35" s="48"/>
      <c r="F35" s="48"/>
      <c r="G35" s="49"/>
      <c r="H35" s="68"/>
      <c r="I35" s="282" t="s">
        <v>509</v>
      </c>
      <c r="J35" s="280"/>
      <c r="K35" s="500"/>
      <c r="L35" s="500"/>
      <c r="M35" s="277">
        <v>2264000</v>
      </c>
      <c r="N35" s="277" t="s">
        <v>25</v>
      </c>
      <c r="O35" s="363" t="s">
        <v>26</v>
      </c>
      <c r="P35" s="364">
        <v>30</v>
      </c>
      <c r="Q35" s="365" t="s">
        <v>379</v>
      </c>
      <c r="R35" s="333" t="s">
        <v>378</v>
      </c>
      <c r="S35" s="366">
        <v>0.7</v>
      </c>
      <c r="T35" s="338"/>
      <c r="U35" s="336" t="s">
        <v>377</v>
      </c>
      <c r="V35" s="497"/>
      <c r="W35" s="279"/>
      <c r="X35" s="280">
        <f>M35*P35*S35</f>
        <v>47544000</v>
      </c>
      <c r="Y35" s="303" t="s">
        <v>364</v>
      </c>
      <c r="Z35" s="6"/>
    </row>
    <row r="36" spans="1:26" s="11" customFormat="1" ht="19.5" customHeight="1">
      <c r="A36" s="60"/>
      <c r="B36" s="46"/>
      <c r="C36" s="46"/>
      <c r="D36" s="46"/>
      <c r="E36" s="48"/>
      <c r="F36" s="48"/>
      <c r="G36" s="49"/>
      <c r="H36" s="68"/>
      <c r="I36" s="282" t="s">
        <v>508</v>
      </c>
      <c r="J36" s="280"/>
      <c r="K36" s="500"/>
      <c r="L36" s="500"/>
      <c r="M36" s="277">
        <v>635000</v>
      </c>
      <c r="N36" s="277" t="s">
        <v>25</v>
      </c>
      <c r="O36" s="363" t="s">
        <v>26</v>
      </c>
      <c r="P36" s="364">
        <v>22</v>
      </c>
      <c r="Q36" s="365" t="s">
        <v>379</v>
      </c>
      <c r="R36" s="333" t="s">
        <v>378</v>
      </c>
      <c r="S36" s="366">
        <v>0.7</v>
      </c>
      <c r="T36" s="338"/>
      <c r="U36" s="336" t="s">
        <v>377</v>
      </c>
      <c r="V36" s="497"/>
      <c r="W36" s="279"/>
      <c r="X36" s="280">
        <f>ROUNDUP(M36*P36*S36,-3)</f>
        <v>9779000</v>
      </c>
      <c r="Y36" s="303" t="s">
        <v>364</v>
      </c>
      <c r="Z36" s="6"/>
    </row>
    <row r="37" spans="1:26" s="11" customFormat="1" ht="19.5" customHeight="1">
      <c r="A37" s="60"/>
      <c r="B37" s="46"/>
      <c r="C37" s="46"/>
      <c r="D37" s="46"/>
      <c r="E37" s="48"/>
      <c r="F37" s="48"/>
      <c r="G37" s="49"/>
      <c r="H37" s="68"/>
      <c r="I37" s="282"/>
      <c r="J37" s="280"/>
      <c r="K37" s="500"/>
      <c r="L37" s="500"/>
      <c r="M37" s="277"/>
      <c r="N37" s="277"/>
      <c r="O37" s="363"/>
      <c r="P37" s="499"/>
      <c r="Q37" s="365"/>
      <c r="R37" s="498"/>
      <c r="S37" s="367"/>
      <c r="T37" s="336"/>
      <c r="U37" s="336"/>
      <c r="V37" s="497"/>
      <c r="W37" s="279"/>
      <c r="X37" s="280"/>
      <c r="Y37" s="303"/>
      <c r="Z37" s="6"/>
    </row>
    <row r="38" spans="1:26" s="11" customFormat="1" ht="19.5" customHeight="1">
      <c r="A38" s="60"/>
      <c r="B38" s="46"/>
      <c r="C38" s="46"/>
      <c r="D38" s="46"/>
      <c r="E38" s="48"/>
      <c r="F38" s="48"/>
      <c r="G38" s="49"/>
      <c r="H38" s="68"/>
      <c r="I38" s="357" t="s">
        <v>505</v>
      </c>
      <c r="J38" s="280"/>
      <c r="K38" s="500"/>
      <c r="L38" s="500"/>
      <c r="M38" s="277"/>
      <c r="N38" s="277"/>
      <c r="O38" s="363"/>
      <c r="P38" s="277"/>
      <c r="Q38" s="365"/>
      <c r="R38" s="498"/>
      <c r="S38" s="367"/>
      <c r="T38" s="336"/>
      <c r="U38" s="336"/>
      <c r="V38" s="502" t="s">
        <v>461</v>
      </c>
      <c r="W38" s="359"/>
      <c r="X38" s="359">
        <f>X39</f>
        <v>0</v>
      </c>
      <c r="Y38" s="360" t="s">
        <v>364</v>
      </c>
      <c r="Z38" s="6"/>
    </row>
    <row r="39" spans="1:26" s="11" customFormat="1" ht="19.5" customHeight="1">
      <c r="A39" s="60"/>
      <c r="B39" s="46"/>
      <c r="C39" s="46"/>
      <c r="D39" s="46"/>
      <c r="E39" s="48"/>
      <c r="F39" s="48"/>
      <c r="G39" s="49"/>
      <c r="H39" s="68"/>
      <c r="I39" s="282" t="s">
        <v>537</v>
      </c>
      <c r="J39" s="280"/>
      <c r="K39" s="500"/>
      <c r="L39" s="500"/>
      <c r="M39" s="277">
        <v>0</v>
      </c>
      <c r="N39" s="277" t="s">
        <v>25</v>
      </c>
      <c r="O39" s="363" t="s">
        <v>26</v>
      </c>
      <c r="P39" s="499">
        <v>0.5</v>
      </c>
      <c r="Q39" s="365"/>
      <c r="R39" s="498"/>
      <c r="S39" s="367"/>
      <c r="T39" s="336"/>
      <c r="U39" s="336"/>
      <c r="V39" s="497"/>
      <c r="W39" s="279" t="s">
        <v>27</v>
      </c>
      <c r="X39" s="280">
        <f>M39*P39</f>
        <v>0</v>
      </c>
      <c r="Y39" s="303" t="s">
        <v>364</v>
      </c>
      <c r="Z39" s="6"/>
    </row>
    <row r="40" spans="1:26" s="11" customFormat="1" ht="19.5" customHeight="1">
      <c r="A40" s="60"/>
      <c r="B40" s="46"/>
      <c r="C40" s="46"/>
      <c r="D40" s="46"/>
      <c r="E40" s="48"/>
      <c r="F40" s="48"/>
      <c r="G40" s="49"/>
      <c r="H40" s="68"/>
      <c r="I40" s="282"/>
      <c r="J40" s="280"/>
      <c r="K40" s="500"/>
      <c r="L40" s="500"/>
      <c r="M40" s="277"/>
      <c r="N40" s="277"/>
      <c r="O40" s="363"/>
      <c r="P40" s="499"/>
      <c r="Q40" s="365"/>
      <c r="R40" s="498"/>
      <c r="S40" s="367"/>
      <c r="T40" s="336"/>
      <c r="U40" s="336"/>
      <c r="V40" s="497"/>
      <c r="W40" s="279"/>
      <c r="X40" s="280"/>
      <c r="Y40" s="303"/>
      <c r="Z40" s="6"/>
    </row>
    <row r="41" spans="1:26" s="11" customFormat="1" ht="19.5" customHeight="1">
      <c r="A41" s="60"/>
      <c r="B41" s="46"/>
      <c r="C41" s="46"/>
      <c r="D41" s="59"/>
      <c r="E41" s="61"/>
      <c r="F41" s="61"/>
      <c r="G41" s="62"/>
      <c r="H41" s="82"/>
      <c r="I41" s="357"/>
      <c r="J41" s="359"/>
      <c r="K41" s="368"/>
      <c r="L41" s="368"/>
      <c r="M41" s="358"/>
      <c r="N41" s="358"/>
      <c r="O41" s="369"/>
      <c r="P41" s="358"/>
      <c r="Q41" s="370"/>
      <c r="R41" s="371"/>
      <c r="S41" s="372"/>
      <c r="T41" s="373"/>
      <c r="U41" s="373"/>
      <c r="V41" s="374"/>
      <c r="W41" s="375"/>
      <c r="X41" s="359"/>
      <c r="Y41" s="360"/>
      <c r="Z41" s="6"/>
    </row>
    <row r="42" spans="1:26" s="11" customFormat="1" ht="19.5" customHeight="1">
      <c r="A42" s="60"/>
      <c r="B42" s="46"/>
      <c r="C42" s="36" t="s">
        <v>507</v>
      </c>
      <c r="D42" s="461" t="s">
        <v>372</v>
      </c>
      <c r="E42" s="219">
        <f>SUM(E43:E105)</f>
        <v>109275</v>
      </c>
      <c r="F42" s="219">
        <f>SUM(F43:F105)</f>
        <v>112695</v>
      </c>
      <c r="G42" s="220">
        <f>F42-E42</f>
        <v>3420</v>
      </c>
      <c r="H42" s="221">
        <f>IF(E42=0,0,G42/E42)</f>
        <v>3.1297185998627318E-2</v>
      </c>
      <c r="I42" s="204" t="s">
        <v>506</v>
      </c>
      <c r="J42" s="205"/>
      <c r="K42" s="206"/>
      <c r="L42" s="206"/>
      <c r="M42" s="206"/>
      <c r="N42" s="206"/>
      <c r="O42" s="206"/>
      <c r="P42" s="207"/>
      <c r="Q42" s="207"/>
      <c r="R42" s="207"/>
      <c r="S42" s="207"/>
      <c r="T42" s="207"/>
      <c r="U42" s="207"/>
      <c r="V42" s="234" t="s">
        <v>365</v>
      </c>
      <c r="W42" s="235"/>
      <c r="X42" s="235">
        <f>SUM(X43,X48,X63,X70,X78,X102)</f>
        <v>112695000</v>
      </c>
      <c r="Y42" s="267" t="s">
        <v>364</v>
      </c>
      <c r="Z42" s="6"/>
    </row>
    <row r="43" spans="1:26" s="11" customFormat="1" ht="19.5" customHeight="1">
      <c r="A43" s="60"/>
      <c r="B43" s="46"/>
      <c r="C43" s="46" t="s">
        <v>494</v>
      </c>
      <c r="D43" s="36" t="s">
        <v>493</v>
      </c>
      <c r="E43" s="37">
        <v>5038</v>
      </c>
      <c r="F43" s="237">
        <f>ROUND(X43/1000,0)</f>
        <v>5278</v>
      </c>
      <c r="G43" s="38">
        <f>F43-E43</f>
        <v>240</v>
      </c>
      <c r="H43" s="115">
        <f>IF(E43=0,0,G43/E43)</f>
        <v>4.7637951568082572E-2</v>
      </c>
      <c r="I43" s="138" t="s">
        <v>492</v>
      </c>
      <c r="J43" s="157"/>
      <c r="K43" s="86"/>
      <c r="L43" s="86"/>
      <c r="M43" s="86"/>
      <c r="N43" s="246"/>
      <c r="O43" s="238"/>
      <c r="P43" s="86"/>
      <c r="Q43" s="239"/>
      <c r="R43" s="496"/>
      <c r="S43" s="495"/>
      <c r="T43" s="495"/>
      <c r="U43" s="246"/>
      <c r="V43" s="494" t="s">
        <v>461</v>
      </c>
      <c r="W43" s="140"/>
      <c r="X43" s="140">
        <f>SUM(X44:X46)</f>
        <v>5278000</v>
      </c>
      <c r="Y43" s="141" t="s">
        <v>364</v>
      </c>
      <c r="Z43" s="6"/>
    </row>
    <row r="44" spans="1:26" s="11" customFormat="1" ht="19.5" customHeight="1">
      <c r="A44" s="60"/>
      <c r="B44" s="46"/>
      <c r="C44" s="46"/>
      <c r="D44" s="46"/>
      <c r="E44" s="48"/>
      <c r="F44" s="48"/>
      <c r="G44" s="49"/>
      <c r="H44" s="68"/>
      <c r="I44" s="285" t="s">
        <v>491</v>
      </c>
      <c r="J44" s="296"/>
      <c r="K44" s="295"/>
      <c r="L44" s="295"/>
      <c r="M44" s="295">
        <f>M15</f>
        <v>252812</v>
      </c>
      <c r="N44" s="459" t="s">
        <v>25</v>
      </c>
      <c r="O44" s="208" t="s">
        <v>26</v>
      </c>
      <c r="P44" s="460">
        <v>24</v>
      </c>
      <c r="Q44" s="54" t="s">
        <v>139</v>
      </c>
      <c r="R44" s="209" t="s">
        <v>26</v>
      </c>
      <c r="S44" s="211">
        <v>12</v>
      </c>
      <c r="T44" s="211" t="s">
        <v>29</v>
      </c>
      <c r="U44" s="459" t="s">
        <v>26</v>
      </c>
      <c r="V44" s="493">
        <v>7.0000000000000007E-2</v>
      </c>
      <c r="W44" s="66" t="s">
        <v>27</v>
      </c>
      <c r="X44" s="66">
        <f>ROUND(M44*P44*S44*V44,-3)</f>
        <v>5097000</v>
      </c>
      <c r="Y44" s="57" t="s">
        <v>364</v>
      </c>
      <c r="Z44" s="6"/>
    </row>
    <row r="45" spans="1:26" s="11" customFormat="1" ht="19.5" customHeight="1">
      <c r="A45" s="60"/>
      <c r="B45" s="46"/>
      <c r="C45" s="46"/>
      <c r="D45" s="46"/>
      <c r="E45" s="48"/>
      <c r="F45" s="48"/>
      <c r="G45" s="49"/>
      <c r="H45" s="68"/>
      <c r="I45" s="285" t="s">
        <v>490</v>
      </c>
      <c r="J45" s="296"/>
      <c r="K45" s="295"/>
      <c r="L45" s="295"/>
      <c r="M45" s="295">
        <f t="shared" ref="M45:M46" si="0">M16</f>
        <v>35394</v>
      </c>
      <c r="N45" s="459" t="s">
        <v>25</v>
      </c>
      <c r="O45" s="208" t="s">
        <v>26</v>
      </c>
      <c r="P45" s="460">
        <v>24</v>
      </c>
      <c r="Q45" s="54" t="s">
        <v>139</v>
      </c>
      <c r="R45" s="478" t="s">
        <v>26</v>
      </c>
      <c r="S45" s="211">
        <v>1</v>
      </c>
      <c r="T45" s="211" t="s">
        <v>488</v>
      </c>
      <c r="U45" s="459" t="s">
        <v>26</v>
      </c>
      <c r="V45" s="493">
        <v>7.0000000000000007E-2</v>
      </c>
      <c r="W45" s="66" t="s">
        <v>27</v>
      </c>
      <c r="X45" s="66">
        <f>ROUND(M45*P45*S45*V45,-3)</f>
        <v>59000</v>
      </c>
      <c r="Y45" s="57" t="s">
        <v>364</v>
      </c>
      <c r="Z45" s="6"/>
    </row>
    <row r="46" spans="1:26" s="11" customFormat="1" ht="19.5" customHeight="1">
      <c r="A46" s="60"/>
      <c r="B46" s="46"/>
      <c r="C46" s="46"/>
      <c r="D46" s="46"/>
      <c r="E46" s="48"/>
      <c r="F46" s="48"/>
      <c r="G46" s="49"/>
      <c r="H46" s="68"/>
      <c r="I46" s="285" t="s">
        <v>489</v>
      </c>
      <c r="J46" s="66"/>
      <c r="K46" s="210"/>
      <c r="L46" s="210"/>
      <c r="M46" s="295">
        <f t="shared" si="0"/>
        <v>36300</v>
      </c>
      <c r="N46" s="295" t="s">
        <v>25</v>
      </c>
      <c r="O46" s="208" t="s">
        <v>26</v>
      </c>
      <c r="P46" s="460">
        <v>24</v>
      </c>
      <c r="Q46" s="54" t="s">
        <v>139</v>
      </c>
      <c r="R46" s="478" t="s">
        <v>26</v>
      </c>
      <c r="S46" s="56">
        <v>2</v>
      </c>
      <c r="T46" s="459" t="s">
        <v>488</v>
      </c>
      <c r="U46" s="459" t="s">
        <v>26</v>
      </c>
      <c r="V46" s="493">
        <v>7.0000000000000007E-2</v>
      </c>
      <c r="W46" s="296" t="s">
        <v>27</v>
      </c>
      <c r="X46" s="66">
        <f>ROUND(M46*P46*S46*V46,-3)</f>
        <v>122000</v>
      </c>
      <c r="Y46" s="57" t="s">
        <v>364</v>
      </c>
      <c r="Z46" s="6"/>
    </row>
    <row r="47" spans="1:26" s="11" customFormat="1" ht="19.5" customHeight="1">
      <c r="A47" s="60"/>
      <c r="B47" s="46"/>
      <c r="C47" s="46"/>
      <c r="D47" s="59"/>
      <c r="E47" s="61"/>
      <c r="F47" s="61"/>
      <c r="G47" s="62"/>
      <c r="H47" s="82"/>
      <c r="I47" s="361"/>
      <c r="J47" s="70"/>
      <c r="K47" s="482"/>
      <c r="L47" s="482"/>
      <c r="M47" s="224"/>
      <c r="N47" s="224"/>
      <c r="O47" s="481"/>
      <c r="P47" s="224"/>
      <c r="Q47" s="125"/>
      <c r="R47" s="480"/>
      <c r="S47" s="489"/>
      <c r="T47" s="201"/>
      <c r="U47" s="201"/>
      <c r="V47" s="479"/>
      <c r="W47" s="361"/>
      <c r="X47" s="70"/>
      <c r="Y47" s="71"/>
      <c r="Z47" s="6"/>
    </row>
    <row r="48" spans="1:26" s="11" customFormat="1" ht="19.5" customHeight="1" thickBot="1">
      <c r="A48" s="60"/>
      <c r="B48" s="46"/>
      <c r="C48" s="46"/>
      <c r="D48" s="36" t="s">
        <v>487</v>
      </c>
      <c r="E48" s="37">
        <v>71503</v>
      </c>
      <c r="F48" s="237">
        <f>ROUND(X48/1000,0)</f>
        <v>73275</v>
      </c>
      <c r="G48" s="38">
        <f>F48-E48</f>
        <v>1772</v>
      </c>
      <c r="H48" s="115">
        <f>IF(E48=0,0,G48/E48)</f>
        <v>2.4782176971595599E-2</v>
      </c>
      <c r="I48" s="243" t="s">
        <v>582</v>
      </c>
      <c r="J48" s="242"/>
      <c r="K48" s="247"/>
      <c r="L48" s="247"/>
      <c r="M48" s="86"/>
      <c r="N48" s="86"/>
      <c r="O48" s="238"/>
      <c r="P48" s="86"/>
      <c r="Q48" s="239"/>
      <c r="R48" s="240"/>
      <c r="S48" s="241"/>
      <c r="T48" s="246"/>
      <c r="U48" s="246"/>
      <c r="V48" s="244" t="s">
        <v>461</v>
      </c>
      <c r="W48" s="245"/>
      <c r="X48" s="245">
        <f>SUM(X49,X50,X54,X56)</f>
        <v>73275000</v>
      </c>
      <c r="Y48" s="268" t="s">
        <v>364</v>
      </c>
      <c r="Z48" s="6"/>
    </row>
    <row r="49" spans="1:27" s="11" customFormat="1" ht="19.5" customHeight="1">
      <c r="A49" s="60"/>
      <c r="B49" s="46"/>
      <c r="C49" s="46"/>
      <c r="D49" s="46"/>
      <c r="E49" s="48"/>
      <c r="F49" s="48"/>
      <c r="G49" s="49"/>
      <c r="H49" s="68"/>
      <c r="I49" s="286" t="s">
        <v>486</v>
      </c>
      <c r="J49" s="296"/>
      <c r="K49" s="295"/>
      <c r="L49" s="295"/>
      <c r="M49" s="295">
        <f>M20</f>
        <v>1025040000</v>
      </c>
      <c r="N49" s="295" t="s">
        <v>364</v>
      </c>
      <c r="O49" s="72" t="s">
        <v>378</v>
      </c>
      <c r="P49" s="492">
        <v>4.4999999999999998E-2</v>
      </c>
      <c r="Q49" s="295"/>
      <c r="R49" s="295"/>
      <c r="S49" s="295"/>
      <c r="T49" s="295"/>
      <c r="U49" s="295" t="s">
        <v>377</v>
      </c>
      <c r="V49" s="224" t="s">
        <v>365</v>
      </c>
      <c r="W49" s="70"/>
      <c r="X49" s="224">
        <f>ROUND(M49*P49,-3)</f>
        <v>46127000</v>
      </c>
      <c r="Y49" s="71" t="s">
        <v>25</v>
      </c>
      <c r="Z49" s="6"/>
    </row>
    <row r="50" spans="1:27" s="11" customFormat="1" ht="19.5" customHeight="1">
      <c r="A50" s="60"/>
      <c r="B50" s="46"/>
      <c r="C50" s="46"/>
      <c r="D50" s="46"/>
      <c r="E50" s="48"/>
      <c r="F50" s="48"/>
      <c r="G50" s="49"/>
      <c r="H50" s="68"/>
      <c r="I50" s="287" t="s">
        <v>485</v>
      </c>
      <c r="J50" s="296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139" t="s">
        <v>365</v>
      </c>
      <c r="W50" s="140"/>
      <c r="X50" s="139">
        <f>SUM(X51:X53)</f>
        <v>16006000</v>
      </c>
      <c r="Y50" s="141" t="s">
        <v>25</v>
      </c>
      <c r="Z50" s="6"/>
    </row>
    <row r="51" spans="1:27" s="11" customFormat="1" ht="19.5" customHeight="1">
      <c r="A51" s="60"/>
      <c r="B51" s="46"/>
      <c r="C51" s="46"/>
      <c r="D51" s="46"/>
      <c r="E51" s="48"/>
      <c r="F51" s="48"/>
      <c r="G51" s="49"/>
      <c r="H51" s="68"/>
      <c r="I51" s="285" t="s">
        <v>452</v>
      </c>
      <c r="J51" s="296"/>
      <c r="K51" s="295"/>
      <c r="L51" s="295"/>
      <c r="M51" s="295">
        <f>M22</f>
        <v>105713000</v>
      </c>
      <c r="N51" s="295" t="s">
        <v>364</v>
      </c>
      <c r="O51" s="72" t="s">
        <v>378</v>
      </c>
      <c r="P51" s="492">
        <v>4.4999999999999998E-2</v>
      </c>
      <c r="Q51" s="295"/>
      <c r="R51" s="295"/>
      <c r="S51" s="295"/>
      <c r="T51" s="295"/>
      <c r="U51" s="295" t="s">
        <v>377</v>
      </c>
      <c r="V51" s="695"/>
      <c r="W51" s="695"/>
      <c r="X51" s="242">
        <f>ROUND(M51*P51,-3)</f>
        <v>4757000</v>
      </c>
      <c r="Y51" s="487" t="s">
        <v>364</v>
      </c>
      <c r="Z51" s="6"/>
    </row>
    <row r="52" spans="1:27" s="11" customFormat="1" ht="19.5" customHeight="1">
      <c r="A52" s="60"/>
      <c r="B52" s="46"/>
      <c r="C52" s="46"/>
      <c r="D52" s="46"/>
      <c r="E52" s="48"/>
      <c r="F52" s="48"/>
      <c r="G52" s="49"/>
      <c r="H52" s="68"/>
      <c r="I52" s="285" t="s">
        <v>451</v>
      </c>
      <c r="J52" s="296"/>
      <c r="K52" s="295"/>
      <c r="L52" s="295"/>
      <c r="M52" s="295">
        <f>M23</f>
        <v>14400000</v>
      </c>
      <c r="N52" s="295" t="s">
        <v>364</v>
      </c>
      <c r="O52" s="72" t="s">
        <v>378</v>
      </c>
      <c r="P52" s="492">
        <v>4.4999999999999998E-2</v>
      </c>
      <c r="Q52" s="295"/>
      <c r="R52" s="295"/>
      <c r="S52" s="295"/>
      <c r="T52" s="295"/>
      <c r="U52" s="295" t="s">
        <v>377</v>
      </c>
      <c r="V52" s="694"/>
      <c r="W52" s="694"/>
      <c r="X52" s="66">
        <f>ROUND(M52*P52,-3)</f>
        <v>648000</v>
      </c>
      <c r="Y52" s="57" t="s">
        <v>364</v>
      </c>
      <c r="Z52" s="6"/>
    </row>
    <row r="53" spans="1:27" s="11" customFormat="1" ht="19.5" customHeight="1">
      <c r="A53" s="60"/>
      <c r="B53" s="46"/>
      <c r="C53" s="46"/>
      <c r="D53" s="46"/>
      <c r="E53" s="48"/>
      <c r="F53" s="48"/>
      <c r="G53" s="49"/>
      <c r="H53" s="68"/>
      <c r="I53" s="285" t="s">
        <v>450</v>
      </c>
      <c r="J53" s="296"/>
      <c r="K53" s="295"/>
      <c r="L53" s="295"/>
      <c r="M53" s="295">
        <f>M24</f>
        <v>235584000</v>
      </c>
      <c r="N53" s="295" t="s">
        <v>364</v>
      </c>
      <c r="O53" s="72" t="s">
        <v>378</v>
      </c>
      <c r="P53" s="492">
        <v>4.4999999999999998E-2</v>
      </c>
      <c r="Q53" s="295"/>
      <c r="R53" s="295"/>
      <c r="S53" s="295"/>
      <c r="T53" s="295"/>
      <c r="U53" s="295" t="s">
        <v>377</v>
      </c>
      <c r="V53" s="694"/>
      <c r="W53" s="694"/>
      <c r="X53" s="66">
        <f>ROUNDDOWN(M53*P53,-3)</f>
        <v>10601000</v>
      </c>
      <c r="Y53" s="57" t="s">
        <v>364</v>
      </c>
      <c r="Z53" s="6"/>
    </row>
    <row r="54" spans="1:27" s="11" customFormat="1" ht="19.5" customHeight="1">
      <c r="A54" s="60"/>
      <c r="B54" s="46"/>
      <c r="C54" s="46"/>
      <c r="D54" s="46"/>
      <c r="E54" s="48"/>
      <c r="F54" s="48"/>
      <c r="G54" s="49"/>
      <c r="H54" s="68"/>
      <c r="I54" s="286" t="s">
        <v>484</v>
      </c>
      <c r="J54" s="296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24" t="s">
        <v>365</v>
      </c>
      <c r="W54" s="70"/>
      <c r="X54" s="224">
        <f>X55</f>
        <v>5178000</v>
      </c>
      <c r="Y54" s="71" t="s">
        <v>25</v>
      </c>
      <c r="Z54" s="6"/>
    </row>
    <row r="55" spans="1:27" s="11" customFormat="1" ht="19.5" customHeight="1">
      <c r="A55" s="60"/>
      <c r="B55" s="46"/>
      <c r="C55" s="46"/>
      <c r="D55" s="46"/>
      <c r="E55" s="48"/>
      <c r="F55" s="48"/>
      <c r="G55" s="49"/>
      <c r="H55" s="68"/>
      <c r="I55" s="285" t="s">
        <v>583</v>
      </c>
      <c r="J55" s="296"/>
      <c r="K55" s="295"/>
      <c r="L55" s="295"/>
      <c r="M55" s="295">
        <f>SUM(M49:M53)</f>
        <v>1380737000</v>
      </c>
      <c r="N55" s="54" t="s">
        <v>364</v>
      </c>
      <c r="O55" s="459" t="s">
        <v>385</v>
      </c>
      <c r="P55" s="486">
        <v>12</v>
      </c>
      <c r="Q55" s="208" t="s">
        <v>384</v>
      </c>
      <c r="R55" s="72" t="s">
        <v>378</v>
      </c>
      <c r="S55" s="492">
        <v>4.4999999999999998E-2</v>
      </c>
      <c r="T55" s="295"/>
      <c r="U55" s="295" t="s">
        <v>377</v>
      </c>
      <c r="V55" s="86"/>
      <c r="W55" s="86"/>
      <c r="X55" s="242">
        <f>ROUND(M55/P55*S55,-3)</f>
        <v>5178000</v>
      </c>
      <c r="Y55" s="501" t="s">
        <v>364</v>
      </c>
      <c r="Z55" s="295"/>
      <c r="AA55" s="6"/>
    </row>
    <row r="56" spans="1:27" s="11" customFormat="1" ht="19.5" customHeight="1">
      <c r="A56" s="60"/>
      <c r="B56" s="46"/>
      <c r="C56" s="46"/>
      <c r="D56" s="46"/>
      <c r="E56" s="48"/>
      <c r="F56" s="48"/>
      <c r="G56" s="49"/>
      <c r="H56" s="68"/>
      <c r="I56" s="286" t="s">
        <v>483</v>
      </c>
      <c r="J56" s="296"/>
      <c r="K56" s="295"/>
      <c r="L56" s="295"/>
      <c r="M56" s="295"/>
      <c r="N56" s="54"/>
      <c r="O56" s="295"/>
      <c r="P56" s="295"/>
      <c r="Q56" s="295"/>
      <c r="R56" s="295"/>
      <c r="S56" s="295"/>
      <c r="T56" s="295"/>
      <c r="U56" s="295"/>
      <c r="V56" s="224" t="s">
        <v>365</v>
      </c>
      <c r="W56" s="70"/>
      <c r="X56" s="224">
        <f>SUM(X57:X61)</f>
        <v>5964000</v>
      </c>
      <c r="Y56" s="71" t="s">
        <v>25</v>
      </c>
      <c r="Z56" s="6"/>
    </row>
    <row r="57" spans="1:27" s="11" customFormat="1" ht="19.5" customHeight="1">
      <c r="A57" s="60"/>
      <c r="B57" s="46"/>
      <c r="C57" s="46"/>
      <c r="D57" s="46"/>
      <c r="E57" s="48"/>
      <c r="F57" s="48"/>
      <c r="G57" s="49"/>
      <c r="H57" s="68"/>
      <c r="I57" s="285" t="s">
        <v>482</v>
      </c>
      <c r="J57" s="296"/>
      <c r="K57" s="295"/>
      <c r="L57" s="295"/>
      <c r="M57" s="295">
        <f>M55</f>
        <v>1380737000</v>
      </c>
      <c r="N57" s="54" t="s">
        <v>364</v>
      </c>
      <c r="O57" s="72" t="s">
        <v>378</v>
      </c>
      <c r="P57" s="474">
        <v>0.09</v>
      </c>
      <c r="Q57" s="459">
        <v>2</v>
      </c>
      <c r="R57" s="72" t="s">
        <v>378</v>
      </c>
      <c r="S57" s="492">
        <v>4.4999999999999998E-2</v>
      </c>
      <c r="T57" s="74"/>
      <c r="U57" s="459" t="s">
        <v>377</v>
      </c>
      <c r="V57" s="295"/>
      <c r="W57" s="66"/>
      <c r="X57" s="66">
        <f>ROUNDUP(M57*P57/Q57*S57,-3)</f>
        <v>2796000</v>
      </c>
      <c r="Y57" s="57" t="s">
        <v>364</v>
      </c>
      <c r="Z57" s="6"/>
    </row>
    <row r="58" spans="1:27" s="11" customFormat="1" ht="19.5" customHeight="1">
      <c r="A58" s="60"/>
      <c r="B58" s="46"/>
      <c r="C58" s="46"/>
      <c r="D58" s="46"/>
      <c r="E58" s="48"/>
      <c r="F58" s="48"/>
      <c r="G58" s="49"/>
      <c r="H58" s="68"/>
      <c r="I58" s="285" t="s">
        <v>481</v>
      </c>
      <c r="J58" s="296"/>
      <c r="K58" s="295"/>
      <c r="L58" s="295"/>
      <c r="M58" s="295">
        <f>M55</f>
        <v>1380737000</v>
      </c>
      <c r="N58" s="54" t="s">
        <v>364</v>
      </c>
      <c r="O58" s="72" t="s">
        <v>378</v>
      </c>
      <c r="P58" s="473">
        <v>6.4600000000000005E-2</v>
      </c>
      <c r="Q58" s="459">
        <v>2</v>
      </c>
      <c r="R58" s="72" t="s">
        <v>378</v>
      </c>
      <c r="S58" s="492">
        <v>4.4999999999999998E-2</v>
      </c>
      <c r="T58" s="74"/>
      <c r="U58" s="459" t="s">
        <v>377</v>
      </c>
      <c r="V58" s="295"/>
      <c r="W58" s="66"/>
      <c r="X58" s="66">
        <f>ROUND(M58*P58/Q58*S58,-3)</f>
        <v>2007000</v>
      </c>
      <c r="Y58" s="57" t="s">
        <v>364</v>
      </c>
      <c r="Z58" s="6"/>
    </row>
    <row r="59" spans="1:27" s="11" customFormat="1" ht="19.5" customHeight="1">
      <c r="A59" s="60"/>
      <c r="B59" s="46"/>
      <c r="C59" s="46"/>
      <c r="D59" s="46"/>
      <c r="E59" s="48"/>
      <c r="F59" s="48"/>
      <c r="G59" s="49"/>
      <c r="H59" s="68"/>
      <c r="I59" s="285" t="s">
        <v>480</v>
      </c>
      <c r="J59" s="296"/>
      <c r="K59" s="295"/>
      <c r="L59" s="295"/>
      <c r="M59" s="295">
        <f>X58</f>
        <v>2007000</v>
      </c>
      <c r="N59" s="54" t="s">
        <v>364</v>
      </c>
      <c r="O59" s="72" t="s">
        <v>378</v>
      </c>
      <c r="P59" s="76">
        <v>8.5099999999999995E-2</v>
      </c>
      <c r="Q59" s="472"/>
      <c r="R59" s="72"/>
      <c r="S59" s="75"/>
      <c r="T59" s="471"/>
      <c r="U59" s="459" t="s">
        <v>377</v>
      </c>
      <c r="V59" s="295"/>
      <c r="W59" s="66"/>
      <c r="X59" s="66">
        <f>ROUND(M59*P59,-3)</f>
        <v>171000</v>
      </c>
      <c r="Y59" s="57" t="s">
        <v>364</v>
      </c>
      <c r="Z59" s="6"/>
    </row>
    <row r="60" spans="1:27" s="11" customFormat="1" ht="19.5" customHeight="1">
      <c r="A60" s="60"/>
      <c r="B60" s="46"/>
      <c r="C60" s="46"/>
      <c r="D60" s="46"/>
      <c r="E60" s="48"/>
      <c r="F60" s="48"/>
      <c r="G60" s="49"/>
      <c r="H60" s="68"/>
      <c r="I60" s="285" t="s">
        <v>479</v>
      </c>
      <c r="J60" s="296"/>
      <c r="K60" s="295"/>
      <c r="L60" s="295"/>
      <c r="M60" s="295">
        <f>M55</f>
        <v>1380737000</v>
      </c>
      <c r="N60" s="54" t="s">
        <v>364</v>
      </c>
      <c r="O60" s="72" t="s">
        <v>378</v>
      </c>
      <c r="P60" s="76">
        <v>8.9999999999999993E-3</v>
      </c>
      <c r="Q60" s="72"/>
      <c r="R60" s="72" t="s">
        <v>378</v>
      </c>
      <c r="S60" s="492">
        <v>4.4999999999999998E-2</v>
      </c>
      <c r="T60" s="74"/>
      <c r="U60" s="459" t="s">
        <v>377</v>
      </c>
      <c r="V60" s="295"/>
      <c r="W60" s="66"/>
      <c r="X60" s="66">
        <f>ROUND(M60*P60*S60,-3)</f>
        <v>559000</v>
      </c>
      <c r="Y60" s="57" t="s">
        <v>364</v>
      </c>
      <c r="Z60" s="6"/>
    </row>
    <row r="61" spans="1:27" s="11" customFormat="1" ht="19.5" customHeight="1">
      <c r="A61" s="60"/>
      <c r="B61" s="46"/>
      <c r="C61" s="46"/>
      <c r="D61" s="46"/>
      <c r="E61" s="48"/>
      <c r="F61" s="48"/>
      <c r="G61" s="49"/>
      <c r="H61" s="68"/>
      <c r="I61" s="285" t="s">
        <v>478</v>
      </c>
      <c r="J61" s="296"/>
      <c r="K61" s="295"/>
      <c r="L61" s="295"/>
      <c r="M61" s="295">
        <f>M55</f>
        <v>1380737000</v>
      </c>
      <c r="N61" s="54" t="s">
        <v>364</v>
      </c>
      <c r="O61" s="72" t="s">
        <v>378</v>
      </c>
      <c r="P61" s="470">
        <v>6.9300000000000004E-3</v>
      </c>
      <c r="Q61" s="72"/>
      <c r="R61" s="72" t="s">
        <v>378</v>
      </c>
      <c r="S61" s="492">
        <v>4.4999999999999998E-2</v>
      </c>
      <c r="T61" s="74"/>
      <c r="U61" s="459" t="s">
        <v>377</v>
      </c>
      <c r="V61" s="295"/>
      <c r="W61" s="66"/>
      <c r="X61" s="66">
        <f>ROUND(M61*P61*S61,-3)</f>
        <v>431000</v>
      </c>
      <c r="Y61" s="57" t="s">
        <v>364</v>
      </c>
      <c r="Z61" s="6"/>
    </row>
    <row r="62" spans="1:27" s="11" customFormat="1" ht="19.5" customHeight="1">
      <c r="A62" s="60"/>
      <c r="B62" s="46"/>
      <c r="C62" s="46"/>
      <c r="D62" s="59"/>
      <c r="E62" s="61"/>
      <c r="F62" s="61"/>
      <c r="G62" s="62"/>
      <c r="H62" s="82"/>
      <c r="I62" s="361"/>
      <c r="J62" s="70"/>
      <c r="K62" s="482"/>
      <c r="L62" s="482"/>
      <c r="M62" s="224"/>
      <c r="N62" s="224"/>
      <c r="O62" s="481"/>
      <c r="P62" s="224"/>
      <c r="Q62" s="125"/>
      <c r="R62" s="480"/>
      <c r="S62" s="489"/>
      <c r="T62" s="201"/>
      <c r="U62" s="201"/>
      <c r="V62" s="479"/>
      <c r="W62" s="361"/>
      <c r="X62" s="70"/>
      <c r="Y62" s="71"/>
      <c r="Z62" s="6"/>
    </row>
    <row r="63" spans="1:27" s="11" customFormat="1" ht="19.5" customHeight="1" thickBot="1">
      <c r="A63" s="60"/>
      <c r="B63" s="46"/>
      <c r="C63" s="46"/>
      <c r="D63" s="36" t="s">
        <v>477</v>
      </c>
      <c r="E63" s="37">
        <v>3621</v>
      </c>
      <c r="F63" s="237">
        <f>ROUND(X63/1000,0)</f>
        <v>3685</v>
      </c>
      <c r="G63" s="38">
        <f>F63-E63</f>
        <v>64</v>
      </c>
      <c r="H63" s="115">
        <f>IF(E63=0,0,G63/E63)</f>
        <v>1.7674675504004419E-2</v>
      </c>
      <c r="I63" s="243" t="s">
        <v>476</v>
      </c>
      <c r="J63" s="242"/>
      <c r="K63" s="247"/>
      <c r="L63" s="247"/>
      <c r="M63" s="86"/>
      <c r="N63" s="86"/>
      <c r="O63" s="238"/>
      <c r="P63" s="86"/>
      <c r="Q63" s="239"/>
      <c r="R63" s="240"/>
      <c r="S63" s="241"/>
      <c r="T63" s="246"/>
      <c r="U63" s="246"/>
      <c r="V63" s="244" t="s">
        <v>461</v>
      </c>
      <c r="W63" s="245"/>
      <c r="X63" s="245">
        <f>SUM(X64:X68)</f>
        <v>3685000</v>
      </c>
      <c r="Y63" s="268" t="s">
        <v>364</v>
      </c>
      <c r="Z63" s="6"/>
    </row>
    <row r="64" spans="1:27" s="11" customFormat="1" ht="19.5" customHeight="1">
      <c r="A64" s="60"/>
      <c r="B64" s="46"/>
      <c r="C64" s="46"/>
      <c r="D64" s="46"/>
      <c r="E64" s="48"/>
      <c r="F64" s="48"/>
      <c r="G64" s="49"/>
      <c r="H64" s="68"/>
      <c r="I64" s="296" t="s">
        <v>475</v>
      </c>
      <c r="J64" s="66"/>
      <c r="K64" s="210"/>
      <c r="L64" s="210"/>
      <c r="M64" s="277">
        <v>2264000</v>
      </c>
      <c r="N64" s="277" t="s">
        <v>25</v>
      </c>
      <c r="O64" s="363" t="s">
        <v>26</v>
      </c>
      <c r="P64" s="364">
        <v>30</v>
      </c>
      <c r="Q64" s="365" t="s">
        <v>379</v>
      </c>
      <c r="R64" s="333" t="s">
        <v>378</v>
      </c>
      <c r="S64" s="366">
        <v>4.4999999999999998E-2</v>
      </c>
      <c r="T64" s="338"/>
      <c r="U64" s="336" t="s">
        <v>377</v>
      </c>
      <c r="V64" s="694"/>
      <c r="W64" s="694"/>
      <c r="X64" s="66">
        <f>ROUND(M64*P64*S64,-3)</f>
        <v>3056000</v>
      </c>
      <c r="Y64" s="57" t="s">
        <v>364</v>
      </c>
      <c r="Z64" s="6"/>
    </row>
    <row r="65" spans="1:26" s="11" customFormat="1" ht="19.5" customHeight="1">
      <c r="A65" s="60"/>
      <c r="B65" s="46"/>
      <c r="C65" s="46"/>
      <c r="D65" s="46"/>
      <c r="E65" s="48"/>
      <c r="F65" s="48"/>
      <c r="G65" s="49"/>
      <c r="H65" s="68"/>
      <c r="I65" s="296" t="s">
        <v>474</v>
      </c>
      <c r="J65" s="66"/>
      <c r="K65" s="210"/>
      <c r="L65" s="210"/>
      <c r="M65" s="277">
        <v>635000</v>
      </c>
      <c r="N65" s="277" t="s">
        <v>25</v>
      </c>
      <c r="O65" s="363" t="s">
        <v>26</v>
      </c>
      <c r="P65" s="364">
        <v>22</v>
      </c>
      <c r="Q65" s="365" t="s">
        <v>379</v>
      </c>
      <c r="R65" s="333" t="s">
        <v>378</v>
      </c>
      <c r="S65" s="366">
        <v>4.4999999999999998E-2</v>
      </c>
      <c r="T65" s="338"/>
      <c r="U65" s="336" t="s">
        <v>377</v>
      </c>
      <c r="V65" s="694"/>
      <c r="W65" s="694"/>
      <c r="X65" s="66">
        <f>ROUND(M65*P65*S65,-3)</f>
        <v>629000</v>
      </c>
      <c r="Y65" s="57" t="s">
        <v>364</v>
      </c>
      <c r="Z65" s="6"/>
    </row>
    <row r="66" spans="1:26" s="11" customFormat="1" ht="19.5" customHeight="1">
      <c r="A66" s="60"/>
      <c r="B66" s="46"/>
      <c r="C66" s="46"/>
      <c r="D66" s="46"/>
      <c r="E66" s="48"/>
      <c r="F66" s="48"/>
      <c r="G66" s="49"/>
      <c r="H66" s="68"/>
      <c r="I66" s="296"/>
      <c r="J66" s="66"/>
      <c r="K66" s="210"/>
      <c r="L66" s="210"/>
      <c r="M66" s="295"/>
      <c r="N66" s="295"/>
      <c r="O66" s="55"/>
      <c r="P66" s="459"/>
      <c r="Q66" s="295"/>
      <c r="R66" s="72"/>
      <c r="S66" s="492"/>
      <c r="T66" s="295"/>
      <c r="U66" s="295"/>
      <c r="V66" s="459"/>
      <c r="W66" s="459"/>
      <c r="X66" s="66"/>
      <c r="Y66" s="57"/>
      <c r="Z66" s="6"/>
    </row>
    <row r="67" spans="1:26" s="11" customFormat="1" ht="19.5" customHeight="1">
      <c r="A67" s="60"/>
      <c r="B67" s="46"/>
      <c r="C67" s="46"/>
      <c r="D67" s="46"/>
      <c r="E67" s="48"/>
      <c r="F67" s="48"/>
      <c r="G67" s="49"/>
      <c r="H67" s="68"/>
      <c r="I67" s="357" t="s">
        <v>505</v>
      </c>
      <c r="J67" s="280"/>
      <c r="K67" s="500"/>
      <c r="L67" s="500"/>
      <c r="M67" s="277"/>
      <c r="N67" s="277"/>
      <c r="O67" s="363"/>
      <c r="P67" s="277"/>
      <c r="Q67" s="365"/>
      <c r="R67" s="498"/>
      <c r="S67" s="367"/>
      <c r="T67" s="336"/>
      <c r="U67" s="336"/>
      <c r="V67" s="497"/>
      <c r="W67" s="279"/>
      <c r="X67" s="280"/>
      <c r="Y67" s="303"/>
      <c r="Z67" s="6"/>
    </row>
    <row r="68" spans="1:26" s="11" customFormat="1" ht="19.5" customHeight="1">
      <c r="A68" s="60"/>
      <c r="B68" s="46"/>
      <c r="C68" s="46"/>
      <c r="D68" s="46"/>
      <c r="E68" s="48"/>
      <c r="F68" s="48"/>
      <c r="G68" s="49"/>
      <c r="H68" s="68"/>
      <c r="I68" s="282" t="s">
        <v>847</v>
      </c>
      <c r="J68" s="280"/>
      <c r="K68" s="500"/>
      <c r="L68" s="500"/>
      <c r="M68" s="277">
        <v>0</v>
      </c>
      <c r="N68" s="277" t="s">
        <v>25</v>
      </c>
      <c r="O68" s="363" t="s">
        <v>26</v>
      </c>
      <c r="P68" s="499">
        <v>0.5</v>
      </c>
      <c r="Q68" s="365"/>
      <c r="R68" s="498"/>
      <c r="S68" s="367"/>
      <c r="T68" s="336"/>
      <c r="U68" s="336"/>
      <c r="V68" s="497"/>
      <c r="W68" s="279" t="s">
        <v>27</v>
      </c>
      <c r="X68" s="280">
        <f>M68*P68</f>
        <v>0</v>
      </c>
      <c r="Y68" s="303" t="s">
        <v>364</v>
      </c>
      <c r="Z68" s="6"/>
    </row>
    <row r="69" spans="1:26" s="11" customFormat="1" ht="19.5" customHeight="1">
      <c r="A69" s="60"/>
      <c r="B69" s="46"/>
      <c r="C69" s="46"/>
      <c r="D69" s="59"/>
      <c r="E69" s="61"/>
      <c r="F69" s="61"/>
      <c r="G69" s="62"/>
      <c r="H69" s="82"/>
      <c r="I69" s="361"/>
      <c r="J69" s="70"/>
      <c r="K69" s="482"/>
      <c r="L69" s="482"/>
      <c r="M69" s="224"/>
      <c r="N69" s="224"/>
      <c r="O69" s="481"/>
      <c r="P69" s="224"/>
      <c r="Q69" s="125"/>
      <c r="R69" s="480"/>
      <c r="S69" s="489"/>
      <c r="T69" s="201"/>
      <c r="U69" s="201"/>
      <c r="V69" s="479"/>
      <c r="W69" s="361"/>
      <c r="X69" s="70"/>
      <c r="Y69" s="71"/>
      <c r="Z69" s="6"/>
    </row>
    <row r="70" spans="1:26" s="11" customFormat="1" ht="19.5" customHeight="1" thickBot="1">
      <c r="A70" s="60"/>
      <c r="B70" s="46"/>
      <c r="C70" s="46"/>
      <c r="D70" s="36" t="s">
        <v>473</v>
      </c>
      <c r="E70" s="37">
        <v>6280</v>
      </c>
      <c r="F70" s="237">
        <f>ROUND(X70/1000,0)</f>
        <v>6404</v>
      </c>
      <c r="G70" s="38">
        <f>F70-E70</f>
        <v>124</v>
      </c>
      <c r="H70" s="115">
        <f>IF(E70=0,0,G70/E70)</f>
        <v>1.9745222929936305E-2</v>
      </c>
      <c r="I70" s="243" t="s">
        <v>472</v>
      </c>
      <c r="J70" s="242"/>
      <c r="K70" s="247"/>
      <c r="L70" s="247"/>
      <c r="M70" s="86"/>
      <c r="N70" s="86"/>
      <c r="O70" s="238"/>
      <c r="P70" s="86"/>
      <c r="Q70" s="239"/>
      <c r="R70" s="240"/>
      <c r="S70" s="241"/>
      <c r="T70" s="246"/>
      <c r="U70" s="246"/>
      <c r="V70" s="244" t="s">
        <v>461</v>
      </c>
      <c r="W70" s="245"/>
      <c r="X70" s="245">
        <f>SUM(X71:X76)</f>
        <v>6404000</v>
      </c>
      <c r="Y70" s="268" t="s">
        <v>364</v>
      </c>
      <c r="Z70" s="6"/>
    </row>
    <row r="71" spans="1:26" s="11" customFormat="1" ht="19.5" customHeight="1">
      <c r="A71" s="60"/>
      <c r="B71" s="46"/>
      <c r="C71" s="46"/>
      <c r="D71" s="46" t="s">
        <v>471</v>
      </c>
      <c r="E71" s="48"/>
      <c r="F71" s="48"/>
      <c r="G71" s="49"/>
      <c r="H71" s="68"/>
      <c r="I71" s="65" t="s">
        <v>470</v>
      </c>
      <c r="J71" s="296"/>
      <c r="K71" s="295"/>
      <c r="L71" s="295"/>
      <c r="M71" s="295">
        <v>500</v>
      </c>
      <c r="N71" s="295" t="s">
        <v>364</v>
      </c>
      <c r="O71" s="296" t="s">
        <v>378</v>
      </c>
      <c r="P71" s="491">
        <v>52</v>
      </c>
      <c r="Q71" s="476">
        <v>365</v>
      </c>
      <c r="R71" s="295" t="s">
        <v>469</v>
      </c>
      <c r="S71" s="490">
        <v>0.3</v>
      </c>
      <c r="T71" s="295"/>
      <c r="U71" s="295" t="s">
        <v>377</v>
      </c>
      <c r="V71" s="295"/>
      <c r="W71" s="66"/>
      <c r="X71" s="66">
        <f>ROUND(M71*P71*Q71*S71,-3)</f>
        <v>2847000</v>
      </c>
      <c r="Y71" s="57" t="s">
        <v>25</v>
      </c>
      <c r="Z71" s="6"/>
    </row>
    <row r="72" spans="1:26" s="11" customFormat="1" ht="19.5" customHeight="1">
      <c r="A72" s="60"/>
      <c r="B72" s="46"/>
      <c r="C72" s="46"/>
      <c r="D72" s="46"/>
      <c r="E72" s="48"/>
      <c r="F72" s="48"/>
      <c r="G72" s="49"/>
      <c r="H72" s="68"/>
      <c r="I72" s="65" t="s">
        <v>468</v>
      </c>
      <c r="J72" s="296"/>
      <c r="K72" s="295"/>
      <c r="L72" s="295"/>
      <c r="M72" s="295">
        <v>5000</v>
      </c>
      <c r="N72" s="295" t="s">
        <v>364</v>
      </c>
      <c r="O72" s="296" t="s">
        <v>378</v>
      </c>
      <c r="P72" s="491">
        <v>52</v>
      </c>
      <c r="Q72" s="476">
        <v>12</v>
      </c>
      <c r="R72" s="295" t="s">
        <v>384</v>
      </c>
      <c r="S72" s="490">
        <v>0.3</v>
      </c>
      <c r="T72" s="295"/>
      <c r="U72" s="295" t="s">
        <v>377</v>
      </c>
      <c r="V72" s="295"/>
      <c r="W72" s="66"/>
      <c r="X72" s="66">
        <f>ROUNDUP(M72*P72*Q72*S72,-3)</f>
        <v>936000</v>
      </c>
      <c r="Y72" s="57" t="s">
        <v>25</v>
      </c>
      <c r="Z72" s="6"/>
    </row>
    <row r="73" spans="1:26" s="11" customFormat="1" ht="19.5" customHeight="1">
      <c r="A73" s="60"/>
      <c r="B73" s="46"/>
      <c r="C73" s="46"/>
      <c r="D73" s="46"/>
      <c r="E73" s="48"/>
      <c r="F73" s="48"/>
      <c r="G73" s="49"/>
      <c r="H73" s="68"/>
      <c r="I73" s="65" t="s">
        <v>467</v>
      </c>
      <c r="J73" s="296"/>
      <c r="K73" s="295"/>
      <c r="L73" s="295"/>
      <c r="M73" s="295">
        <v>20000</v>
      </c>
      <c r="N73" s="295" t="s">
        <v>364</v>
      </c>
      <c r="O73" s="296" t="s">
        <v>378</v>
      </c>
      <c r="P73" s="491">
        <v>52</v>
      </c>
      <c r="Q73" s="476">
        <v>4</v>
      </c>
      <c r="R73" s="295" t="s">
        <v>380</v>
      </c>
      <c r="S73" s="490">
        <v>0.3</v>
      </c>
      <c r="T73" s="295"/>
      <c r="U73" s="295" t="s">
        <v>377</v>
      </c>
      <c r="V73" s="295"/>
      <c r="W73" s="66"/>
      <c r="X73" s="66">
        <f>ROUNDUP(M73*P73*Q73*S73,-3)</f>
        <v>1248000</v>
      </c>
      <c r="Y73" s="57" t="s">
        <v>25</v>
      </c>
      <c r="Z73" s="6"/>
    </row>
    <row r="74" spans="1:26" s="11" customFormat="1" ht="19.5" customHeight="1">
      <c r="A74" s="60"/>
      <c r="B74" s="46"/>
      <c r="C74" s="46"/>
      <c r="D74" s="46"/>
      <c r="E74" s="48"/>
      <c r="F74" s="48"/>
      <c r="G74" s="49"/>
      <c r="H74" s="68"/>
      <c r="I74" s="65" t="s">
        <v>466</v>
      </c>
      <c r="J74" s="296"/>
      <c r="K74" s="295"/>
      <c r="L74" s="295"/>
      <c r="M74" s="295">
        <v>12000</v>
      </c>
      <c r="N74" s="295" t="s">
        <v>364</v>
      </c>
      <c r="O74" s="296" t="s">
        <v>378</v>
      </c>
      <c r="P74" s="491">
        <v>52</v>
      </c>
      <c r="Q74" s="476">
        <v>4</v>
      </c>
      <c r="R74" s="295" t="s">
        <v>380</v>
      </c>
      <c r="S74" s="490">
        <v>0.3</v>
      </c>
      <c r="T74" s="295"/>
      <c r="U74" s="295" t="s">
        <v>377</v>
      </c>
      <c r="V74" s="295"/>
      <c r="W74" s="66"/>
      <c r="X74" s="66">
        <f>ROUND(M74*P74*Q74*S74,-3)</f>
        <v>749000</v>
      </c>
      <c r="Y74" s="57" t="s">
        <v>25</v>
      </c>
      <c r="Z74" s="6"/>
    </row>
    <row r="75" spans="1:26" s="11" customFormat="1" ht="19.5" customHeight="1">
      <c r="A75" s="60"/>
      <c r="B75" s="46"/>
      <c r="C75" s="46"/>
      <c r="D75" s="46"/>
      <c r="E75" s="48"/>
      <c r="F75" s="48"/>
      <c r="G75" s="49"/>
      <c r="H75" s="68"/>
      <c r="I75" s="65" t="s">
        <v>465</v>
      </c>
      <c r="J75" s="296"/>
      <c r="K75" s="295"/>
      <c r="L75" s="295"/>
      <c r="M75" s="295"/>
      <c r="N75" s="295"/>
      <c r="O75" s="296"/>
      <c r="P75" s="491"/>
      <c r="Q75" s="476"/>
      <c r="R75" s="295"/>
      <c r="S75" s="295"/>
      <c r="T75" s="295"/>
      <c r="U75" s="295"/>
      <c r="V75" s="295"/>
      <c r="W75" s="66"/>
      <c r="X75" s="66"/>
      <c r="Y75" s="57"/>
      <c r="Z75" s="6"/>
    </row>
    <row r="76" spans="1:26" s="11" customFormat="1" ht="19.5" customHeight="1">
      <c r="A76" s="60"/>
      <c r="B76" s="46"/>
      <c r="C76" s="46"/>
      <c r="D76" s="46"/>
      <c r="E76" s="48"/>
      <c r="F76" s="48"/>
      <c r="G76" s="49"/>
      <c r="H76" s="68"/>
      <c r="I76" s="65" t="s">
        <v>464</v>
      </c>
      <c r="J76" s="296"/>
      <c r="K76" s="295"/>
      <c r="L76" s="295"/>
      <c r="M76" s="295">
        <v>40000</v>
      </c>
      <c r="N76" s="295" t="s">
        <v>364</v>
      </c>
      <c r="O76" s="296" t="s">
        <v>378</v>
      </c>
      <c r="P76" s="491">
        <v>52</v>
      </c>
      <c r="Q76" s="476">
        <v>1</v>
      </c>
      <c r="R76" s="295" t="s">
        <v>380</v>
      </c>
      <c r="S76" s="490">
        <v>0.3</v>
      </c>
      <c r="T76" s="295"/>
      <c r="U76" s="295" t="s">
        <v>377</v>
      </c>
      <c r="V76" s="295"/>
      <c r="W76" s="66"/>
      <c r="X76" s="66">
        <f>ROUND(M76*P76*Q76*S76,-3)</f>
        <v>624000</v>
      </c>
      <c r="Y76" s="57" t="s">
        <v>25</v>
      </c>
      <c r="Z76" s="6"/>
    </row>
    <row r="77" spans="1:26" s="11" customFormat="1" ht="19.5" customHeight="1">
      <c r="A77" s="60"/>
      <c r="B77" s="46"/>
      <c r="C77" s="46"/>
      <c r="D77" s="59"/>
      <c r="E77" s="61"/>
      <c r="F77" s="61"/>
      <c r="G77" s="62"/>
      <c r="H77" s="82"/>
      <c r="I77" s="361"/>
      <c r="J77" s="70"/>
      <c r="K77" s="482"/>
      <c r="L77" s="482"/>
      <c r="M77" s="224"/>
      <c r="N77" s="224"/>
      <c r="O77" s="481"/>
      <c r="P77" s="224"/>
      <c r="Q77" s="125"/>
      <c r="R77" s="480"/>
      <c r="S77" s="489"/>
      <c r="T77" s="201"/>
      <c r="U77" s="201"/>
      <c r="V77" s="479"/>
      <c r="W77" s="361"/>
      <c r="X77" s="70"/>
      <c r="Y77" s="71"/>
      <c r="Z77" s="6"/>
    </row>
    <row r="78" spans="1:26" s="11" customFormat="1" ht="19.5" customHeight="1" thickBot="1">
      <c r="A78" s="60"/>
      <c r="B78" s="46"/>
      <c r="C78" s="46"/>
      <c r="D78" s="36" t="s">
        <v>463</v>
      </c>
      <c r="E78" s="37">
        <v>12074</v>
      </c>
      <c r="F78" s="237">
        <f>ROUND(X78/1000,0)</f>
        <v>13275</v>
      </c>
      <c r="G78" s="38">
        <f>F78-E78</f>
        <v>1201</v>
      </c>
      <c r="H78" s="115">
        <f>IF(E78=0,0,G78/E78)</f>
        <v>9.9469935398376674E-2</v>
      </c>
      <c r="I78" s="243" t="s">
        <v>462</v>
      </c>
      <c r="J78" s="242"/>
      <c r="K78" s="247"/>
      <c r="L78" s="247"/>
      <c r="M78" s="86"/>
      <c r="N78" s="86"/>
      <c r="O78" s="238"/>
      <c r="P78" s="86"/>
      <c r="Q78" s="239"/>
      <c r="R78" s="240"/>
      <c r="S78" s="241"/>
      <c r="T78" s="246"/>
      <c r="U78" s="246"/>
      <c r="V78" s="244" t="s">
        <v>461</v>
      </c>
      <c r="W78" s="245"/>
      <c r="X78" s="245">
        <f>X79+X97</f>
        <v>13275000</v>
      </c>
      <c r="Y78" s="268" t="s">
        <v>364</v>
      </c>
      <c r="Z78" s="6"/>
    </row>
    <row r="79" spans="1:26" s="11" customFormat="1" ht="19.5" customHeight="1">
      <c r="A79" s="60"/>
      <c r="B79" s="46"/>
      <c r="C79" s="46"/>
      <c r="D79" s="46" t="s">
        <v>460</v>
      </c>
      <c r="E79" s="48"/>
      <c r="F79" s="48"/>
      <c r="G79" s="49"/>
      <c r="H79" s="68"/>
      <c r="I79" s="488" t="s">
        <v>459</v>
      </c>
      <c r="J79" s="66"/>
      <c r="K79" s="210"/>
      <c r="L79" s="210"/>
      <c r="M79" s="295"/>
      <c r="N79" s="295"/>
      <c r="O79" s="208"/>
      <c r="P79" s="295"/>
      <c r="Q79" s="54"/>
      <c r="R79" s="478"/>
      <c r="S79" s="56"/>
      <c r="T79" s="459"/>
      <c r="U79" s="459"/>
      <c r="V79" s="224" t="s">
        <v>458</v>
      </c>
      <c r="W79" s="70"/>
      <c r="X79" s="224">
        <f>SUM(X80,X84,X88,X90)</f>
        <v>11155000</v>
      </c>
      <c r="Y79" s="71" t="s">
        <v>25</v>
      </c>
      <c r="Z79" s="6"/>
    </row>
    <row r="80" spans="1:26" s="11" customFormat="1" ht="19.5" customHeight="1">
      <c r="A80" s="60"/>
      <c r="B80" s="46"/>
      <c r="C80" s="46"/>
      <c r="D80" s="46"/>
      <c r="E80" s="48"/>
      <c r="F80" s="48"/>
      <c r="G80" s="49"/>
      <c r="H80" s="68"/>
      <c r="I80" s="69" t="s">
        <v>457</v>
      </c>
      <c r="J80" s="296"/>
      <c r="K80" s="295"/>
      <c r="L80" s="295"/>
      <c r="M80" s="295"/>
      <c r="N80" s="295"/>
      <c r="O80" s="72"/>
      <c r="P80" s="75"/>
      <c r="Q80" s="295"/>
      <c r="R80" s="295"/>
      <c r="S80" s="295"/>
      <c r="T80" s="295"/>
      <c r="U80" s="295"/>
      <c r="V80" s="224" t="s">
        <v>365</v>
      </c>
      <c r="W80" s="70"/>
      <c r="X80" s="224">
        <f>SUM(X81:X83)</f>
        <v>6857000</v>
      </c>
      <c r="Y80" s="71" t="s">
        <v>25</v>
      </c>
      <c r="Z80" s="6"/>
    </row>
    <row r="81" spans="1:26" s="11" customFormat="1" ht="19.5" customHeight="1">
      <c r="A81" s="60"/>
      <c r="B81" s="46"/>
      <c r="C81" s="46"/>
      <c r="D81" s="46"/>
      <c r="E81" s="48"/>
      <c r="F81" s="48"/>
      <c r="G81" s="49"/>
      <c r="H81" s="68"/>
      <c r="I81" s="288" t="s">
        <v>456</v>
      </c>
      <c r="J81" s="296"/>
      <c r="K81" s="295"/>
      <c r="L81" s="295"/>
      <c r="M81" s="295">
        <v>23612000</v>
      </c>
      <c r="N81" s="295" t="s">
        <v>364</v>
      </c>
      <c r="O81" s="72" t="s">
        <v>378</v>
      </c>
      <c r="P81" s="75">
        <v>0.1</v>
      </c>
      <c r="Q81" s="295"/>
      <c r="R81" s="295"/>
      <c r="S81" s="295"/>
      <c r="T81" s="295"/>
      <c r="U81" s="295" t="s">
        <v>377</v>
      </c>
      <c r="V81" s="86"/>
      <c r="W81" s="242"/>
      <c r="X81" s="86">
        <f>ROUND(M81*P81,-3)</f>
        <v>2361000</v>
      </c>
      <c r="Y81" s="487" t="s">
        <v>364</v>
      </c>
      <c r="Z81" s="6"/>
    </row>
    <row r="82" spans="1:26" s="11" customFormat="1" ht="19.5" customHeight="1">
      <c r="A82" s="60"/>
      <c r="B82" s="46"/>
      <c r="C82" s="46"/>
      <c r="D82" s="46"/>
      <c r="E82" s="48"/>
      <c r="F82" s="48"/>
      <c r="G82" s="49"/>
      <c r="H82" s="68"/>
      <c r="I82" s="285" t="s">
        <v>455</v>
      </c>
      <c r="J82" s="296"/>
      <c r="K82" s="295"/>
      <c r="L82" s="295"/>
      <c r="M82" s="295">
        <v>23907000</v>
      </c>
      <c r="N82" s="295" t="s">
        <v>364</v>
      </c>
      <c r="O82" s="72" t="s">
        <v>378</v>
      </c>
      <c r="P82" s="75">
        <v>0.1</v>
      </c>
      <c r="Q82" s="295"/>
      <c r="R82" s="295"/>
      <c r="S82" s="295"/>
      <c r="T82" s="295"/>
      <c r="U82" s="295" t="s">
        <v>377</v>
      </c>
      <c r="V82" s="295"/>
      <c r="W82" s="66"/>
      <c r="X82" s="295">
        <f>ROUND(M82*P82,-3)</f>
        <v>2391000</v>
      </c>
      <c r="Y82" s="57" t="s">
        <v>364</v>
      </c>
      <c r="Z82" s="6"/>
    </row>
    <row r="83" spans="1:26" s="11" customFormat="1" ht="19.5" customHeight="1">
      <c r="A83" s="60"/>
      <c r="B83" s="46"/>
      <c r="C83" s="46"/>
      <c r="D83" s="46"/>
      <c r="E83" s="48"/>
      <c r="F83" s="48"/>
      <c r="G83" s="49"/>
      <c r="H83" s="68"/>
      <c r="I83" s="285" t="s">
        <v>454</v>
      </c>
      <c r="J83" s="296"/>
      <c r="K83" s="295"/>
      <c r="L83" s="295"/>
      <c r="M83" s="295">
        <v>21052000</v>
      </c>
      <c r="N83" s="295" t="s">
        <v>364</v>
      </c>
      <c r="O83" s="72" t="s">
        <v>378</v>
      </c>
      <c r="P83" s="75">
        <v>0.1</v>
      </c>
      <c r="Q83" s="295"/>
      <c r="R83" s="295"/>
      <c r="S83" s="295"/>
      <c r="T83" s="295"/>
      <c r="U83" s="295" t="s">
        <v>377</v>
      </c>
      <c r="V83" s="295"/>
      <c r="W83" s="66"/>
      <c r="X83" s="295">
        <f>ROUND(M83*P83,-3)</f>
        <v>2105000</v>
      </c>
      <c r="Y83" s="57" t="s">
        <v>364</v>
      </c>
      <c r="Z83" s="6"/>
    </row>
    <row r="84" spans="1:26" s="11" customFormat="1" ht="19.5" customHeight="1">
      <c r="A84" s="60"/>
      <c r="B84" s="46"/>
      <c r="C84" s="46"/>
      <c r="D84" s="46"/>
      <c r="E84" s="48"/>
      <c r="F84" s="48"/>
      <c r="G84" s="49"/>
      <c r="H84" s="68"/>
      <c r="I84" s="69" t="s">
        <v>453</v>
      </c>
      <c r="J84" s="296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24" t="s">
        <v>365</v>
      </c>
      <c r="W84" s="70"/>
      <c r="X84" s="224">
        <f>SUM(X85:X87)</f>
        <v>2601000</v>
      </c>
      <c r="Y84" s="71" t="s">
        <v>25</v>
      </c>
      <c r="Z84" s="6"/>
    </row>
    <row r="85" spans="1:26" s="11" customFormat="1" ht="19.5" customHeight="1">
      <c r="A85" s="60"/>
      <c r="B85" s="46"/>
      <c r="C85" s="46"/>
      <c r="D85" s="46"/>
      <c r="E85" s="48"/>
      <c r="F85" s="48"/>
      <c r="G85" s="49"/>
      <c r="H85" s="68"/>
      <c r="I85" s="285" t="s">
        <v>452</v>
      </c>
      <c r="J85" s="296"/>
      <c r="K85" s="295"/>
      <c r="L85" s="295"/>
      <c r="M85" s="295">
        <v>6843000</v>
      </c>
      <c r="N85" s="295" t="s">
        <v>364</v>
      </c>
      <c r="O85" s="72" t="s">
        <v>378</v>
      </c>
      <c r="P85" s="75">
        <v>0.1</v>
      </c>
      <c r="Q85" s="295"/>
      <c r="R85" s="295"/>
      <c r="S85" s="295"/>
      <c r="T85" s="295"/>
      <c r="U85" s="295" t="s">
        <v>377</v>
      </c>
      <c r="V85" s="695"/>
      <c r="W85" s="695"/>
      <c r="X85" s="242">
        <f>ROUND(M85*P85,-3)</f>
        <v>684000</v>
      </c>
      <c r="Y85" s="487" t="s">
        <v>364</v>
      </c>
      <c r="Z85" s="6"/>
    </row>
    <row r="86" spans="1:26" s="11" customFormat="1" ht="19.5" customHeight="1">
      <c r="A86" s="60"/>
      <c r="B86" s="46"/>
      <c r="C86" s="46"/>
      <c r="D86" s="46"/>
      <c r="E86" s="48"/>
      <c r="F86" s="48"/>
      <c r="G86" s="49"/>
      <c r="H86" s="68"/>
      <c r="I86" s="282" t="s">
        <v>451</v>
      </c>
      <c r="J86" s="296"/>
      <c r="K86" s="295"/>
      <c r="L86" s="295"/>
      <c r="M86" s="295">
        <v>2880000</v>
      </c>
      <c r="N86" s="295" t="s">
        <v>364</v>
      </c>
      <c r="O86" s="72" t="s">
        <v>378</v>
      </c>
      <c r="P86" s="75">
        <v>0.1</v>
      </c>
      <c r="Q86" s="295"/>
      <c r="R86" s="295"/>
      <c r="S86" s="295"/>
      <c r="T86" s="295"/>
      <c r="U86" s="295" t="s">
        <v>377</v>
      </c>
      <c r="V86" s="694"/>
      <c r="W86" s="694"/>
      <c r="X86" s="66">
        <f>ROUND(M86*P86,-3)</f>
        <v>288000</v>
      </c>
      <c r="Y86" s="57" t="s">
        <v>364</v>
      </c>
      <c r="Z86" s="6"/>
    </row>
    <row r="87" spans="1:26" s="11" customFormat="1" ht="19.5" customHeight="1">
      <c r="A87" s="60"/>
      <c r="B87" s="46"/>
      <c r="C87" s="46"/>
      <c r="D87" s="46"/>
      <c r="E87" s="48"/>
      <c r="F87" s="48"/>
      <c r="G87" s="49"/>
      <c r="H87" s="68"/>
      <c r="I87" s="285" t="s">
        <v>450</v>
      </c>
      <c r="J87" s="296"/>
      <c r="K87" s="295"/>
      <c r="L87" s="295"/>
      <c r="M87" s="295">
        <v>16291000</v>
      </c>
      <c r="N87" s="295" t="s">
        <v>364</v>
      </c>
      <c r="O87" s="72" t="s">
        <v>378</v>
      </c>
      <c r="P87" s="75">
        <v>0.1</v>
      </c>
      <c r="Q87" s="295"/>
      <c r="R87" s="295"/>
      <c r="S87" s="295"/>
      <c r="T87" s="295"/>
      <c r="U87" s="295" t="s">
        <v>377</v>
      </c>
      <c r="V87" s="694"/>
      <c r="W87" s="694"/>
      <c r="X87" s="66">
        <f>ROUND(M87*P87,-3)</f>
        <v>1629000</v>
      </c>
      <c r="Y87" s="57" t="s">
        <v>364</v>
      </c>
      <c r="Z87" s="6"/>
    </row>
    <row r="88" spans="1:26" s="11" customFormat="1" ht="19.5" customHeight="1">
      <c r="A88" s="60"/>
      <c r="B88" s="46"/>
      <c r="C88" s="46"/>
      <c r="D88" s="46"/>
      <c r="E88" s="48"/>
      <c r="F88" s="48"/>
      <c r="G88" s="49"/>
      <c r="H88" s="68"/>
      <c r="I88" s="69" t="s">
        <v>449</v>
      </c>
      <c r="J88" s="296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24" t="s">
        <v>365</v>
      </c>
      <c r="W88" s="70"/>
      <c r="X88" s="224">
        <f>X89</f>
        <v>788000</v>
      </c>
      <c r="Y88" s="71" t="s">
        <v>25</v>
      </c>
      <c r="Z88" s="6"/>
    </row>
    <row r="89" spans="1:26" s="11" customFormat="1" ht="19.5" customHeight="1">
      <c r="A89" s="60"/>
      <c r="B89" s="46"/>
      <c r="C89" s="46"/>
      <c r="D89" s="46"/>
      <c r="E89" s="48"/>
      <c r="F89" s="48"/>
      <c r="G89" s="49"/>
      <c r="H89" s="68"/>
      <c r="I89" s="285" t="s">
        <v>448</v>
      </c>
      <c r="J89" s="296"/>
      <c r="K89" s="295"/>
      <c r="L89" s="295"/>
      <c r="M89" s="295">
        <f>SUM(M80:M87)</f>
        <v>94585000</v>
      </c>
      <c r="N89" s="54" t="s">
        <v>364</v>
      </c>
      <c r="O89" s="459" t="s">
        <v>385</v>
      </c>
      <c r="P89" s="486">
        <v>12</v>
      </c>
      <c r="Q89" s="208" t="s">
        <v>384</v>
      </c>
      <c r="R89" s="72" t="s">
        <v>378</v>
      </c>
      <c r="S89" s="75">
        <v>0.1</v>
      </c>
      <c r="T89" s="295"/>
      <c r="U89" s="295" t="s">
        <v>377</v>
      </c>
      <c r="V89" s="86"/>
      <c r="W89" s="86"/>
      <c r="X89" s="242">
        <f>ROUNDDOWN(M89/P89*S89,-3)</f>
        <v>788000</v>
      </c>
      <c r="Y89" s="485" t="s">
        <v>364</v>
      </c>
      <c r="Z89" s="6"/>
    </row>
    <row r="90" spans="1:26" s="11" customFormat="1" ht="19.5" customHeight="1">
      <c r="A90" s="60"/>
      <c r="B90" s="46"/>
      <c r="C90" s="46"/>
      <c r="D90" s="46"/>
      <c r="E90" s="48"/>
      <c r="F90" s="48"/>
      <c r="G90" s="49"/>
      <c r="H90" s="68"/>
      <c r="I90" s="69" t="s">
        <v>504</v>
      </c>
      <c r="J90" s="296"/>
      <c r="K90" s="295"/>
      <c r="L90" s="295"/>
      <c r="M90" s="295"/>
      <c r="N90" s="54"/>
      <c r="O90" s="295"/>
      <c r="P90" s="295"/>
      <c r="Q90" s="295"/>
      <c r="R90" s="295"/>
      <c r="S90" s="295"/>
      <c r="T90" s="295"/>
      <c r="U90" s="295"/>
      <c r="V90" s="224" t="s">
        <v>365</v>
      </c>
      <c r="W90" s="70"/>
      <c r="X90" s="224">
        <f>SUM(X91:X95)</f>
        <v>909000</v>
      </c>
      <c r="Y90" s="71" t="s">
        <v>25</v>
      </c>
      <c r="Z90" s="6"/>
    </row>
    <row r="91" spans="1:26" s="11" customFormat="1" ht="19.5" customHeight="1">
      <c r="A91" s="60"/>
      <c r="B91" s="46"/>
      <c r="C91" s="46"/>
      <c r="D91" s="46"/>
      <c r="E91" s="48"/>
      <c r="F91" s="48"/>
      <c r="G91" s="49"/>
      <c r="H91" s="68"/>
      <c r="I91" s="285" t="s">
        <v>482</v>
      </c>
      <c r="J91" s="296"/>
      <c r="K91" s="295"/>
      <c r="L91" s="295"/>
      <c r="M91" s="295">
        <f>M89</f>
        <v>94585000</v>
      </c>
      <c r="N91" s="54" t="s">
        <v>364</v>
      </c>
      <c r="O91" s="72" t="s">
        <v>378</v>
      </c>
      <c r="P91" s="474">
        <v>0.09</v>
      </c>
      <c r="Q91" s="459">
        <v>2</v>
      </c>
      <c r="R91" s="72" t="s">
        <v>378</v>
      </c>
      <c r="S91" s="75">
        <v>0.1</v>
      </c>
      <c r="T91" s="74"/>
      <c r="U91" s="459" t="s">
        <v>377</v>
      </c>
      <c r="V91" s="295"/>
      <c r="W91" s="66"/>
      <c r="X91" s="66">
        <f>ROUNDUP(M91*P91/Q91*S91,-3)</f>
        <v>426000</v>
      </c>
      <c r="Y91" s="57" t="s">
        <v>364</v>
      </c>
      <c r="Z91" s="6"/>
    </row>
    <row r="92" spans="1:26" s="11" customFormat="1" ht="19.5" customHeight="1">
      <c r="A92" s="60"/>
      <c r="B92" s="46"/>
      <c r="C92" s="46"/>
      <c r="D92" s="46"/>
      <c r="E92" s="48"/>
      <c r="F92" s="48"/>
      <c r="G92" s="49"/>
      <c r="H92" s="68"/>
      <c r="I92" s="285" t="s">
        <v>481</v>
      </c>
      <c r="J92" s="296"/>
      <c r="K92" s="295"/>
      <c r="L92" s="295"/>
      <c r="M92" s="295">
        <f>M89</f>
        <v>94585000</v>
      </c>
      <c r="N92" s="54" t="s">
        <v>364</v>
      </c>
      <c r="O92" s="72" t="s">
        <v>378</v>
      </c>
      <c r="P92" s="473">
        <v>6.4600000000000005E-2</v>
      </c>
      <c r="Q92" s="459">
        <v>2</v>
      </c>
      <c r="R92" s="72" t="s">
        <v>378</v>
      </c>
      <c r="S92" s="75">
        <v>0.1</v>
      </c>
      <c r="T92" s="74"/>
      <c r="U92" s="459" t="s">
        <v>377</v>
      </c>
      <c r="V92" s="295"/>
      <c r="W92" s="66"/>
      <c r="X92" s="66">
        <f>ROUND(M92*P92/Q92*S92,-3)</f>
        <v>306000</v>
      </c>
      <c r="Y92" s="57" t="s">
        <v>364</v>
      </c>
      <c r="Z92" s="6"/>
    </row>
    <row r="93" spans="1:26" s="11" customFormat="1" ht="19.5" customHeight="1">
      <c r="A93" s="60"/>
      <c r="B93" s="46"/>
      <c r="C93" s="46"/>
      <c r="D93" s="46"/>
      <c r="E93" s="48"/>
      <c r="F93" s="48"/>
      <c r="G93" s="49"/>
      <c r="H93" s="68"/>
      <c r="I93" s="285" t="s">
        <v>480</v>
      </c>
      <c r="J93" s="296"/>
      <c r="K93" s="295"/>
      <c r="L93" s="295"/>
      <c r="M93" s="295">
        <f>X92</f>
        <v>306000</v>
      </c>
      <c r="N93" s="54" t="s">
        <v>364</v>
      </c>
      <c r="O93" s="72" t="s">
        <v>378</v>
      </c>
      <c r="P93" s="76">
        <v>8.5099999999999995E-2</v>
      </c>
      <c r="Q93" s="472"/>
      <c r="R93" s="72"/>
      <c r="S93" s="75"/>
      <c r="T93" s="471"/>
      <c r="U93" s="459" t="s">
        <v>377</v>
      </c>
      <c r="V93" s="295"/>
      <c r="W93" s="66"/>
      <c r="X93" s="66">
        <f>ROUNDDOWN(M93*P93,-3)</f>
        <v>26000</v>
      </c>
      <c r="Y93" s="57" t="s">
        <v>364</v>
      </c>
      <c r="Z93" s="6"/>
    </row>
    <row r="94" spans="1:26" s="11" customFormat="1" ht="19.5" customHeight="1">
      <c r="A94" s="60"/>
      <c r="B94" s="46"/>
      <c r="C94" s="46"/>
      <c r="D94" s="46"/>
      <c r="E94" s="48"/>
      <c r="F94" s="48"/>
      <c r="G94" s="49"/>
      <c r="H94" s="68"/>
      <c r="I94" s="285" t="s">
        <v>479</v>
      </c>
      <c r="J94" s="296"/>
      <c r="K94" s="295"/>
      <c r="L94" s="295"/>
      <c r="M94" s="295">
        <f>M89</f>
        <v>94585000</v>
      </c>
      <c r="N94" s="54" t="s">
        <v>364</v>
      </c>
      <c r="O94" s="72" t="s">
        <v>378</v>
      </c>
      <c r="P94" s="76">
        <v>8.9999999999999993E-3</v>
      </c>
      <c r="Q94" s="72"/>
      <c r="R94" s="72" t="s">
        <v>378</v>
      </c>
      <c r="S94" s="75">
        <v>0.1</v>
      </c>
      <c r="T94" s="74"/>
      <c r="U94" s="459" t="s">
        <v>377</v>
      </c>
      <c r="V94" s="295"/>
      <c r="W94" s="66"/>
      <c r="X94" s="66">
        <f>ROUND(M94*P94*S94,-3)</f>
        <v>85000</v>
      </c>
      <c r="Y94" s="57" t="s">
        <v>364</v>
      </c>
      <c r="Z94" s="6"/>
    </row>
    <row r="95" spans="1:26" s="11" customFormat="1" ht="19.5" customHeight="1">
      <c r="A95" s="60"/>
      <c r="B95" s="46"/>
      <c r="C95" s="46"/>
      <c r="D95" s="46"/>
      <c r="E95" s="48"/>
      <c r="F95" s="48"/>
      <c r="G95" s="49"/>
      <c r="H95" s="68"/>
      <c r="I95" s="285" t="s">
        <v>478</v>
      </c>
      <c r="J95" s="296"/>
      <c r="K95" s="295"/>
      <c r="L95" s="295"/>
      <c r="M95" s="295">
        <f>M89</f>
        <v>94585000</v>
      </c>
      <c r="N95" s="54" t="s">
        <v>364</v>
      </c>
      <c r="O95" s="72" t="s">
        <v>378</v>
      </c>
      <c r="P95" s="470">
        <v>6.9300000000000004E-3</v>
      </c>
      <c r="Q95" s="72"/>
      <c r="R95" s="72" t="s">
        <v>378</v>
      </c>
      <c r="S95" s="75">
        <v>0.1</v>
      </c>
      <c r="T95" s="74"/>
      <c r="U95" s="459" t="s">
        <v>377</v>
      </c>
      <c r="V95" s="295"/>
      <c r="W95" s="66"/>
      <c r="X95" s="66">
        <f>ROUND(M95*P95*S95,-3)</f>
        <v>66000</v>
      </c>
      <c r="Y95" s="57" t="s">
        <v>364</v>
      </c>
      <c r="Z95" s="6"/>
    </row>
    <row r="96" spans="1:26" s="11" customFormat="1" ht="19.5" customHeight="1">
      <c r="A96" s="60"/>
      <c r="B96" s="46"/>
      <c r="C96" s="46"/>
      <c r="D96" s="46"/>
      <c r="E96" s="48"/>
      <c r="F96" s="48"/>
      <c r="G96" s="49"/>
      <c r="H96" s="68"/>
      <c r="I96" s="65"/>
      <c r="J96" s="66"/>
      <c r="K96" s="210"/>
      <c r="L96" s="210"/>
      <c r="M96" s="295"/>
      <c r="N96" s="295"/>
      <c r="O96" s="208"/>
      <c r="P96" s="295"/>
      <c r="Q96" s="54"/>
      <c r="R96" s="478"/>
      <c r="S96" s="56"/>
      <c r="T96" s="459"/>
      <c r="U96" s="459"/>
      <c r="V96" s="75"/>
      <c r="W96" s="296"/>
      <c r="X96" s="66"/>
      <c r="Y96" s="57"/>
      <c r="Z96" s="6"/>
    </row>
    <row r="97" spans="1:26" s="11" customFormat="1" ht="19.5" customHeight="1">
      <c r="A97" s="60"/>
      <c r="B97" s="46"/>
      <c r="C97" s="46"/>
      <c r="D97" s="46"/>
      <c r="E97" s="48"/>
      <c r="F97" s="48"/>
      <c r="G97" s="49"/>
      <c r="H97" s="68"/>
      <c r="I97" s="69" t="s">
        <v>503</v>
      </c>
      <c r="J97" s="66"/>
      <c r="K97" s="210"/>
      <c r="L97" s="210"/>
      <c r="M97" s="295"/>
      <c r="N97" s="295"/>
      <c r="O97" s="208"/>
      <c r="P97" s="295"/>
      <c r="Q97" s="54"/>
      <c r="R97" s="478"/>
      <c r="S97" s="56"/>
      <c r="T97" s="459"/>
      <c r="U97" s="459"/>
      <c r="V97" s="224" t="s">
        <v>458</v>
      </c>
      <c r="W97" s="70"/>
      <c r="X97" s="224">
        <f>SUM(X98:X100)</f>
        <v>2120000</v>
      </c>
      <c r="Y97" s="71" t="s">
        <v>25</v>
      </c>
      <c r="Z97" s="6"/>
    </row>
    <row r="98" spans="1:26" s="11" customFormat="1" ht="19.5" customHeight="1">
      <c r="A98" s="60"/>
      <c r="B98" s="46"/>
      <c r="C98" s="46"/>
      <c r="D98" s="46"/>
      <c r="E98" s="48"/>
      <c r="F98" s="48"/>
      <c r="G98" s="49"/>
      <c r="H98" s="68"/>
      <c r="I98" s="285" t="s">
        <v>609</v>
      </c>
      <c r="J98" s="557"/>
      <c r="K98" s="556"/>
      <c r="L98" s="556"/>
      <c r="M98" s="518">
        <v>300000</v>
      </c>
      <c r="N98" s="392" t="s">
        <v>588</v>
      </c>
      <c r="O98" s="392" t="s">
        <v>592</v>
      </c>
      <c r="P98" s="559">
        <v>1</v>
      </c>
      <c r="Q98" s="483">
        <v>12</v>
      </c>
      <c r="R98" s="392" t="s">
        <v>590</v>
      </c>
      <c r="S98" s="520">
        <v>0.1</v>
      </c>
      <c r="T98" s="392"/>
      <c r="U98" s="392" t="s">
        <v>591</v>
      </c>
      <c r="V98" s="556"/>
      <c r="W98" s="130"/>
      <c r="X98" s="556">
        <f>M98*P98*Q98*S98</f>
        <v>360000</v>
      </c>
      <c r="Y98" s="131" t="s">
        <v>588</v>
      </c>
      <c r="Z98" s="6"/>
    </row>
    <row r="99" spans="1:26" s="11" customFormat="1" ht="19.5" customHeight="1">
      <c r="A99" s="60"/>
      <c r="B99" s="46"/>
      <c r="C99" s="46"/>
      <c r="D99" s="46"/>
      <c r="E99" s="48"/>
      <c r="F99" s="48"/>
      <c r="G99" s="49"/>
      <c r="H99" s="68"/>
      <c r="I99" s="285" t="s">
        <v>502</v>
      </c>
      <c r="J99" s="296"/>
      <c r="K99" s="295"/>
      <c r="L99" s="295"/>
      <c r="M99" s="477">
        <v>5000000</v>
      </c>
      <c r="N99" s="67" t="s">
        <v>364</v>
      </c>
      <c r="O99" s="67" t="s">
        <v>378</v>
      </c>
      <c r="P99" s="75">
        <v>0.1</v>
      </c>
      <c r="Q99" s="476"/>
      <c r="R99" s="67"/>
      <c r="S99" s="475"/>
      <c r="T99" s="67"/>
      <c r="U99" s="67" t="s">
        <v>377</v>
      </c>
      <c r="V99" s="295"/>
      <c r="W99" s="66"/>
      <c r="X99" s="295">
        <f>M99*P99</f>
        <v>500000</v>
      </c>
      <c r="Y99" s="57" t="s">
        <v>364</v>
      </c>
      <c r="Z99" s="6"/>
    </row>
    <row r="100" spans="1:26" s="11" customFormat="1" ht="19.5" customHeight="1">
      <c r="A100" s="60"/>
      <c r="B100" s="46"/>
      <c r="C100" s="46"/>
      <c r="D100" s="46"/>
      <c r="E100" s="48"/>
      <c r="F100" s="48"/>
      <c r="G100" s="49"/>
      <c r="H100" s="68"/>
      <c r="I100" s="285" t="s">
        <v>501</v>
      </c>
      <c r="J100" s="296"/>
      <c r="K100" s="295"/>
      <c r="L100" s="295"/>
      <c r="M100" s="477">
        <v>70000</v>
      </c>
      <c r="N100" s="67" t="s">
        <v>364</v>
      </c>
      <c r="O100" s="67" t="s">
        <v>378</v>
      </c>
      <c r="P100" s="484">
        <v>1</v>
      </c>
      <c r="Q100" s="483">
        <v>180</v>
      </c>
      <c r="R100" s="67" t="s">
        <v>469</v>
      </c>
      <c r="S100" s="475">
        <v>0.1</v>
      </c>
      <c r="T100" s="67"/>
      <c r="U100" s="67" t="s">
        <v>377</v>
      </c>
      <c r="V100" s="295"/>
      <c r="W100" s="66"/>
      <c r="X100" s="277">
        <f>M100*P100*Q100*S100</f>
        <v>1260000</v>
      </c>
      <c r="Y100" s="303" t="s">
        <v>364</v>
      </c>
      <c r="Z100" s="6"/>
    </row>
    <row r="101" spans="1:26" s="11" customFormat="1" ht="19.5" customHeight="1">
      <c r="A101" s="60"/>
      <c r="B101" s="46"/>
      <c r="C101" s="46"/>
      <c r="D101" s="59"/>
      <c r="E101" s="61"/>
      <c r="F101" s="61"/>
      <c r="G101" s="62"/>
      <c r="H101" s="82"/>
      <c r="I101" s="361"/>
      <c r="J101" s="70"/>
      <c r="K101" s="482"/>
      <c r="L101" s="482"/>
      <c r="M101" s="224"/>
      <c r="N101" s="224"/>
      <c r="O101" s="481"/>
      <c r="P101" s="224"/>
      <c r="Q101" s="125"/>
      <c r="R101" s="480"/>
      <c r="S101" s="224"/>
      <c r="T101" s="201"/>
      <c r="U101" s="201"/>
      <c r="V101" s="479"/>
      <c r="W101" s="361"/>
      <c r="X101" s="70"/>
      <c r="Y101" s="71"/>
      <c r="Z101" s="6"/>
    </row>
    <row r="102" spans="1:26" s="11" customFormat="1" ht="19.5" customHeight="1">
      <c r="A102" s="60"/>
      <c r="B102" s="46"/>
      <c r="C102" s="46"/>
      <c r="D102" s="46" t="s">
        <v>500</v>
      </c>
      <c r="E102" s="48">
        <v>10759</v>
      </c>
      <c r="F102" s="237">
        <f>ROUND(X102/1000,0)</f>
        <v>10778</v>
      </c>
      <c r="G102" s="49">
        <f>F102-E102</f>
        <v>19</v>
      </c>
      <c r="H102" s="68">
        <f>IF(E102=0,0,G102/E102)</f>
        <v>1.7659633794962356E-3</v>
      </c>
      <c r="I102" s="69" t="s">
        <v>499</v>
      </c>
      <c r="J102" s="66"/>
      <c r="K102" s="210"/>
      <c r="L102" s="210"/>
      <c r="M102" s="295"/>
      <c r="N102" s="295"/>
      <c r="O102" s="208"/>
      <c r="P102" s="295"/>
      <c r="Q102" s="54"/>
      <c r="R102" s="478"/>
      <c r="S102" s="56"/>
      <c r="T102" s="459"/>
      <c r="U102" s="459"/>
      <c r="V102" s="224" t="s">
        <v>498</v>
      </c>
      <c r="W102" s="70"/>
      <c r="X102" s="224">
        <f>SUM(X103:X104)</f>
        <v>10778000</v>
      </c>
      <c r="Y102" s="71" t="s">
        <v>25</v>
      </c>
      <c r="Z102" s="6"/>
    </row>
    <row r="103" spans="1:26" s="11" customFormat="1" ht="19.5" customHeight="1">
      <c r="A103" s="60"/>
      <c r="B103" s="46"/>
      <c r="C103" s="46"/>
      <c r="D103" s="46"/>
      <c r="E103" s="48"/>
      <c r="F103" s="48"/>
      <c r="G103" s="49"/>
      <c r="H103" s="68"/>
      <c r="I103" s="279" t="s">
        <v>541</v>
      </c>
      <c r="J103" s="66"/>
      <c r="K103" s="210"/>
      <c r="L103" s="210"/>
      <c r="M103" s="477">
        <v>5000000</v>
      </c>
      <c r="N103" s="67" t="s">
        <v>364</v>
      </c>
      <c r="O103" s="67" t="s">
        <v>378</v>
      </c>
      <c r="P103" s="75">
        <v>0.3</v>
      </c>
      <c r="Q103" s="476"/>
      <c r="R103" s="67"/>
      <c r="S103" s="475"/>
      <c r="T103" s="67"/>
      <c r="U103" s="67" t="s">
        <v>377</v>
      </c>
      <c r="V103" s="295"/>
      <c r="W103" s="66"/>
      <c r="X103" s="295">
        <f>ROUND(M103*P103,-3)</f>
        <v>1500000</v>
      </c>
      <c r="Y103" s="57" t="s">
        <v>364</v>
      </c>
      <c r="Z103" s="6"/>
    </row>
    <row r="104" spans="1:26" s="11" customFormat="1" ht="19.5" customHeight="1">
      <c r="A104" s="60"/>
      <c r="B104" s="46"/>
      <c r="C104" s="46"/>
      <c r="D104" s="46"/>
      <c r="E104" s="48"/>
      <c r="F104" s="48"/>
      <c r="G104" s="49"/>
      <c r="H104" s="68"/>
      <c r="I104" s="279" t="s">
        <v>497</v>
      </c>
      <c r="J104" s="66"/>
      <c r="K104" s="210"/>
      <c r="L104" s="210"/>
      <c r="M104" s="477">
        <v>18556000</v>
      </c>
      <c r="N104" s="67" t="s">
        <v>364</v>
      </c>
      <c r="O104" s="67" t="s">
        <v>378</v>
      </c>
      <c r="P104" s="75">
        <v>0.5</v>
      </c>
      <c r="Q104" s="476"/>
      <c r="R104" s="67"/>
      <c r="S104" s="475"/>
      <c r="T104" s="67"/>
      <c r="U104" s="67" t="s">
        <v>377</v>
      </c>
      <c r="V104" s="295"/>
      <c r="W104" s="66"/>
      <c r="X104" s="295">
        <f>ROUND(M104*P104,-3)</f>
        <v>9278000</v>
      </c>
      <c r="Y104" s="57" t="s">
        <v>364</v>
      </c>
      <c r="Z104" s="6"/>
    </row>
    <row r="105" spans="1:26" s="11" customFormat="1" ht="19.5" customHeight="1">
      <c r="A105" s="60"/>
      <c r="B105" s="80"/>
      <c r="C105" s="81"/>
      <c r="D105" s="59"/>
      <c r="E105" s="61"/>
      <c r="F105" s="61"/>
      <c r="G105" s="62"/>
      <c r="H105" s="82"/>
      <c r="I105" s="361"/>
      <c r="J105" s="224"/>
      <c r="K105" s="83"/>
      <c r="L105" s="83"/>
      <c r="M105" s="224"/>
      <c r="N105" s="224"/>
      <c r="O105" s="361"/>
      <c r="P105" s="224"/>
      <c r="Q105" s="224"/>
      <c r="R105" s="361"/>
      <c r="S105" s="361"/>
      <c r="T105" s="361"/>
      <c r="U105" s="361"/>
      <c r="V105" s="361"/>
      <c r="W105" s="361"/>
      <c r="X105" s="224"/>
      <c r="Y105" s="71"/>
      <c r="Z105" s="6"/>
    </row>
    <row r="106" spans="1:26" ht="21" customHeight="1">
      <c r="A106" s="45"/>
      <c r="B106" s="46"/>
      <c r="C106" s="46" t="s">
        <v>496</v>
      </c>
      <c r="D106" s="461" t="s">
        <v>372</v>
      </c>
      <c r="E106" s="219">
        <f>SUM(E107:E167)</f>
        <v>569918</v>
      </c>
      <c r="F106" s="219">
        <f>SUM(F107:F167)</f>
        <v>591561</v>
      </c>
      <c r="G106" s="220">
        <f>F106-E106</f>
        <v>21643</v>
      </c>
      <c r="H106" s="221">
        <f>IF(E106=0,0,G106/E106)</f>
        <v>3.7975638600640793E-2</v>
      </c>
      <c r="I106" s="204" t="s">
        <v>495</v>
      </c>
      <c r="J106" s="205"/>
      <c r="K106" s="206"/>
      <c r="L106" s="206"/>
      <c r="M106" s="206"/>
      <c r="N106" s="206"/>
      <c r="O106" s="206"/>
      <c r="P106" s="207"/>
      <c r="Q106" s="207"/>
      <c r="R106" s="207"/>
      <c r="S106" s="207"/>
      <c r="T106" s="207"/>
      <c r="U106" s="207"/>
      <c r="V106" s="234" t="s">
        <v>365</v>
      </c>
      <c r="W106" s="235"/>
      <c r="X106" s="236">
        <f>SUM(X107,X112,X127,X131,X139,X163)</f>
        <v>591561000</v>
      </c>
      <c r="Y106" s="267" t="s">
        <v>364</v>
      </c>
    </row>
    <row r="107" spans="1:26" ht="21" customHeight="1">
      <c r="A107" s="45"/>
      <c r="B107" s="46"/>
      <c r="C107" s="46" t="s">
        <v>494</v>
      </c>
      <c r="D107" s="36" t="s">
        <v>493</v>
      </c>
      <c r="E107" s="237">
        <v>2158</v>
      </c>
      <c r="F107" s="237">
        <f>ROUND(X107/1000,0)</f>
        <v>2262</v>
      </c>
      <c r="G107" s="273">
        <f>F107-E107</f>
        <v>104</v>
      </c>
      <c r="H107" s="183">
        <f>IF(E107=0,0,G107/E107)</f>
        <v>4.8192771084337352E-2</v>
      </c>
      <c r="I107" s="138" t="s">
        <v>492</v>
      </c>
      <c r="J107" s="157"/>
      <c r="K107" s="86"/>
      <c r="L107" s="86"/>
      <c r="M107" s="86"/>
      <c r="N107" s="246"/>
      <c r="O107" s="238"/>
      <c r="P107" s="86"/>
      <c r="Q107" s="239"/>
      <c r="R107" s="496"/>
      <c r="S107" s="495"/>
      <c r="T107" s="495"/>
      <c r="U107" s="246"/>
      <c r="V107" s="494" t="s">
        <v>461</v>
      </c>
      <c r="W107" s="140"/>
      <c r="X107" s="140">
        <f>SUM(X108:X110)</f>
        <v>2262000</v>
      </c>
      <c r="Y107" s="141" t="s">
        <v>364</v>
      </c>
    </row>
    <row r="108" spans="1:26" ht="21" customHeight="1">
      <c r="A108" s="45"/>
      <c r="B108" s="46"/>
      <c r="C108" s="46"/>
      <c r="D108" s="46"/>
      <c r="E108" s="48"/>
      <c r="F108" s="48"/>
      <c r="G108" s="49"/>
      <c r="H108" s="68"/>
      <c r="I108" s="285" t="s">
        <v>491</v>
      </c>
      <c r="J108" s="296"/>
      <c r="K108" s="295"/>
      <c r="L108" s="295"/>
      <c r="M108" s="295">
        <f>M15</f>
        <v>252812</v>
      </c>
      <c r="N108" s="459" t="s">
        <v>25</v>
      </c>
      <c r="O108" s="208" t="s">
        <v>26</v>
      </c>
      <c r="P108" s="460">
        <v>24</v>
      </c>
      <c r="Q108" s="54" t="s">
        <v>139</v>
      </c>
      <c r="R108" s="209" t="s">
        <v>26</v>
      </c>
      <c r="S108" s="211">
        <v>12</v>
      </c>
      <c r="T108" s="211" t="s">
        <v>29</v>
      </c>
      <c r="U108" s="459" t="s">
        <v>26</v>
      </c>
      <c r="V108" s="493">
        <v>0.03</v>
      </c>
      <c r="W108" s="66" t="s">
        <v>27</v>
      </c>
      <c r="X108" s="66">
        <f>ROUND(M108*P108*S108*V108,-3)</f>
        <v>2184000</v>
      </c>
      <c r="Y108" s="57" t="s">
        <v>364</v>
      </c>
    </row>
    <row r="109" spans="1:26" ht="21" customHeight="1">
      <c r="A109" s="45"/>
      <c r="B109" s="46"/>
      <c r="C109" s="46"/>
      <c r="D109" s="46"/>
      <c r="E109" s="48"/>
      <c r="F109" s="48"/>
      <c r="G109" s="49"/>
      <c r="H109" s="68"/>
      <c r="I109" s="285" t="s">
        <v>490</v>
      </c>
      <c r="J109" s="296"/>
      <c r="K109" s="295"/>
      <c r="L109" s="295"/>
      <c r="M109" s="295">
        <f t="shared" ref="M109:M110" si="1">M16</f>
        <v>35394</v>
      </c>
      <c r="N109" s="459" t="s">
        <v>25</v>
      </c>
      <c r="O109" s="208" t="s">
        <v>26</v>
      </c>
      <c r="P109" s="460">
        <v>24</v>
      </c>
      <c r="Q109" s="54" t="s">
        <v>139</v>
      </c>
      <c r="R109" s="478" t="s">
        <v>26</v>
      </c>
      <c r="S109" s="211">
        <v>1</v>
      </c>
      <c r="T109" s="211" t="s">
        <v>488</v>
      </c>
      <c r="U109" s="459" t="s">
        <v>26</v>
      </c>
      <c r="V109" s="493">
        <v>0.03</v>
      </c>
      <c r="W109" s="66" t="s">
        <v>27</v>
      </c>
      <c r="X109" s="66">
        <f>ROUNDUP(M109*P109*S109*V109,-3)</f>
        <v>26000</v>
      </c>
      <c r="Y109" s="57" t="s">
        <v>364</v>
      </c>
    </row>
    <row r="110" spans="1:26" ht="21" customHeight="1">
      <c r="A110" s="45"/>
      <c r="B110" s="46"/>
      <c r="C110" s="46"/>
      <c r="D110" s="46"/>
      <c r="E110" s="48"/>
      <c r="F110" s="48"/>
      <c r="G110" s="49"/>
      <c r="H110" s="68"/>
      <c r="I110" s="285" t="s">
        <v>489</v>
      </c>
      <c r="J110" s="66"/>
      <c r="K110" s="210"/>
      <c r="L110" s="210"/>
      <c r="M110" s="295">
        <f t="shared" si="1"/>
        <v>36300</v>
      </c>
      <c r="N110" s="295" t="s">
        <v>25</v>
      </c>
      <c r="O110" s="208" t="s">
        <v>26</v>
      </c>
      <c r="P110" s="460">
        <v>24</v>
      </c>
      <c r="Q110" s="54" t="s">
        <v>139</v>
      </c>
      <c r="R110" s="478" t="s">
        <v>26</v>
      </c>
      <c r="S110" s="56">
        <v>2</v>
      </c>
      <c r="T110" s="459" t="s">
        <v>488</v>
      </c>
      <c r="U110" s="459" t="s">
        <v>26</v>
      </c>
      <c r="V110" s="493">
        <v>0.03</v>
      </c>
      <c r="W110" s="296" t="s">
        <v>27</v>
      </c>
      <c r="X110" s="66">
        <f>ROUND(M110*P110*S110*V110,-3)</f>
        <v>52000</v>
      </c>
      <c r="Y110" s="57" t="s">
        <v>364</v>
      </c>
    </row>
    <row r="111" spans="1:26" ht="21" customHeight="1">
      <c r="A111" s="45"/>
      <c r="B111" s="46"/>
      <c r="C111" s="46"/>
      <c r="D111" s="59"/>
      <c r="E111" s="61"/>
      <c r="F111" s="61"/>
      <c r="G111" s="62"/>
      <c r="H111" s="82"/>
      <c r="I111" s="69"/>
      <c r="J111" s="70"/>
      <c r="K111" s="482"/>
      <c r="L111" s="482"/>
      <c r="M111" s="224"/>
      <c r="N111" s="224"/>
      <c r="O111" s="481"/>
      <c r="P111" s="224"/>
      <c r="Q111" s="125"/>
      <c r="R111" s="480"/>
      <c r="S111" s="489"/>
      <c r="T111" s="201"/>
      <c r="U111" s="201"/>
      <c r="V111" s="479"/>
      <c r="W111" s="361"/>
      <c r="X111" s="70"/>
      <c r="Y111" s="71"/>
    </row>
    <row r="112" spans="1:26" ht="21" customHeight="1" thickBot="1">
      <c r="A112" s="45"/>
      <c r="B112" s="46"/>
      <c r="C112" s="46"/>
      <c r="D112" s="36" t="s">
        <v>487</v>
      </c>
      <c r="E112" s="37">
        <v>405175</v>
      </c>
      <c r="F112" s="237">
        <f>ROUND(X112/1000,0)</f>
        <v>415222</v>
      </c>
      <c r="G112" s="38">
        <f>F112-E112</f>
        <v>10047</v>
      </c>
      <c r="H112" s="115">
        <f>IF(E112=0,0,G112/E112)</f>
        <v>2.4796692787067316E-2</v>
      </c>
      <c r="I112" s="243" t="s">
        <v>582</v>
      </c>
      <c r="J112" s="242"/>
      <c r="K112" s="247"/>
      <c r="L112" s="247"/>
      <c r="M112" s="86"/>
      <c r="N112" s="86"/>
      <c r="O112" s="238"/>
      <c r="P112" s="86"/>
      <c r="Q112" s="239"/>
      <c r="R112" s="240"/>
      <c r="S112" s="241"/>
      <c r="T112" s="246"/>
      <c r="U112" s="246"/>
      <c r="V112" s="244" t="s">
        <v>461</v>
      </c>
      <c r="W112" s="245"/>
      <c r="X112" s="245">
        <f>SUM(X113,X114,X118,X120)</f>
        <v>415222000</v>
      </c>
      <c r="Y112" s="268" t="s">
        <v>364</v>
      </c>
    </row>
    <row r="113" spans="1:26" ht="21" customHeight="1">
      <c r="A113" s="45"/>
      <c r="B113" s="46"/>
      <c r="C113" s="46"/>
      <c r="D113" s="46"/>
      <c r="E113" s="48"/>
      <c r="F113" s="48"/>
      <c r="G113" s="49"/>
      <c r="H113" s="68"/>
      <c r="I113" s="286" t="s">
        <v>486</v>
      </c>
      <c r="J113" s="296"/>
      <c r="K113" s="295"/>
      <c r="L113" s="295"/>
      <c r="M113" s="295">
        <f>M20</f>
        <v>1025040000</v>
      </c>
      <c r="N113" s="295" t="s">
        <v>364</v>
      </c>
      <c r="O113" s="72" t="s">
        <v>378</v>
      </c>
      <c r="P113" s="492">
        <v>0.255</v>
      </c>
      <c r="Q113" s="295"/>
      <c r="R113" s="295"/>
      <c r="S113" s="295"/>
      <c r="T113" s="295"/>
      <c r="U113" s="295" t="s">
        <v>377</v>
      </c>
      <c r="V113" s="224" t="s">
        <v>365</v>
      </c>
      <c r="W113" s="70"/>
      <c r="X113" s="224">
        <f>ROUND(M113*P113,-3)</f>
        <v>261385000</v>
      </c>
      <c r="Y113" s="71" t="s">
        <v>25</v>
      </c>
    </row>
    <row r="114" spans="1:26" ht="21" customHeight="1">
      <c r="A114" s="45"/>
      <c r="B114" s="46"/>
      <c r="C114" s="46"/>
      <c r="D114" s="46"/>
      <c r="E114" s="48"/>
      <c r="F114" s="48"/>
      <c r="G114" s="49"/>
      <c r="H114" s="68"/>
      <c r="I114" s="287" t="s">
        <v>485</v>
      </c>
      <c r="J114" s="296"/>
      <c r="K114" s="295"/>
      <c r="L114" s="295"/>
      <c r="M114" s="295"/>
      <c r="N114" s="295"/>
      <c r="O114" s="295"/>
      <c r="P114" s="295"/>
      <c r="Q114" s="295"/>
      <c r="R114" s="295"/>
      <c r="S114" s="295"/>
      <c r="T114" s="295"/>
      <c r="U114" s="295"/>
      <c r="V114" s="139" t="s">
        <v>365</v>
      </c>
      <c r="W114" s="140"/>
      <c r="X114" s="139">
        <f>SUM(X115:X117)</f>
        <v>90703000</v>
      </c>
      <c r="Y114" s="141" t="s">
        <v>25</v>
      </c>
      <c r="Z114" s="1"/>
    </row>
    <row r="115" spans="1:26" ht="21" customHeight="1">
      <c r="A115" s="45"/>
      <c r="B115" s="46"/>
      <c r="C115" s="46"/>
      <c r="D115" s="46"/>
      <c r="E115" s="48"/>
      <c r="F115" s="48"/>
      <c r="G115" s="49"/>
      <c r="H115" s="68"/>
      <c r="I115" s="285" t="s">
        <v>452</v>
      </c>
      <c r="J115" s="296"/>
      <c r="K115" s="295"/>
      <c r="L115" s="295"/>
      <c r="M115" s="295">
        <f>M22</f>
        <v>105713000</v>
      </c>
      <c r="N115" s="295" t="s">
        <v>364</v>
      </c>
      <c r="O115" s="72" t="s">
        <v>378</v>
      </c>
      <c r="P115" s="492">
        <v>0.255</v>
      </c>
      <c r="Q115" s="295"/>
      <c r="R115" s="295"/>
      <c r="S115" s="295"/>
      <c r="T115" s="295"/>
      <c r="U115" s="295" t="s">
        <v>377</v>
      </c>
      <c r="V115" s="695"/>
      <c r="W115" s="695"/>
      <c r="X115" s="242">
        <f>ROUND(M115*P115,-3)</f>
        <v>26957000</v>
      </c>
      <c r="Y115" s="487" t="s">
        <v>364</v>
      </c>
      <c r="Z115" s="1"/>
    </row>
    <row r="116" spans="1:26" ht="21" customHeight="1">
      <c r="A116" s="45"/>
      <c r="B116" s="46"/>
      <c r="C116" s="46"/>
      <c r="D116" s="46"/>
      <c r="E116" s="48"/>
      <c r="F116" s="48"/>
      <c r="G116" s="49"/>
      <c r="H116" s="68"/>
      <c r="I116" s="285" t="s">
        <v>451</v>
      </c>
      <c r="J116" s="296"/>
      <c r="K116" s="295"/>
      <c r="L116" s="295"/>
      <c r="M116" s="295">
        <f>M23</f>
        <v>14400000</v>
      </c>
      <c r="N116" s="295" t="s">
        <v>364</v>
      </c>
      <c r="O116" s="72" t="s">
        <v>378</v>
      </c>
      <c r="P116" s="492">
        <v>0.255</v>
      </c>
      <c r="Q116" s="295"/>
      <c r="R116" s="295"/>
      <c r="S116" s="295"/>
      <c r="T116" s="295"/>
      <c r="U116" s="295" t="s">
        <v>377</v>
      </c>
      <c r="V116" s="694"/>
      <c r="W116" s="694"/>
      <c r="X116" s="66">
        <f>ROUND(M116*P116,-3)</f>
        <v>3672000</v>
      </c>
      <c r="Y116" s="57" t="s">
        <v>364</v>
      </c>
      <c r="Z116" s="1"/>
    </row>
    <row r="117" spans="1:26" ht="21" customHeight="1">
      <c r="A117" s="45"/>
      <c r="B117" s="46"/>
      <c r="C117" s="46"/>
      <c r="D117" s="46"/>
      <c r="E117" s="48"/>
      <c r="F117" s="48"/>
      <c r="G117" s="49"/>
      <c r="H117" s="68"/>
      <c r="I117" s="285" t="s">
        <v>450</v>
      </c>
      <c r="J117" s="296"/>
      <c r="K117" s="295"/>
      <c r="L117" s="295"/>
      <c r="M117" s="295">
        <f>M24</f>
        <v>235584000</v>
      </c>
      <c r="N117" s="295" t="s">
        <v>364</v>
      </c>
      <c r="O117" s="72" t="s">
        <v>378</v>
      </c>
      <c r="P117" s="492">
        <v>0.255</v>
      </c>
      <c r="Q117" s="295"/>
      <c r="R117" s="295"/>
      <c r="S117" s="295"/>
      <c r="T117" s="295"/>
      <c r="U117" s="295" t="s">
        <v>377</v>
      </c>
      <c r="V117" s="694"/>
      <c r="W117" s="694"/>
      <c r="X117" s="66">
        <f>ROUND(M117*P117,-3)</f>
        <v>60074000</v>
      </c>
      <c r="Y117" s="57" t="s">
        <v>364</v>
      </c>
      <c r="Z117" s="1"/>
    </row>
    <row r="118" spans="1:26" ht="21" customHeight="1">
      <c r="A118" s="45"/>
      <c r="B118" s="46"/>
      <c r="C118" s="46"/>
      <c r="D118" s="46"/>
      <c r="E118" s="48"/>
      <c r="F118" s="48"/>
      <c r="G118" s="49"/>
      <c r="H118" s="68"/>
      <c r="I118" s="286" t="s">
        <v>484</v>
      </c>
      <c r="J118" s="296"/>
      <c r="K118" s="295"/>
      <c r="L118" s="295"/>
      <c r="M118" s="295"/>
      <c r="N118" s="295"/>
      <c r="O118" s="295"/>
      <c r="P118" s="295"/>
      <c r="Q118" s="295"/>
      <c r="R118" s="295"/>
      <c r="S118" s="295"/>
      <c r="T118" s="295"/>
      <c r="U118" s="295"/>
      <c r="V118" s="224" t="s">
        <v>365</v>
      </c>
      <c r="W118" s="70"/>
      <c r="X118" s="224">
        <f>X119</f>
        <v>29341000</v>
      </c>
      <c r="Y118" s="71" t="s">
        <v>25</v>
      </c>
      <c r="Z118" s="1"/>
    </row>
    <row r="119" spans="1:26" ht="21" customHeight="1">
      <c r="A119" s="45"/>
      <c r="B119" s="46"/>
      <c r="C119" s="46"/>
      <c r="D119" s="46"/>
      <c r="E119" s="48"/>
      <c r="F119" s="48"/>
      <c r="G119" s="49"/>
      <c r="H119" s="68"/>
      <c r="I119" s="285" t="s">
        <v>583</v>
      </c>
      <c r="J119" s="296"/>
      <c r="K119" s="295"/>
      <c r="L119" s="295"/>
      <c r="M119" s="295">
        <f>SUM(M113:M117)</f>
        <v>1380737000</v>
      </c>
      <c r="N119" s="54" t="s">
        <v>364</v>
      </c>
      <c r="O119" s="459" t="s">
        <v>385</v>
      </c>
      <c r="P119" s="486">
        <v>12</v>
      </c>
      <c r="Q119" s="208" t="s">
        <v>384</v>
      </c>
      <c r="R119" s="72" t="s">
        <v>378</v>
      </c>
      <c r="S119" s="492">
        <v>0.255</v>
      </c>
      <c r="T119" s="295"/>
      <c r="U119" s="295" t="s">
        <v>377</v>
      </c>
      <c r="V119" s="86"/>
      <c r="W119" s="86"/>
      <c r="X119" s="242">
        <f>ROUND(M119/P119*S119,-3)</f>
        <v>29341000</v>
      </c>
      <c r="Y119" s="485" t="s">
        <v>364</v>
      </c>
      <c r="Z119" s="1"/>
    </row>
    <row r="120" spans="1:26" ht="21" customHeight="1">
      <c r="A120" s="45"/>
      <c r="B120" s="46"/>
      <c r="C120" s="46"/>
      <c r="D120" s="46"/>
      <c r="E120" s="48"/>
      <c r="F120" s="48"/>
      <c r="G120" s="49"/>
      <c r="H120" s="68"/>
      <c r="I120" s="286" t="s">
        <v>483</v>
      </c>
      <c r="J120" s="296"/>
      <c r="K120" s="295"/>
      <c r="L120" s="295"/>
      <c r="M120" s="295"/>
      <c r="N120" s="54"/>
      <c r="O120" s="295"/>
      <c r="P120" s="295"/>
      <c r="Q120" s="295"/>
      <c r="R120" s="295"/>
      <c r="S120" s="295"/>
      <c r="T120" s="295"/>
      <c r="U120" s="295"/>
      <c r="V120" s="224" t="s">
        <v>365</v>
      </c>
      <c r="W120" s="70"/>
      <c r="X120" s="224">
        <f>SUM(X121:X125)</f>
        <v>33793000</v>
      </c>
      <c r="Y120" s="71" t="s">
        <v>25</v>
      </c>
      <c r="Z120" s="1"/>
    </row>
    <row r="121" spans="1:26" ht="21" customHeight="1">
      <c r="A121" s="45"/>
      <c r="B121" s="46"/>
      <c r="C121" s="46"/>
      <c r="D121" s="46"/>
      <c r="E121" s="48"/>
      <c r="F121" s="48"/>
      <c r="G121" s="49"/>
      <c r="H121" s="68"/>
      <c r="I121" s="285" t="s">
        <v>482</v>
      </c>
      <c r="J121" s="296"/>
      <c r="K121" s="295"/>
      <c r="L121" s="295"/>
      <c r="M121" s="295">
        <f>M119</f>
        <v>1380737000</v>
      </c>
      <c r="N121" s="54" t="s">
        <v>364</v>
      </c>
      <c r="O121" s="72" t="s">
        <v>378</v>
      </c>
      <c r="P121" s="474">
        <v>0.09</v>
      </c>
      <c r="Q121" s="459">
        <v>2</v>
      </c>
      <c r="R121" s="72" t="s">
        <v>378</v>
      </c>
      <c r="S121" s="492">
        <v>0.255</v>
      </c>
      <c r="T121" s="74"/>
      <c r="U121" s="459" t="s">
        <v>377</v>
      </c>
      <c r="V121" s="295"/>
      <c r="W121" s="66"/>
      <c r="X121" s="66">
        <f>ROUND(M121*P121/Q121*S121,-3)</f>
        <v>15844000</v>
      </c>
      <c r="Y121" s="57" t="s">
        <v>364</v>
      </c>
      <c r="Z121" s="1"/>
    </row>
    <row r="122" spans="1:26" ht="21" customHeight="1">
      <c r="A122" s="45"/>
      <c r="B122" s="46"/>
      <c r="C122" s="46"/>
      <c r="D122" s="46"/>
      <c r="E122" s="48"/>
      <c r="F122" s="48"/>
      <c r="G122" s="49"/>
      <c r="H122" s="68"/>
      <c r="I122" s="285" t="s">
        <v>481</v>
      </c>
      <c r="J122" s="296"/>
      <c r="K122" s="295"/>
      <c r="L122" s="295"/>
      <c r="M122" s="295">
        <f>M119</f>
        <v>1380737000</v>
      </c>
      <c r="N122" s="54" t="s">
        <v>364</v>
      </c>
      <c r="O122" s="72" t="s">
        <v>378</v>
      </c>
      <c r="P122" s="473">
        <v>6.4600000000000005E-2</v>
      </c>
      <c r="Q122" s="459">
        <v>2</v>
      </c>
      <c r="R122" s="72" t="s">
        <v>378</v>
      </c>
      <c r="S122" s="492">
        <v>0.255</v>
      </c>
      <c r="T122" s="74"/>
      <c r="U122" s="459" t="s">
        <v>377</v>
      </c>
      <c r="V122" s="295"/>
      <c r="W122" s="66"/>
      <c r="X122" s="66">
        <f>ROUNDDOWN(M122*P122/Q122*S122,-3)</f>
        <v>11372000</v>
      </c>
      <c r="Y122" s="57" t="s">
        <v>364</v>
      </c>
      <c r="Z122" s="1"/>
    </row>
    <row r="123" spans="1:26" ht="21" customHeight="1">
      <c r="A123" s="45"/>
      <c r="B123" s="46"/>
      <c r="C123" s="46"/>
      <c r="D123" s="46"/>
      <c r="E123" s="48"/>
      <c r="F123" s="48"/>
      <c r="G123" s="49"/>
      <c r="H123" s="68"/>
      <c r="I123" s="285" t="s">
        <v>480</v>
      </c>
      <c r="J123" s="296"/>
      <c r="K123" s="295"/>
      <c r="L123" s="295"/>
      <c r="M123" s="295">
        <f>X122</f>
        <v>11372000</v>
      </c>
      <c r="N123" s="54" t="s">
        <v>364</v>
      </c>
      <c r="O123" s="72" t="s">
        <v>378</v>
      </c>
      <c r="P123" s="76">
        <v>8.5099999999999995E-2</v>
      </c>
      <c r="Q123" s="472"/>
      <c r="R123" s="72"/>
      <c r="S123" s="75"/>
      <c r="T123" s="471"/>
      <c r="U123" s="459" t="s">
        <v>377</v>
      </c>
      <c r="V123" s="295"/>
      <c r="W123" s="66"/>
      <c r="X123" s="66">
        <f>ROUND(M123*P123,-3)</f>
        <v>968000</v>
      </c>
      <c r="Y123" s="57" t="s">
        <v>364</v>
      </c>
      <c r="Z123" s="1"/>
    </row>
    <row r="124" spans="1:26" ht="21" customHeight="1">
      <c r="A124" s="45"/>
      <c r="B124" s="46"/>
      <c r="C124" s="46"/>
      <c r="D124" s="46"/>
      <c r="E124" s="48"/>
      <c r="F124" s="48"/>
      <c r="G124" s="49"/>
      <c r="H124" s="68"/>
      <c r="I124" s="285" t="s">
        <v>479</v>
      </c>
      <c r="J124" s="296"/>
      <c r="K124" s="295"/>
      <c r="L124" s="295"/>
      <c r="M124" s="295">
        <f>M119</f>
        <v>1380737000</v>
      </c>
      <c r="N124" s="54" t="s">
        <v>364</v>
      </c>
      <c r="O124" s="72" t="s">
        <v>378</v>
      </c>
      <c r="P124" s="76">
        <v>8.9999999999999993E-3</v>
      </c>
      <c r="Q124" s="72"/>
      <c r="R124" s="72" t="s">
        <v>378</v>
      </c>
      <c r="S124" s="492">
        <v>0.255</v>
      </c>
      <c r="T124" s="74"/>
      <c r="U124" s="459" t="s">
        <v>377</v>
      </c>
      <c r="V124" s="295"/>
      <c r="W124" s="66"/>
      <c r="X124" s="66">
        <f>ROUNDUP(M124*P124*S124,-3)</f>
        <v>3169000</v>
      </c>
      <c r="Y124" s="57" t="s">
        <v>364</v>
      </c>
      <c r="Z124" s="1"/>
    </row>
    <row r="125" spans="1:26" ht="21" customHeight="1">
      <c r="A125" s="45"/>
      <c r="B125" s="46"/>
      <c r="C125" s="46"/>
      <c r="D125" s="46"/>
      <c r="E125" s="48"/>
      <c r="F125" s="48"/>
      <c r="G125" s="49"/>
      <c r="H125" s="68"/>
      <c r="I125" s="285" t="s">
        <v>478</v>
      </c>
      <c r="J125" s="296"/>
      <c r="K125" s="295"/>
      <c r="L125" s="295"/>
      <c r="M125" s="295">
        <f>M119</f>
        <v>1380737000</v>
      </c>
      <c r="N125" s="54" t="s">
        <v>364</v>
      </c>
      <c r="O125" s="72" t="s">
        <v>378</v>
      </c>
      <c r="P125" s="470">
        <v>6.9300000000000004E-3</v>
      </c>
      <c r="Q125" s="72"/>
      <c r="R125" s="72" t="s">
        <v>378</v>
      </c>
      <c r="S125" s="492">
        <v>0.255</v>
      </c>
      <c r="T125" s="74"/>
      <c r="U125" s="459" t="s">
        <v>377</v>
      </c>
      <c r="V125" s="295"/>
      <c r="W125" s="66"/>
      <c r="X125" s="66">
        <f>ROUNDUP(M125*P125*S125,-3)</f>
        <v>2440000</v>
      </c>
      <c r="Y125" s="57" t="s">
        <v>364</v>
      </c>
      <c r="Z125" s="1"/>
    </row>
    <row r="126" spans="1:26" ht="21" customHeight="1">
      <c r="A126" s="45"/>
      <c r="B126" s="46"/>
      <c r="C126" s="46"/>
      <c r="D126" s="59"/>
      <c r="E126" s="61"/>
      <c r="F126" s="61"/>
      <c r="G126" s="62"/>
      <c r="H126" s="82"/>
      <c r="I126" s="69"/>
      <c r="J126" s="70"/>
      <c r="K126" s="482"/>
      <c r="L126" s="482"/>
      <c r="M126" s="224"/>
      <c r="N126" s="224"/>
      <c r="O126" s="481"/>
      <c r="P126" s="224"/>
      <c r="Q126" s="125"/>
      <c r="R126" s="480"/>
      <c r="S126" s="489"/>
      <c r="T126" s="201"/>
      <c r="U126" s="201"/>
      <c r="V126" s="479"/>
      <c r="W126" s="361"/>
      <c r="X126" s="70"/>
      <c r="Y126" s="71"/>
      <c r="Z126" s="1"/>
    </row>
    <row r="127" spans="1:26" ht="21" customHeight="1" thickBot="1">
      <c r="A127" s="45"/>
      <c r="B127" s="46"/>
      <c r="C127" s="46"/>
      <c r="D127" s="36" t="s">
        <v>477</v>
      </c>
      <c r="E127" s="37">
        <v>20519</v>
      </c>
      <c r="F127" s="237">
        <f>ROUND(X127/1000,0)</f>
        <v>20882</v>
      </c>
      <c r="G127" s="38">
        <f>F127-E127</f>
        <v>363</v>
      </c>
      <c r="H127" s="115">
        <f>IF(E127=0,0,G127/E127)</f>
        <v>1.7690920610166187E-2</v>
      </c>
      <c r="I127" s="243" t="s">
        <v>476</v>
      </c>
      <c r="J127" s="242"/>
      <c r="K127" s="247"/>
      <c r="L127" s="247"/>
      <c r="M127" s="86"/>
      <c r="N127" s="86"/>
      <c r="O127" s="238"/>
      <c r="P127" s="86"/>
      <c r="Q127" s="239"/>
      <c r="R127" s="240"/>
      <c r="S127" s="241"/>
      <c r="T127" s="246"/>
      <c r="U127" s="246"/>
      <c r="V127" s="244" t="s">
        <v>461</v>
      </c>
      <c r="W127" s="245"/>
      <c r="X127" s="245">
        <f>SUM(X128:X129)</f>
        <v>20882000</v>
      </c>
      <c r="Y127" s="268" t="s">
        <v>364</v>
      </c>
      <c r="Z127" s="1"/>
    </row>
    <row r="128" spans="1:26" ht="21" customHeight="1">
      <c r="A128" s="45"/>
      <c r="B128" s="46"/>
      <c r="C128" s="46"/>
      <c r="D128" s="46"/>
      <c r="E128" s="48"/>
      <c r="F128" s="48"/>
      <c r="G128" s="49"/>
      <c r="H128" s="68"/>
      <c r="I128" s="296" t="s">
        <v>475</v>
      </c>
      <c r="J128" s="66"/>
      <c r="K128" s="210"/>
      <c r="L128" s="210"/>
      <c r="M128" s="277">
        <v>2264000</v>
      </c>
      <c r="N128" s="277" t="s">
        <v>25</v>
      </c>
      <c r="O128" s="363" t="s">
        <v>26</v>
      </c>
      <c r="P128" s="364">
        <v>30</v>
      </c>
      <c r="Q128" s="365" t="s">
        <v>379</v>
      </c>
      <c r="R128" s="333" t="s">
        <v>378</v>
      </c>
      <c r="S128" s="366">
        <v>0.255</v>
      </c>
      <c r="T128" s="338"/>
      <c r="U128" s="336" t="s">
        <v>377</v>
      </c>
      <c r="V128" s="694"/>
      <c r="W128" s="694"/>
      <c r="X128" s="66">
        <f>ROUND(M128*P128*S128,-3)</f>
        <v>17320000</v>
      </c>
      <c r="Y128" s="57" t="s">
        <v>364</v>
      </c>
      <c r="Z128" s="1"/>
    </row>
    <row r="129" spans="1:26" ht="21" customHeight="1">
      <c r="A129" s="45"/>
      <c r="B129" s="46"/>
      <c r="C129" s="46"/>
      <c r="D129" s="46"/>
      <c r="E129" s="48"/>
      <c r="F129" s="48"/>
      <c r="G129" s="49"/>
      <c r="H129" s="68"/>
      <c r="I129" s="296" t="s">
        <v>474</v>
      </c>
      <c r="J129" s="66"/>
      <c r="K129" s="210"/>
      <c r="L129" s="210"/>
      <c r="M129" s="277">
        <v>635000</v>
      </c>
      <c r="N129" s="277" t="s">
        <v>25</v>
      </c>
      <c r="O129" s="363" t="s">
        <v>26</v>
      </c>
      <c r="P129" s="364">
        <v>22</v>
      </c>
      <c r="Q129" s="365" t="s">
        <v>379</v>
      </c>
      <c r="R129" s="333" t="s">
        <v>378</v>
      </c>
      <c r="S129" s="366">
        <v>0.255</v>
      </c>
      <c r="T129" s="338"/>
      <c r="U129" s="336" t="s">
        <v>377</v>
      </c>
      <c r="V129" s="694"/>
      <c r="W129" s="694"/>
      <c r="X129" s="66">
        <f>ROUND(M129*P129*S129,-3)</f>
        <v>3562000</v>
      </c>
      <c r="Y129" s="57" t="s">
        <v>364</v>
      </c>
      <c r="Z129" s="1"/>
    </row>
    <row r="130" spans="1:26" ht="21" customHeight="1">
      <c r="A130" s="45"/>
      <c r="B130" s="46"/>
      <c r="C130" s="46"/>
      <c r="D130" s="59"/>
      <c r="E130" s="61"/>
      <c r="F130" s="61"/>
      <c r="G130" s="62"/>
      <c r="H130" s="82"/>
      <c r="I130" s="69"/>
      <c r="J130" s="70"/>
      <c r="K130" s="482"/>
      <c r="L130" s="482"/>
      <c r="M130" s="224"/>
      <c r="N130" s="224"/>
      <c r="O130" s="481"/>
      <c r="P130" s="224"/>
      <c r="Q130" s="125"/>
      <c r="R130" s="480"/>
      <c r="S130" s="489"/>
      <c r="T130" s="201"/>
      <c r="U130" s="201"/>
      <c r="V130" s="479"/>
      <c r="W130" s="361"/>
      <c r="X130" s="70"/>
      <c r="Y130" s="71"/>
      <c r="Z130" s="1"/>
    </row>
    <row r="131" spans="1:26" ht="21" customHeight="1" thickBot="1">
      <c r="A131" s="45"/>
      <c r="B131" s="46"/>
      <c r="C131" s="46"/>
      <c r="D131" s="36" t="s">
        <v>473</v>
      </c>
      <c r="E131" s="37">
        <v>14656</v>
      </c>
      <c r="F131" s="237">
        <f>ROUND(X131/1000,0)</f>
        <v>14942</v>
      </c>
      <c r="G131" s="38">
        <f>F131-E131</f>
        <v>286</v>
      </c>
      <c r="H131" s="115">
        <f>IF(E131=0,0,G131/E131)</f>
        <v>1.9514192139737992E-2</v>
      </c>
      <c r="I131" s="243" t="s">
        <v>472</v>
      </c>
      <c r="J131" s="242"/>
      <c r="K131" s="247"/>
      <c r="L131" s="247"/>
      <c r="M131" s="86"/>
      <c r="N131" s="86"/>
      <c r="O131" s="238"/>
      <c r="P131" s="86"/>
      <c r="Q131" s="239"/>
      <c r="R131" s="240"/>
      <c r="S131" s="241"/>
      <c r="T131" s="246"/>
      <c r="U131" s="246"/>
      <c r="V131" s="244" t="s">
        <v>461</v>
      </c>
      <c r="W131" s="245"/>
      <c r="X131" s="245">
        <f>SUM(X132:X137)</f>
        <v>14942000</v>
      </c>
      <c r="Y131" s="268" t="s">
        <v>364</v>
      </c>
      <c r="Z131" s="1"/>
    </row>
    <row r="132" spans="1:26" ht="21" customHeight="1">
      <c r="A132" s="45"/>
      <c r="B132" s="46"/>
      <c r="C132" s="46"/>
      <c r="D132" s="46" t="s">
        <v>471</v>
      </c>
      <c r="E132" s="48"/>
      <c r="F132" s="48"/>
      <c r="G132" s="49"/>
      <c r="H132" s="68"/>
      <c r="I132" s="65" t="s">
        <v>470</v>
      </c>
      <c r="J132" s="296"/>
      <c r="K132" s="295"/>
      <c r="L132" s="295"/>
      <c r="M132" s="295">
        <v>500</v>
      </c>
      <c r="N132" s="295" t="s">
        <v>364</v>
      </c>
      <c r="O132" s="296" t="s">
        <v>378</v>
      </c>
      <c r="P132" s="491">
        <v>52</v>
      </c>
      <c r="Q132" s="476">
        <v>365</v>
      </c>
      <c r="R132" s="295" t="s">
        <v>469</v>
      </c>
      <c r="S132" s="490">
        <v>0.7</v>
      </c>
      <c r="T132" s="295"/>
      <c r="U132" s="295" t="s">
        <v>377</v>
      </c>
      <c r="V132" s="295"/>
      <c r="W132" s="66"/>
      <c r="X132" s="66">
        <f>ROUNDUP(M132*P132*Q132*S132,-3)</f>
        <v>6643000</v>
      </c>
      <c r="Y132" s="57" t="s">
        <v>25</v>
      </c>
      <c r="Z132" s="1"/>
    </row>
    <row r="133" spans="1:26" ht="21" customHeight="1">
      <c r="A133" s="45"/>
      <c r="B133" s="46"/>
      <c r="C133" s="46"/>
      <c r="D133" s="46"/>
      <c r="E133" s="48"/>
      <c r="F133" s="48"/>
      <c r="G133" s="49"/>
      <c r="H133" s="68"/>
      <c r="I133" s="65" t="s">
        <v>468</v>
      </c>
      <c r="J133" s="296"/>
      <c r="K133" s="295"/>
      <c r="L133" s="295"/>
      <c r="M133" s="295">
        <v>5000</v>
      </c>
      <c r="N133" s="295" t="s">
        <v>364</v>
      </c>
      <c r="O133" s="296" t="s">
        <v>378</v>
      </c>
      <c r="P133" s="491">
        <v>52</v>
      </c>
      <c r="Q133" s="476">
        <v>12</v>
      </c>
      <c r="R133" s="295" t="s">
        <v>384</v>
      </c>
      <c r="S133" s="490">
        <v>0.7</v>
      </c>
      <c r="T133" s="295"/>
      <c r="U133" s="295" t="s">
        <v>377</v>
      </c>
      <c r="V133" s="295"/>
      <c r="W133" s="66"/>
      <c r="X133" s="66">
        <f>ROUND(M133*P133*Q133*S133,-3)</f>
        <v>2184000</v>
      </c>
      <c r="Y133" s="57" t="s">
        <v>25</v>
      </c>
      <c r="Z133" s="1"/>
    </row>
    <row r="134" spans="1:26" ht="21" customHeight="1">
      <c r="A134" s="45"/>
      <c r="B134" s="46"/>
      <c r="C134" s="46"/>
      <c r="D134" s="46"/>
      <c r="E134" s="48"/>
      <c r="F134" s="48"/>
      <c r="G134" s="49"/>
      <c r="H134" s="68"/>
      <c r="I134" s="65" t="s">
        <v>467</v>
      </c>
      <c r="J134" s="296"/>
      <c r="K134" s="295"/>
      <c r="L134" s="295"/>
      <c r="M134" s="295">
        <v>20000</v>
      </c>
      <c r="N134" s="295" t="s">
        <v>364</v>
      </c>
      <c r="O134" s="296" t="s">
        <v>378</v>
      </c>
      <c r="P134" s="491">
        <v>52</v>
      </c>
      <c r="Q134" s="476">
        <v>4</v>
      </c>
      <c r="R134" s="295" t="s">
        <v>380</v>
      </c>
      <c r="S134" s="490">
        <v>0.7</v>
      </c>
      <c r="T134" s="295"/>
      <c r="U134" s="295" t="s">
        <v>377</v>
      </c>
      <c r="V134" s="295"/>
      <c r="W134" s="66"/>
      <c r="X134" s="66">
        <f>ROUND(M134*P134*Q134*S134,-3)</f>
        <v>2912000</v>
      </c>
      <c r="Y134" s="57" t="s">
        <v>25</v>
      </c>
      <c r="Z134" s="1"/>
    </row>
    <row r="135" spans="1:26" ht="21" customHeight="1">
      <c r="A135" s="45"/>
      <c r="B135" s="46"/>
      <c r="C135" s="46"/>
      <c r="D135" s="46"/>
      <c r="E135" s="48"/>
      <c r="F135" s="48"/>
      <c r="G135" s="49"/>
      <c r="H135" s="68"/>
      <c r="I135" s="65" t="s">
        <v>466</v>
      </c>
      <c r="J135" s="296"/>
      <c r="K135" s="295"/>
      <c r="L135" s="295"/>
      <c r="M135" s="295">
        <v>12000</v>
      </c>
      <c r="N135" s="295" t="s">
        <v>364</v>
      </c>
      <c r="O135" s="296" t="s">
        <v>378</v>
      </c>
      <c r="P135" s="491">
        <v>52</v>
      </c>
      <c r="Q135" s="476">
        <v>4</v>
      </c>
      <c r="R135" s="295" t="s">
        <v>380</v>
      </c>
      <c r="S135" s="490">
        <v>0.7</v>
      </c>
      <c r="T135" s="295"/>
      <c r="U135" s="295" t="s">
        <v>377</v>
      </c>
      <c r="V135" s="295"/>
      <c r="W135" s="66"/>
      <c r="X135" s="66">
        <f>ROUND(M135*P135*Q135*S135,-3)</f>
        <v>1747000</v>
      </c>
      <c r="Y135" s="57" t="s">
        <v>25</v>
      </c>
      <c r="Z135" s="1"/>
    </row>
    <row r="136" spans="1:26" ht="21" customHeight="1">
      <c r="A136" s="45"/>
      <c r="B136" s="46"/>
      <c r="C136" s="46"/>
      <c r="D136" s="46"/>
      <c r="E136" s="48"/>
      <c r="F136" s="48"/>
      <c r="G136" s="49"/>
      <c r="H136" s="68"/>
      <c r="I136" s="65" t="s">
        <v>465</v>
      </c>
      <c r="J136" s="296"/>
      <c r="K136" s="295"/>
      <c r="L136" s="295"/>
      <c r="M136" s="295"/>
      <c r="N136" s="295"/>
      <c r="O136" s="296"/>
      <c r="P136" s="491"/>
      <c r="Q136" s="476"/>
      <c r="R136" s="295"/>
      <c r="S136" s="295"/>
      <c r="T136" s="295"/>
      <c r="U136" s="295"/>
      <c r="V136" s="295"/>
      <c r="W136" s="66"/>
      <c r="X136" s="66"/>
      <c r="Y136" s="57"/>
      <c r="Z136" s="1"/>
    </row>
    <row r="137" spans="1:26" ht="21" customHeight="1">
      <c r="A137" s="45"/>
      <c r="B137" s="46"/>
      <c r="C137" s="46"/>
      <c r="D137" s="46"/>
      <c r="E137" s="48"/>
      <c r="F137" s="48"/>
      <c r="G137" s="49"/>
      <c r="H137" s="68"/>
      <c r="I137" s="65" t="s">
        <v>464</v>
      </c>
      <c r="J137" s="296"/>
      <c r="K137" s="295"/>
      <c r="L137" s="295"/>
      <c r="M137" s="295">
        <v>40000</v>
      </c>
      <c r="N137" s="295" t="s">
        <v>364</v>
      </c>
      <c r="O137" s="296" t="s">
        <v>378</v>
      </c>
      <c r="P137" s="491">
        <v>52</v>
      </c>
      <c r="Q137" s="476">
        <v>1</v>
      </c>
      <c r="R137" s="295" t="s">
        <v>380</v>
      </c>
      <c r="S137" s="490">
        <v>0.7</v>
      </c>
      <c r="T137" s="295"/>
      <c r="U137" s="295" t="s">
        <v>377</v>
      </c>
      <c r="V137" s="295"/>
      <c r="W137" s="66"/>
      <c r="X137" s="66">
        <f>ROUNDUP(M137*P137*Q137*S137,-3)</f>
        <v>1456000</v>
      </c>
      <c r="Y137" s="57" t="s">
        <v>25</v>
      </c>
      <c r="Z137" s="1"/>
    </row>
    <row r="138" spans="1:26" ht="21" customHeight="1">
      <c r="A138" s="45"/>
      <c r="B138" s="46"/>
      <c r="C138" s="46"/>
      <c r="D138" s="59"/>
      <c r="E138" s="61"/>
      <c r="F138" s="61"/>
      <c r="G138" s="62"/>
      <c r="H138" s="82"/>
      <c r="I138" s="69"/>
      <c r="J138" s="70"/>
      <c r="K138" s="482"/>
      <c r="L138" s="482"/>
      <c r="M138" s="224"/>
      <c r="N138" s="224"/>
      <c r="O138" s="481"/>
      <c r="P138" s="224"/>
      <c r="Q138" s="125"/>
      <c r="R138" s="480"/>
      <c r="S138" s="489"/>
      <c r="T138" s="201"/>
      <c r="U138" s="201"/>
      <c r="V138" s="479"/>
      <c r="W138" s="361"/>
      <c r="X138" s="70"/>
      <c r="Y138" s="71"/>
      <c r="Z138" s="1"/>
    </row>
    <row r="139" spans="1:26" ht="21" customHeight="1" thickBot="1">
      <c r="A139" s="45"/>
      <c r="B139" s="46"/>
      <c r="C139" s="46"/>
      <c r="D139" s="36" t="s">
        <v>463</v>
      </c>
      <c r="E139" s="37">
        <v>108651</v>
      </c>
      <c r="F139" s="237">
        <f>ROUND(X139/1000,0)</f>
        <v>119475</v>
      </c>
      <c r="G139" s="38">
        <f>F139-E139</f>
        <v>10824</v>
      </c>
      <c r="H139" s="115">
        <f>IF(E139=0,0,G139/E139)</f>
        <v>9.9621724604467513E-2</v>
      </c>
      <c r="I139" s="243" t="s">
        <v>462</v>
      </c>
      <c r="J139" s="242"/>
      <c r="K139" s="247"/>
      <c r="L139" s="247"/>
      <c r="M139" s="86"/>
      <c r="N139" s="86"/>
      <c r="O139" s="238"/>
      <c r="P139" s="86"/>
      <c r="Q139" s="239"/>
      <c r="R139" s="240"/>
      <c r="S139" s="241"/>
      <c r="T139" s="246"/>
      <c r="U139" s="246"/>
      <c r="V139" s="244" t="s">
        <v>461</v>
      </c>
      <c r="W139" s="245"/>
      <c r="X139" s="245">
        <f>X140+X158</f>
        <v>119475000</v>
      </c>
      <c r="Y139" s="268" t="s">
        <v>364</v>
      </c>
      <c r="Z139" s="1"/>
    </row>
    <row r="140" spans="1:26" ht="21" customHeight="1">
      <c r="A140" s="45"/>
      <c r="B140" s="46"/>
      <c r="C140" s="46"/>
      <c r="D140" s="46" t="s">
        <v>460</v>
      </c>
      <c r="E140" s="48"/>
      <c r="F140" s="48"/>
      <c r="G140" s="49"/>
      <c r="H140" s="68"/>
      <c r="I140" s="488" t="s">
        <v>459</v>
      </c>
      <c r="J140" s="66"/>
      <c r="K140" s="210"/>
      <c r="L140" s="210"/>
      <c r="M140" s="295"/>
      <c r="N140" s="295"/>
      <c r="O140" s="208"/>
      <c r="P140" s="295"/>
      <c r="Q140" s="54"/>
      <c r="R140" s="478"/>
      <c r="S140" s="56"/>
      <c r="T140" s="459"/>
      <c r="U140" s="459"/>
      <c r="V140" s="224" t="s">
        <v>458</v>
      </c>
      <c r="W140" s="70"/>
      <c r="X140" s="224">
        <f>SUM(X141,X145,X149,X151)</f>
        <v>100395000</v>
      </c>
      <c r="Y140" s="71" t="s">
        <v>25</v>
      </c>
      <c r="Z140" s="1"/>
    </row>
    <row r="141" spans="1:26" ht="21" customHeight="1">
      <c r="A141" s="45"/>
      <c r="B141" s="46"/>
      <c r="C141" s="46"/>
      <c r="D141" s="46"/>
      <c r="E141" s="48"/>
      <c r="F141" s="48"/>
      <c r="G141" s="49"/>
      <c r="H141" s="68"/>
      <c r="I141" s="69" t="s">
        <v>457</v>
      </c>
      <c r="J141" s="296"/>
      <c r="K141" s="295"/>
      <c r="L141" s="295"/>
      <c r="M141" s="295"/>
      <c r="N141" s="295"/>
      <c r="O141" s="72"/>
      <c r="P141" s="75"/>
      <c r="Q141" s="295"/>
      <c r="R141" s="295"/>
      <c r="S141" s="295"/>
      <c r="T141" s="295"/>
      <c r="U141" s="295"/>
      <c r="V141" s="224" t="s">
        <v>365</v>
      </c>
      <c r="W141" s="70"/>
      <c r="X141" s="224">
        <f>SUM(X142:X144)</f>
        <v>61714000</v>
      </c>
      <c r="Y141" s="71" t="s">
        <v>25</v>
      </c>
      <c r="Z141" s="1"/>
    </row>
    <row r="142" spans="1:26" ht="21" customHeight="1">
      <c r="A142" s="45"/>
      <c r="B142" s="46"/>
      <c r="C142" s="46"/>
      <c r="D142" s="46"/>
      <c r="E142" s="48"/>
      <c r="F142" s="48"/>
      <c r="G142" s="49"/>
      <c r="H142" s="68"/>
      <c r="I142" s="288" t="s">
        <v>456</v>
      </c>
      <c r="J142" s="296"/>
      <c r="K142" s="295"/>
      <c r="L142" s="295"/>
      <c r="M142" s="295">
        <f>M81</f>
        <v>23612000</v>
      </c>
      <c r="N142" s="295" t="s">
        <v>364</v>
      </c>
      <c r="O142" s="72" t="s">
        <v>378</v>
      </c>
      <c r="P142" s="75">
        <v>0.9</v>
      </c>
      <c r="Q142" s="295"/>
      <c r="R142" s="295"/>
      <c r="S142" s="295"/>
      <c r="T142" s="295"/>
      <c r="U142" s="295" t="s">
        <v>377</v>
      </c>
      <c r="V142" s="86"/>
      <c r="W142" s="242"/>
      <c r="X142" s="86">
        <f>ROUNDUP(M142*P142,-3)</f>
        <v>21251000</v>
      </c>
      <c r="Y142" s="487" t="s">
        <v>364</v>
      </c>
      <c r="Z142" s="1"/>
    </row>
    <row r="143" spans="1:26" ht="21" customHeight="1">
      <c r="A143" s="45"/>
      <c r="B143" s="46"/>
      <c r="C143" s="46"/>
      <c r="D143" s="46"/>
      <c r="E143" s="48"/>
      <c r="F143" s="48"/>
      <c r="G143" s="49"/>
      <c r="H143" s="68"/>
      <c r="I143" s="285" t="s">
        <v>455</v>
      </c>
      <c r="J143" s="296"/>
      <c r="K143" s="295"/>
      <c r="L143" s="295"/>
      <c r="M143" s="295">
        <f>M82</f>
        <v>23907000</v>
      </c>
      <c r="N143" s="295" t="s">
        <v>364</v>
      </c>
      <c r="O143" s="72" t="s">
        <v>378</v>
      </c>
      <c r="P143" s="75">
        <v>0.9</v>
      </c>
      <c r="Q143" s="295"/>
      <c r="R143" s="295"/>
      <c r="S143" s="295"/>
      <c r="T143" s="295"/>
      <c r="U143" s="295" t="s">
        <v>377</v>
      </c>
      <c r="V143" s="295"/>
      <c r="W143" s="66"/>
      <c r="X143" s="295">
        <f>ROUND(M143*P143,-3)</f>
        <v>21516000</v>
      </c>
      <c r="Y143" s="57" t="s">
        <v>364</v>
      </c>
      <c r="Z143" s="1"/>
    </row>
    <row r="144" spans="1:26" ht="21" customHeight="1">
      <c r="A144" s="45"/>
      <c r="B144" s="46"/>
      <c r="C144" s="46"/>
      <c r="D144" s="46"/>
      <c r="E144" s="48"/>
      <c r="F144" s="48"/>
      <c r="G144" s="49"/>
      <c r="H144" s="68"/>
      <c r="I144" s="285" t="s">
        <v>454</v>
      </c>
      <c r="J144" s="296"/>
      <c r="K144" s="295"/>
      <c r="L144" s="295"/>
      <c r="M144" s="295">
        <f>M83</f>
        <v>21052000</v>
      </c>
      <c r="N144" s="295" t="s">
        <v>364</v>
      </c>
      <c r="O144" s="72" t="s">
        <v>378</v>
      </c>
      <c r="P144" s="75">
        <v>0.9</v>
      </c>
      <c r="Q144" s="295"/>
      <c r="R144" s="295"/>
      <c r="S144" s="295"/>
      <c r="T144" s="295"/>
      <c r="U144" s="295" t="s">
        <v>377</v>
      </c>
      <c r="V144" s="295"/>
      <c r="W144" s="66"/>
      <c r="X144" s="295">
        <f>ROUNDUP(M144*P144,-3)</f>
        <v>18947000</v>
      </c>
      <c r="Y144" s="57" t="s">
        <v>364</v>
      </c>
      <c r="Z144" s="1"/>
    </row>
    <row r="145" spans="1:26" ht="21" customHeight="1">
      <c r="A145" s="45"/>
      <c r="B145" s="46"/>
      <c r="C145" s="46"/>
      <c r="D145" s="46"/>
      <c r="E145" s="48"/>
      <c r="F145" s="48"/>
      <c r="G145" s="49"/>
      <c r="H145" s="68"/>
      <c r="I145" s="69" t="s">
        <v>453</v>
      </c>
      <c r="J145" s="296"/>
      <c r="K145" s="295"/>
      <c r="L145" s="295"/>
      <c r="M145" s="295"/>
      <c r="N145" s="295"/>
      <c r="O145" s="295"/>
      <c r="P145" s="295"/>
      <c r="Q145" s="295"/>
      <c r="R145" s="295"/>
      <c r="S145" s="295"/>
      <c r="T145" s="295"/>
      <c r="U145" s="295"/>
      <c r="V145" s="224" t="s">
        <v>365</v>
      </c>
      <c r="W145" s="70"/>
      <c r="X145" s="224">
        <f>SUM(X146:X148)</f>
        <v>23413000</v>
      </c>
      <c r="Y145" s="71" t="s">
        <v>25</v>
      </c>
      <c r="Z145" s="1"/>
    </row>
    <row r="146" spans="1:26" ht="21" customHeight="1">
      <c r="A146" s="45"/>
      <c r="B146" s="46"/>
      <c r="C146" s="46"/>
      <c r="D146" s="46"/>
      <c r="E146" s="48"/>
      <c r="F146" s="48"/>
      <c r="G146" s="49"/>
      <c r="H146" s="68"/>
      <c r="I146" s="285" t="s">
        <v>452</v>
      </c>
      <c r="J146" s="296"/>
      <c r="K146" s="295"/>
      <c r="L146" s="295"/>
      <c r="M146" s="295">
        <f>M85</f>
        <v>6843000</v>
      </c>
      <c r="N146" s="295" t="s">
        <v>364</v>
      </c>
      <c r="O146" s="72" t="s">
        <v>378</v>
      </c>
      <c r="P146" s="75">
        <v>0.9</v>
      </c>
      <c r="Q146" s="295"/>
      <c r="R146" s="295"/>
      <c r="S146" s="295"/>
      <c r="T146" s="295"/>
      <c r="U146" s="295" t="s">
        <v>377</v>
      </c>
      <c r="V146" s="695"/>
      <c r="W146" s="695"/>
      <c r="X146" s="242">
        <f>ROUND(M146*P146,-3)</f>
        <v>6159000</v>
      </c>
      <c r="Y146" s="487" t="s">
        <v>364</v>
      </c>
      <c r="Z146" s="1"/>
    </row>
    <row r="147" spans="1:26" ht="21" customHeight="1">
      <c r="A147" s="45"/>
      <c r="B147" s="46"/>
      <c r="C147" s="46"/>
      <c r="D147" s="46"/>
      <c r="E147" s="48"/>
      <c r="F147" s="48"/>
      <c r="G147" s="49"/>
      <c r="H147" s="68"/>
      <c r="I147" s="282" t="s">
        <v>451</v>
      </c>
      <c r="J147" s="296"/>
      <c r="K147" s="295"/>
      <c r="L147" s="295"/>
      <c r="M147" s="295">
        <f t="shared" ref="M147:M148" si="2">M86</f>
        <v>2880000</v>
      </c>
      <c r="N147" s="295" t="s">
        <v>364</v>
      </c>
      <c r="O147" s="72" t="s">
        <v>378</v>
      </c>
      <c r="P147" s="75">
        <v>0.9</v>
      </c>
      <c r="Q147" s="295"/>
      <c r="R147" s="295"/>
      <c r="S147" s="295"/>
      <c r="T147" s="295"/>
      <c r="U147" s="295" t="s">
        <v>377</v>
      </c>
      <c r="V147" s="694"/>
      <c r="W147" s="694"/>
      <c r="X147" s="66">
        <f>ROUND(M147*P147,-3)</f>
        <v>2592000</v>
      </c>
      <c r="Y147" s="57" t="s">
        <v>364</v>
      </c>
      <c r="Z147" s="1"/>
    </row>
    <row r="148" spans="1:26" ht="21" customHeight="1">
      <c r="A148" s="45"/>
      <c r="B148" s="46"/>
      <c r="C148" s="46"/>
      <c r="D148" s="46"/>
      <c r="E148" s="48"/>
      <c r="F148" s="48"/>
      <c r="G148" s="49"/>
      <c r="H148" s="68"/>
      <c r="I148" s="285" t="s">
        <v>450</v>
      </c>
      <c r="J148" s="296"/>
      <c r="K148" s="295"/>
      <c r="L148" s="295"/>
      <c r="M148" s="295">
        <f t="shared" si="2"/>
        <v>16291000</v>
      </c>
      <c r="N148" s="295" t="s">
        <v>364</v>
      </c>
      <c r="O148" s="72" t="s">
        <v>378</v>
      </c>
      <c r="P148" s="75">
        <v>0.9</v>
      </c>
      <c r="Q148" s="295"/>
      <c r="R148" s="295"/>
      <c r="S148" s="295"/>
      <c r="T148" s="295"/>
      <c r="U148" s="295" t="s">
        <v>377</v>
      </c>
      <c r="V148" s="694"/>
      <c r="W148" s="694"/>
      <c r="X148" s="66">
        <f>ROUND(M148*P148,-3)</f>
        <v>14662000</v>
      </c>
      <c r="Y148" s="57" t="s">
        <v>364</v>
      </c>
      <c r="Z148" s="1"/>
    </row>
    <row r="149" spans="1:26" ht="21" customHeight="1">
      <c r="A149" s="45"/>
      <c r="B149" s="46"/>
      <c r="C149" s="46"/>
      <c r="D149" s="46"/>
      <c r="E149" s="48"/>
      <c r="F149" s="48"/>
      <c r="G149" s="49"/>
      <c r="H149" s="68"/>
      <c r="I149" s="69" t="s">
        <v>449</v>
      </c>
      <c r="J149" s="296"/>
      <c r="K149" s="295"/>
      <c r="L149" s="295"/>
      <c r="M149" s="295"/>
      <c r="N149" s="295"/>
      <c r="O149" s="295"/>
      <c r="P149" s="295"/>
      <c r="Q149" s="295"/>
      <c r="R149" s="295"/>
      <c r="S149" s="295"/>
      <c r="T149" s="295"/>
      <c r="U149" s="295"/>
      <c r="V149" s="224" t="s">
        <v>365</v>
      </c>
      <c r="W149" s="70"/>
      <c r="X149" s="224">
        <f>X150</f>
        <v>7095000</v>
      </c>
      <c r="Y149" s="71" t="s">
        <v>25</v>
      </c>
      <c r="Z149" s="1"/>
    </row>
    <row r="150" spans="1:26" ht="21" customHeight="1">
      <c r="A150" s="45"/>
      <c r="B150" s="46"/>
      <c r="C150" s="46"/>
      <c r="D150" s="46"/>
      <c r="E150" s="48"/>
      <c r="F150" s="48"/>
      <c r="G150" s="49"/>
      <c r="H150" s="68"/>
      <c r="I150" s="285" t="s">
        <v>448</v>
      </c>
      <c r="J150" s="296"/>
      <c r="K150" s="295"/>
      <c r="L150" s="295"/>
      <c r="M150" s="295">
        <f>SUM(M141:M148)</f>
        <v>94585000</v>
      </c>
      <c r="N150" s="54" t="s">
        <v>387</v>
      </c>
      <c r="O150" s="459" t="s">
        <v>390</v>
      </c>
      <c r="P150" s="486">
        <v>12</v>
      </c>
      <c r="Q150" s="208" t="s">
        <v>389</v>
      </c>
      <c r="R150" s="72" t="s">
        <v>391</v>
      </c>
      <c r="S150" s="75">
        <v>0.9</v>
      </c>
      <c r="T150" s="295"/>
      <c r="U150" s="295" t="s">
        <v>388</v>
      </c>
      <c r="V150" s="86"/>
      <c r="W150" s="86"/>
      <c r="X150" s="242">
        <f>ROUNDUP(M150/P150*S150,-3)+1000</f>
        <v>7095000</v>
      </c>
      <c r="Y150" s="485" t="s">
        <v>387</v>
      </c>
      <c r="Z150" s="1"/>
    </row>
    <row r="151" spans="1:26" ht="21" customHeight="1">
      <c r="A151" s="45"/>
      <c r="B151" s="46"/>
      <c r="C151" s="46"/>
      <c r="D151" s="46"/>
      <c r="E151" s="48"/>
      <c r="F151" s="48"/>
      <c r="G151" s="49"/>
      <c r="H151" s="68"/>
      <c r="I151" s="69" t="s">
        <v>447</v>
      </c>
      <c r="J151" s="296"/>
      <c r="K151" s="295"/>
      <c r="L151" s="295"/>
      <c r="M151" s="295"/>
      <c r="N151" s="54"/>
      <c r="O151" s="295"/>
      <c r="P151" s="295"/>
      <c r="Q151" s="295"/>
      <c r="R151" s="295"/>
      <c r="S151" s="295"/>
      <c r="T151" s="295"/>
      <c r="U151" s="295"/>
      <c r="V151" s="224" t="s">
        <v>392</v>
      </c>
      <c r="W151" s="70"/>
      <c r="X151" s="224">
        <f>SUM(X152:X156)</f>
        <v>8173000</v>
      </c>
      <c r="Y151" s="71" t="s">
        <v>25</v>
      </c>
      <c r="Z151" s="1"/>
    </row>
    <row r="152" spans="1:26" ht="21" customHeight="1">
      <c r="A152" s="45"/>
      <c r="B152" s="46"/>
      <c r="C152" s="46"/>
      <c r="D152" s="46"/>
      <c r="E152" s="48"/>
      <c r="F152" s="48"/>
      <c r="G152" s="49"/>
      <c r="H152" s="68"/>
      <c r="I152" s="285" t="s">
        <v>446</v>
      </c>
      <c r="J152" s="296"/>
      <c r="K152" s="295"/>
      <c r="L152" s="295"/>
      <c r="M152" s="295">
        <f>M150</f>
        <v>94585000</v>
      </c>
      <c r="N152" s="54" t="s">
        <v>387</v>
      </c>
      <c r="O152" s="72" t="s">
        <v>391</v>
      </c>
      <c r="P152" s="474">
        <v>0.09</v>
      </c>
      <c r="Q152" s="459">
        <v>2</v>
      </c>
      <c r="R152" s="72" t="s">
        <v>391</v>
      </c>
      <c r="S152" s="75">
        <v>0.9</v>
      </c>
      <c r="T152" s="74"/>
      <c r="U152" s="459" t="s">
        <v>388</v>
      </c>
      <c r="V152" s="295"/>
      <c r="W152" s="66"/>
      <c r="X152" s="66">
        <f>ROUNDUP(M152*P152/Q152*S152,-3)</f>
        <v>3831000</v>
      </c>
      <c r="Y152" s="57" t="s">
        <v>387</v>
      </c>
      <c r="Z152" s="1"/>
    </row>
    <row r="153" spans="1:26" ht="21" customHeight="1">
      <c r="A153" s="45"/>
      <c r="B153" s="46"/>
      <c r="C153" s="46"/>
      <c r="D153" s="46"/>
      <c r="E153" s="48"/>
      <c r="F153" s="48"/>
      <c r="G153" s="49"/>
      <c r="H153" s="68"/>
      <c r="I153" s="285" t="s">
        <v>445</v>
      </c>
      <c r="J153" s="296"/>
      <c r="K153" s="295"/>
      <c r="L153" s="295"/>
      <c r="M153" s="295">
        <f>M150</f>
        <v>94585000</v>
      </c>
      <c r="N153" s="54" t="s">
        <v>387</v>
      </c>
      <c r="O153" s="72" t="s">
        <v>391</v>
      </c>
      <c r="P153" s="473">
        <v>6.4600000000000005E-2</v>
      </c>
      <c r="Q153" s="459">
        <v>2</v>
      </c>
      <c r="R153" s="72" t="s">
        <v>391</v>
      </c>
      <c r="S153" s="75">
        <v>0.9</v>
      </c>
      <c r="T153" s="74"/>
      <c r="U153" s="459" t="s">
        <v>388</v>
      </c>
      <c r="V153" s="295"/>
      <c r="W153" s="66"/>
      <c r="X153" s="66">
        <f>ROUNDDOWN(ROUNDUP(M153*P153/Q153,-3)*S153,-3)</f>
        <v>2750000</v>
      </c>
      <c r="Y153" s="57" t="s">
        <v>387</v>
      </c>
      <c r="Z153" s="1"/>
    </row>
    <row r="154" spans="1:26" ht="21" customHeight="1">
      <c r="A154" s="45"/>
      <c r="B154" s="46"/>
      <c r="C154" s="46"/>
      <c r="D154" s="46"/>
      <c r="E154" s="48"/>
      <c r="F154" s="48"/>
      <c r="G154" s="49"/>
      <c r="H154" s="68"/>
      <c r="I154" s="285" t="s">
        <v>444</v>
      </c>
      <c r="J154" s="296"/>
      <c r="K154" s="295"/>
      <c r="L154" s="295"/>
      <c r="M154" s="295">
        <f>X153</f>
        <v>2750000</v>
      </c>
      <c r="N154" s="54" t="s">
        <v>387</v>
      </c>
      <c r="O154" s="72" t="s">
        <v>391</v>
      </c>
      <c r="P154" s="76">
        <v>8.5099999999999995E-2</v>
      </c>
      <c r="Q154" s="472"/>
      <c r="R154" s="72"/>
      <c r="S154" s="75"/>
      <c r="T154" s="471"/>
      <c r="U154" s="459" t="s">
        <v>388</v>
      </c>
      <c r="V154" s="295"/>
      <c r="W154" s="66"/>
      <c r="X154" s="66">
        <f>ROUNDUP(M154*P154,-3)</f>
        <v>235000</v>
      </c>
      <c r="Y154" s="57" t="s">
        <v>387</v>
      </c>
      <c r="Z154" s="1"/>
    </row>
    <row r="155" spans="1:26" ht="21" customHeight="1">
      <c r="A155" s="45"/>
      <c r="B155" s="46"/>
      <c r="C155" s="46"/>
      <c r="D155" s="46"/>
      <c r="E155" s="48"/>
      <c r="F155" s="48"/>
      <c r="G155" s="49"/>
      <c r="H155" s="68"/>
      <c r="I155" s="285" t="s">
        <v>443</v>
      </c>
      <c r="J155" s="296"/>
      <c r="K155" s="295"/>
      <c r="L155" s="295"/>
      <c r="M155" s="295">
        <f>M150</f>
        <v>94585000</v>
      </c>
      <c r="N155" s="54" t="s">
        <v>387</v>
      </c>
      <c r="O155" s="72" t="s">
        <v>391</v>
      </c>
      <c r="P155" s="76">
        <v>8.9999999999999993E-3</v>
      </c>
      <c r="Q155" s="72"/>
      <c r="R155" s="72" t="s">
        <v>391</v>
      </c>
      <c r="S155" s="75">
        <v>0.9</v>
      </c>
      <c r="T155" s="74"/>
      <c r="U155" s="459" t="s">
        <v>388</v>
      </c>
      <c r="V155" s="295"/>
      <c r="W155" s="66"/>
      <c r="X155" s="66">
        <f>ROUNDUP(M155*P155*S155,-3)</f>
        <v>767000</v>
      </c>
      <c r="Y155" s="57" t="s">
        <v>387</v>
      </c>
      <c r="Z155" s="1"/>
    </row>
    <row r="156" spans="1:26" ht="21" customHeight="1">
      <c r="A156" s="45"/>
      <c r="B156" s="46"/>
      <c r="C156" s="46"/>
      <c r="D156" s="46"/>
      <c r="E156" s="48"/>
      <c r="F156" s="48"/>
      <c r="G156" s="49"/>
      <c r="H156" s="68"/>
      <c r="I156" s="285" t="s">
        <v>442</v>
      </c>
      <c r="J156" s="296"/>
      <c r="K156" s="295"/>
      <c r="L156" s="295"/>
      <c r="M156" s="295">
        <f>M150</f>
        <v>94585000</v>
      </c>
      <c r="N156" s="54" t="s">
        <v>387</v>
      </c>
      <c r="O156" s="72" t="s">
        <v>391</v>
      </c>
      <c r="P156" s="470">
        <v>6.9300000000000004E-3</v>
      </c>
      <c r="Q156" s="72"/>
      <c r="R156" s="72" t="s">
        <v>391</v>
      </c>
      <c r="S156" s="75">
        <v>0.9</v>
      </c>
      <c r="T156" s="74"/>
      <c r="U156" s="459" t="s">
        <v>388</v>
      </c>
      <c r="V156" s="295"/>
      <c r="W156" s="66"/>
      <c r="X156" s="66">
        <f>ROUNDUP(M156*P156*S156,-3)</f>
        <v>590000</v>
      </c>
      <c r="Y156" s="57" t="s">
        <v>387</v>
      </c>
      <c r="Z156" s="1"/>
    </row>
    <row r="157" spans="1:26" ht="21" customHeight="1">
      <c r="A157" s="45"/>
      <c r="B157" s="46"/>
      <c r="C157" s="46"/>
      <c r="D157" s="46"/>
      <c r="E157" s="48"/>
      <c r="F157" s="48"/>
      <c r="G157" s="49"/>
      <c r="H157" s="68"/>
      <c r="I157" s="65"/>
      <c r="J157" s="66"/>
      <c r="K157" s="210"/>
      <c r="L157" s="210"/>
      <c r="M157" s="295"/>
      <c r="N157" s="295"/>
      <c r="O157" s="208"/>
      <c r="P157" s="295"/>
      <c r="Q157" s="54"/>
      <c r="R157" s="478"/>
      <c r="S157" s="56"/>
      <c r="T157" s="459"/>
      <c r="U157" s="459"/>
      <c r="V157" s="75"/>
      <c r="W157" s="296"/>
      <c r="X157" s="66"/>
      <c r="Y157" s="57"/>
      <c r="Z157" s="1"/>
    </row>
    <row r="158" spans="1:26" ht="21" customHeight="1">
      <c r="A158" s="45"/>
      <c r="B158" s="46"/>
      <c r="C158" s="46"/>
      <c r="D158" s="46"/>
      <c r="E158" s="48"/>
      <c r="F158" s="48"/>
      <c r="G158" s="49"/>
      <c r="H158" s="68"/>
      <c r="I158" s="69" t="s">
        <v>441</v>
      </c>
      <c r="J158" s="66"/>
      <c r="K158" s="210"/>
      <c r="L158" s="210"/>
      <c r="M158" s="295"/>
      <c r="N158" s="295"/>
      <c r="O158" s="208"/>
      <c r="P158" s="295"/>
      <c r="Q158" s="54"/>
      <c r="R158" s="478"/>
      <c r="S158" s="56"/>
      <c r="T158" s="459"/>
      <c r="U158" s="459"/>
      <c r="V158" s="224" t="s">
        <v>440</v>
      </c>
      <c r="W158" s="70"/>
      <c r="X158" s="224">
        <f>SUM(X159:X161)</f>
        <v>19080000</v>
      </c>
      <c r="Y158" s="71" t="s">
        <v>25</v>
      </c>
      <c r="Z158" s="1"/>
    </row>
    <row r="159" spans="1:26" ht="21" customHeight="1">
      <c r="A159" s="45"/>
      <c r="B159" s="46"/>
      <c r="C159" s="46"/>
      <c r="D159" s="46"/>
      <c r="E159" s="48"/>
      <c r="F159" s="48"/>
      <c r="G159" s="49"/>
      <c r="H159" s="68"/>
      <c r="I159" s="285" t="s">
        <v>609</v>
      </c>
      <c r="J159" s="557"/>
      <c r="K159" s="556"/>
      <c r="L159" s="556"/>
      <c r="M159" s="518">
        <v>300000</v>
      </c>
      <c r="N159" s="392" t="s">
        <v>588</v>
      </c>
      <c r="O159" s="392" t="s">
        <v>592</v>
      </c>
      <c r="P159" s="559">
        <v>1</v>
      </c>
      <c r="Q159" s="483">
        <v>12</v>
      </c>
      <c r="R159" s="392" t="s">
        <v>590</v>
      </c>
      <c r="S159" s="520">
        <v>0.9</v>
      </c>
      <c r="T159" s="392"/>
      <c r="U159" s="392" t="s">
        <v>591</v>
      </c>
      <c r="V159" s="556"/>
      <c r="W159" s="130"/>
      <c r="X159" s="556">
        <f>M159*P159*Q159*S159</f>
        <v>3240000</v>
      </c>
      <c r="Y159" s="131" t="s">
        <v>588</v>
      </c>
      <c r="Z159" s="1"/>
    </row>
    <row r="160" spans="1:26" ht="21" customHeight="1">
      <c r="A160" s="45"/>
      <c r="B160" s="46"/>
      <c r="C160" s="46"/>
      <c r="D160" s="46"/>
      <c r="E160" s="48"/>
      <c r="F160" s="48"/>
      <c r="G160" s="49"/>
      <c r="H160" s="68"/>
      <c r="I160" s="285" t="s">
        <v>439</v>
      </c>
      <c r="J160" s="296"/>
      <c r="K160" s="295"/>
      <c r="L160" s="295"/>
      <c r="M160" s="477">
        <v>5000000</v>
      </c>
      <c r="N160" s="67" t="s">
        <v>387</v>
      </c>
      <c r="O160" s="67" t="s">
        <v>391</v>
      </c>
      <c r="P160" s="75">
        <v>0.9</v>
      </c>
      <c r="Q160" s="476"/>
      <c r="R160" s="67"/>
      <c r="S160" s="475"/>
      <c r="T160" s="67"/>
      <c r="U160" s="67" t="s">
        <v>388</v>
      </c>
      <c r="V160" s="295"/>
      <c r="W160" s="66"/>
      <c r="X160" s="295">
        <f>M160*P160</f>
        <v>4500000</v>
      </c>
      <c r="Y160" s="57" t="s">
        <v>387</v>
      </c>
      <c r="Z160" s="1"/>
    </row>
    <row r="161" spans="1:26" ht="21" customHeight="1">
      <c r="A161" s="45"/>
      <c r="B161" s="46"/>
      <c r="C161" s="46"/>
      <c r="D161" s="46"/>
      <c r="E161" s="48"/>
      <c r="F161" s="48"/>
      <c r="G161" s="49"/>
      <c r="H161" s="68"/>
      <c r="I161" s="285" t="s">
        <v>438</v>
      </c>
      <c r="J161" s="296"/>
      <c r="K161" s="295"/>
      <c r="L161" s="295"/>
      <c r="M161" s="477">
        <v>70000</v>
      </c>
      <c r="N161" s="67" t="s">
        <v>387</v>
      </c>
      <c r="O161" s="67" t="s">
        <v>391</v>
      </c>
      <c r="P161" s="484">
        <v>1</v>
      </c>
      <c r="Q161" s="483">
        <v>180</v>
      </c>
      <c r="R161" s="67" t="s">
        <v>437</v>
      </c>
      <c r="S161" s="475">
        <v>0.9</v>
      </c>
      <c r="T161" s="67"/>
      <c r="U161" s="67" t="s">
        <v>388</v>
      </c>
      <c r="V161" s="295"/>
      <c r="W161" s="66"/>
      <c r="X161" s="277">
        <f>M161*P161*Q161*S161</f>
        <v>11340000</v>
      </c>
      <c r="Y161" s="303" t="s">
        <v>387</v>
      </c>
    </row>
    <row r="162" spans="1:26" ht="21" customHeight="1">
      <c r="A162" s="45"/>
      <c r="B162" s="46"/>
      <c r="C162" s="46"/>
      <c r="D162" s="59"/>
      <c r="E162" s="61"/>
      <c r="F162" s="61"/>
      <c r="G162" s="62"/>
      <c r="H162" s="82"/>
      <c r="I162" s="361"/>
      <c r="J162" s="70"/>
      <c r="K162" s="482"/>
      <c r="L162" s="482"/>
      <c r="M162" s="579"/>
      <c r="N162" s="224"/>
      <c r="O162" s="481"/>
      <c r="P162" s="224"/>
      <c r="Q162" s="125"/>
      <c r="R162" s="480"/>
      <c r="S162" s="224"/>
      <c r="T162" s="201"/>
      <c r="U162" s="201"/>
      <c r="V162" s="479"/>
      <c r="W162" s="361"/>
      <c r="X162" s="70"/>
      <c r="Y162" s="71"/>
    </row>
    <row r="163" spans="1:26" ht="21" customHeight="1">
      <c r="A163" s="45"/>
      <c r="B163" s="46"/>
      <c r="C163" s="46"/>
      <c r="D163" s="46" t="s">
        <v>436</v>
      </c>
      <c r="E163" s="48">
        <v>18759</v>
      </c>
      <c r="F163" s="237">
        <f>ROUND(X163/1000,0)</f>
        <v>18778</v>
      </c>
      <c r="G163" s="49">
        <f>F163-E163</f>
        <v>19</v>
      </c>
      <c r="H163" s="68">
        <f>IF(E163=0,0,G163/E163)</f>
        <v>1.0128471666933205E-3</v>
      </c>
      <c r="I163" s="446"/>
      <c r="J163" s="66"/>
      <c r="K163" s="210"/>
      <c r="L163" s="210"/>
      <c r="M163" s="295"/>
      <c r="N163" s="295"/>
      <c r="O163" s="208"/>
      <c r="P163" s="295"/>
      <c r="Q163" s="54"/>
      <c r="R163" s="478"/>
      <c r="S163" s="56"/>
      <c r="T163" s="459"/>
      <c r="U163" s="459"/>
      <c r="V163" s="224" t="s">
        <v>435</v>
      </c>
      <c r="W163" s="70"/>
      <c r="X163" s="224">
        <f>SUM(X164:X166)</f>
        <v>18778000</v>
      </c>
      <c r="Y163" s="71" t="s">
        <v>25</v>
      </c>
    </row>
    <row r="164" spans="1:26" ht="21" customHeight="1">
      <c r="A164" s="45"/>
      <c r="B164" s="46"/>
      <c r="C164" s="46"/>
      <c r="D164" s="46"/>
      <c r="E164" s="48"/>
      <c r="F164" s="48"/>
      <c r="G164" s="49"/>
      <c r="H164" s="68"/>
      <c r="I164" s="279" t="s">
        <v>541</v>
      </c>
      <c r="J164" s="66"/>
      <c r="K164" s="210"/>
      <c r="L164" s="210"/>
      <c r="M164" s="477">
        <v>5000000</v>
      </c>
      <c r="N164" s="67" t="s">
        <v>387</v>
      </c>
      <c r="O164" s="67" t="s">
        <v>391</v>
      </c>
      <c r="P164" s="75">
        <v>0.7</v>
      </c>
      <c r="Q164" s="476"/>
      <c r="R164" s="67"/>
      <c r="S164" s="475"/>
      <c r="T164" s="67"/>
      <c r="U164" s="67" t="s">
        <v>388</v>
      </c>
      <c r="V164" s="295"/>
      <c r="W164" s="66"/>
      <c r="X164" s="295">
        <f>ROUND(M164*P164,-3)</f>
        <v>3500000</v>
      </c>
      <c r="Y164" s="57" t="s">
        <v>387</v>
      </c>
    </row>
    <row r="165" spans="1:26" ht="21" customHeight="1">
      <c r="A165" s="45"/>
      <c r="B165" s="46"/>
      <c r="C165" s="46"/>
      <c r="D165" s="46"/>
      <c r="E165" s="48"/>
      <c r="F165" s="48"/>
      <c r="G165" s="49"/>
      <c r="H165" s="68"/>
      <c r="I165" s="279" t="s">
        <v>434</v>
      </c>
      <c r="J165" s="66"/>
      <c r="K165" s="210"/>
      <c r="L165" s="210"/>
      <c r="M165" s="477">
        <v>18556000</v>
      </c>
      <c r="N165" s="67" t="s">
        <v>387</v>
      </c>
      <c r="O165" s="67" t="s">
        <v>391</v>
      </c>
      <c r="P165" s="75">
        <v>0.5</v>
      </c>
      <c r="Q165" s="476"/>
      <c r="R165" s="67"/>
      <c r="S165" s="475"/>
      <c r="T165" s="67"/>
      <c r="U165" s="67" t="s">
        <v>388</v>
      </c>
      <c r="V165" s="295"/>
      <c r="W165" s="66"/>
      <c r="X165" s="295">
        <f>ROUNDDOWN(M165*P165,-3)</f>
        <v>9278000</v>
      </c>
      <c r="Y165" s="57" t="s">
        <v>387</v>
      </c>
    </row>
    <row r="166" spans="1:26" ht="21" customHeight="1">
      <c r="A166" s="45"/>
      <c r="B166" s="46"/>
      <c r="C166" s="46"/>
      <c r="D166" s="46"/>
      <c r="E166" s="48"/>
      <c r="F166" s="48"/>
      <c r="G166" s="49"/>
      <c r="H166" s="68"/>
      <c r="I166" s="285" t="s">
        <v>534</v>
      </c>
      <c r="J166" s="567"/>
      <c r="K166" s="566"/>
      <c r="L166" s="566"/>
      <c r="M166" s="518">
        <v>300000</v>
      </c>
      <c r="N166" s="392" t="s">
        <v>56</v>
      </c>
      <c r="O166" s="392" t="s">
        <v>57</v>
      </c>
      <c r="P166" s="519">
        <v>20</v>
      </c>
      <c r="Q166" s="483"/>
      <c r="R166" s="392"/>
      <c r="S166" s="520"/>
      <c r="T166" s="392"/>
      <c r="U166" s="392" t="s">
        <v>53</v>
      </c>
      <c r="V166" s="566"/>
      <c r="W166" s="130"/>
      <c r="X166" s="566">
        <f>ROUND(M166*P166,-3)</f>
        <v>6000000</v>
      </c>
      <c r="Y166" s="131" t="s">
        <v>56</v>
      </c>
    </row>
    <row r="167" spans="1:26" ht="21" customHeight="1">
      <c r="A167" s="45"/>
      <c r="B167" s="46"/>
      <c r="C167" s="46"/>
      <c r="D167" s="46"/>
      <c r="E167" s="48"/>
      <c r="F167" s="48"/>
      <c r="G167" s="49"/>
      <c r="H167" s="68"/>
      <c r="I167" s="65"/>
      <c r="J167" s="296"/>
      <c r="K167" s="295"/>
      <c r="L167" s="295"/>
      <c r="M167" s="295"/>
      <c r="N167" s="54"/>
      <c r="O167" s="72"/>
      <c r="P167" s="76"/>
      <c r="Q167" s="72"/>
      <c r="R167" s="72"/>
      <c r="S167" s="75"/>
      <c r="T167" s="74"/>
      <c r="U167" s="459"/>
      <c r="V167" s="295"/>
      <c r="W167" s="66"/>
      <c r="X167" s="66"/>
      <c r="Y167" s="57"/>
    </row>
    <row r="168" spans="1:26" ht="21" customHeight="1">
      <c r="A168" s="45"/>
      <c r="B168" s="46"/>
      <c r="C168" s="36" t="s">
        <v>433</v>
      </c>
      <c r="D168" s="461" t="s">
        <v>396</v>
      </c>
      <c r="E168" s="219">
        <f>E169</f>
        <v>0</v>
      </c>
      <c r="F168" s="219">
        <f>F169</f>
        <v>0</v>
      </c>
      <c r="G168" s="220">
        <f>F168-E168</f>
        <v>0</v>
      </c>
      <c r="H168" s="221">
        <f>IF(E168=0,0,G168/E168)</f>
        <v>0</v>
      </c>
      <c r="I168" s="204" t="s">
        <v>432</v>
      </c>
      <c r="J168" s="205"/>
      <c r="K168" s="206"/>
      <c r="L168" s="206"/>
      <c r="M168" s="206"/>
      <c r="N168" s="206"/>
      <c r="O168" s="206"/>
      <c r="P168" s="207"/>
      <c r="Q168" s="207"/>
      <c r="R168" s="207"/>
      <c r="S168" s="207"/>
      <c r="T168" s="207"/>
      <c r="U168" s="207"/>
      <c r="V168" s="234" t="s">
        <v>392</v>
      </c>
      <c r="W168" s="235"/>
      <c r="X168" s="235">
        <f>SUM(X169:X169)</f>
        <v>0</v>
      </c>
      <c r="Y168" s="267" t="s">
        <v>387</v>
      </c>
    </row>
    <row r="169" spans="1:26" ht="21" customHeight="1">
      <c r="A169" s="45"/>
      <c r="B169" s="46"/>
      <c r="C169" s="46" t="s">
        <v>431</v>
      </c>
      <c r="D169" s="46" t="s">
        <v>430</v>
      </c>
      <c r="E169" s="48">
        <v>0</v>
      </c>
      <c r="F169" s="48">
        <f>ROUND(X169/1000,0)</f>
        <v>0</v>
      </c>
      <c r="G169" s="273">
        <f>F169-E169</f>
        <v>0</v>
      </c>
      <c r="H169" s="183">
        <f>IF(E169=0,0,G169/E169)</f>
        <v>0</v>
      </c>
      <c r="I169" s="285" t="s">
        <v>682</v>
      </c>
      <c r="J169" s="599"/>
      <c r="K169" s="598"/>
      <c r="L169" s="598"/>
      <c r="M169" s="598">
        <v>80000</v>
      </c>
      <c r="N169" s="568" t="s">
        <v>677</v>
      </c>
      <c r="O169" s="389" t="s">
        <v>678</v>
      </c>
      <c r="P169" s="392">
        <v>0</v>
      </c>
      <c r="Q169" s="389" t="s">
        <v>683</v>
      </c>
      <c r="R169" s="393"/>
      <c r="S169" s="74"/>
      <c r="T169" s="74"/>
      <c r="U169" s="568" t="s">
        <v>681</v>
      </c>
      <c r="V169" s="598"/>
      <c r="W169" s="130"/>
      <c r="X169" s="130">
        <f>M169*P169</f>
        <v>0</v>
      </c>
      <c r="Y169" s="131" t="s">
        <v>677</v>
      </c>
    </row>
    <row r="170" spans="1:26" s="11" customFormat="1" ht="19.5" customHeight="1">
      <c r="A170" s="269"/>
      <c r="B170" s="81"/>
      <c r="C170" s="81"/>
      <c r="D170" s="59"/>
      <c r="E170" s="61"/>
      <c r="F170" s="61"/>
      <c r="G170" s="62"/>
      <c r="H170" s="82"/>
      <c r="I170" s="69"/>
      <c r="J170" s="224"/>
      <c r="K170" s="83"/>
      <c r="L170" s="83"/>
      <c r="M170" s="84"/>
      <c r="N170" s="224"/>
      <c r="O170" s="83"/>
      <c r="P170" s="224"/>
      <c r="Q170" s="224"/>
      <c r="R170" s="224"/>
      <c r="S170" s="224"/>
      <c r="T170" s="224"/>
      <c r="U170" s="224"/>
      <c r="V170" s="224"/>
      <c r="W170" s="224"/>
      <c r="X170" s="224"/>
      <c r="Y170" s="71"/>
      <c r="Z170" s="6"/>
    </row>
    <row r="171" spans="1:26" ht="21" customHeight="1">
      <c r="A171" s="35" t="s">
        <v>418</v>
      </c>
      <c r="B171" s="36" t="s">
        <v>30</v>
      </c>
      <c r="C171" s="696" t="s">
        <v>429</v>
      </c>
      <c r="D171" s="697"/>
      <c r="E171" s="248">
        <f>SUM(E172,E186)</f>
        <v>168460</v>
      </c>
      <c r="F171" s="248">
        <f>SUM(F172,F186)</f>
        <v>168304</v>
      </c>
      <c r="G171" s="249">
        <f>F171-E171</f>
        <v>-156</v>
      </c>
      <c r="H171" s="250">
        <f>IF(E171=0,0,G171/E171)</f>
        <v>-9.2603585420871425E-4</v>
      </c>
      <c r="I171" s="251" t="s">
        <v>428</v>
      </c>
      <c r="J171" s="252"/>
      <c r="K171" s="253"/>
      <c r="L171" s="253"/>
      <c r="M171" s="252"/>
      <c r="N171" s="252"/>
      <c r="O171" s="252"/>
      <c r="P171" s="252"/>
      <c r="Q171" s="252" t="s">
        <v>427</v>
      </c>
      <c r="R171" s="254"/>
      <c r="S171" s="254"/>
      <c r="T171" s="254"/>
      <c r="U171" s="254"/>
      <c r="V171" s="254"/>
      <c r="W171" s="254"/>
      <c r="X171" s="255">
        <f>X172+X186</f>
        <v>168304000</v>
      </c>
      <c r="Y171" s="266" t="s">
        <v>25</v>
      </c>
    </row>
    <row r="172" spans="1:26" ht="21" customHeight="1">
      <c r="A172" s="45" t="s">
        <v>426</v>
      </c>
      <c r="B172" s="46" t="s">
        <v>426</v>
      </c>
      <c r="C172" s="36" t="s">
        <v>425</v>
      </c>
      <c r="D172" s="461" t="s">
        <v>396</v>
      </c>
      <c r="E172" s="219">
        <f>E173+E182</f>
        <v>64060</v>
      </c>
      <c r="F172" s="219">
        <f>F173+F182</f>
        <v>63904</v>
      </c>
      <c r="G172" s="220">
        <f>F172-E172</f>
        <v>-156</v>
      </c>
      <c r="H172" s="221">
        <f>IF(E172=0,0,G172/E172)</f>
        <v>-2.4352169840774272E-3</v>
      </c>
      <c r="I172" s="204" t="s">
        <v>424</v>
      </c>
      <c r="J172" s="205"/>
      <c r="K172" s="206"/>
      <c r="L172" s="206"/>
      <c r="M172" s="206"/>
      <c r="N172" s="206"/>
      <c r="O172" s="206"/>
      <c r="P172" s="207"/>
      <c r="Q172" s="207"/>
      <c r="R172" s="207"/>
      <c r="S172" s="207"/>
      <c r="T172" s="207"/>
      <c r="U172" s="207"/>
      <c r="V172" s="234" t="s">
        <v>392</v>
      </c>
      <c r="W172" s="235"/>
      <c r="X172" s="236">
        <f>SUM(X173,X182)</f>
        <v>63904000</v>
      </c>
      <c r="Y172" s="267" t="s">
        <v>387</v>
      </c>
    </row>
    <row r="173" spans="1:26" ht="21.75" customHeight="1">
      <c r="A173" s="45"/>
      <c r="B173" s="46"/>
      <c r="C173" s="46" t="s">
        <v>418</v>
      </c>
      <c r="D173" s="36" t="s">
        <v>423</v>
      </c>
      <c r="E173" s="37">
        <v>62260</v>
      </c>
      <c r="F173" s="48">
        <f>ROUND(X173/1000,0)</f>
        <v>60960</v>
      </c>
      <c r="G173" s="273">
        <f>F173-E173</f>
        <v>-1300</v>
      </c>
      <c r="H173" s="183">
        <f>IF(E173=0,0,G173/E173)</f>
        <v>-2.0880179890780597E-2</v>
      </c>
      <c r="I173" s="138" t="s">
        <v>421</v>
      </c>
      <c r="J173" s="157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693" t="s">
        <v>392</v>
      </c>
      <c r="W173" s="693"/>
      <c r="X173" s="140">
        <f>SUM(X174:X181)</f>
        <v>60960000</v>
      </c>
      <c r="Y173" s="141" t="s">
        <v>387</v>
      </c>
    </row>
    <row r="174" spans="1:26" ht="18" customHeight="1">
      <c r="A174" s="45"/>
      <c r="B174" s="46"/>
      <c r="C174" s="46"/>
      <c r="D174" s="46"/>
      <c r="E174" s="48"/>
      <c r="F174" s="48"/>
      <c r="G174" s="49"/>
      <c r="H174" s="31"/>
      <c r="I174" s="65" t="s">
        <v>796</v>
      </c>
      <c r="J174" s="296"/>
      <c r="K174" s="295"/>
      <c r="L174" s="295"/>
      <c r="M174" s="295">
        <v>205000</v>
      </c>
      <c r="N174" s="459" t="s">
        <v>387</v>
      </c>
      <c r="O174" s="72" t="s">
        <v>391</v>
      </c>
      <c r="P174" s="67">
        <v>12</v>
      </c>
      <c r="Q174" s="72" t="s">
        <v>389</v>
      </c>
      <c r="R174" s="77"/>
      <c r="S174" s="74"/>
      <c r="T174" s="74"/>
      <c r="U174" s="459" t="s">
        <v>388</v>
      </c>
      <c r="V174" s="295"/>
      <c r="W174" s="66"/>
      <c r="X174" s="130">
        <f>M174*P174</f>
        <v>2460000</v>
      </c>
      <c r="Y174" s="57" t="s">
        <v>387</v>
      </c>
    </row>
    <row r="175" spans="1:26" ht="18" customHeight="1">
      <c r="A175" s="45"/>
      <c r="B175" s="46"/>
      <c r="C175" s="46"/>
      <c r="D175" s="46"/>
      <c r="E175" s="48"/>
      <c r="F175" s="48"/>
      <c r="G175" s="49"/>
      <c r="H175" s="31"/>
      <c r="I175" s="285" t="s">
        <v>795</v>
      </c>
      <c r="J175" s="439"/>
      <c r="K175" s="378"/>
      <c r="L175" s="378"/>
      <c r="M175" s="378"/>
      <c r="N175" s="538"/>
      <c r="O175" s="540"/>
      <c r="P175" s="561"/>
      <c r="Q175" s="540"/>
      <c r="R175" s="562"/>
      <c r="S175" s="563"/>
      <c r="T175" s="563"/>
      <c r="U175" s="538"/>
      <c r="V175" s="378"/>
      <c r="W175" s="539"/>
      <c r="X175" s="539">
        <v>3500000</v>
      </c>
      <c r="Y175" s="628" t="s">
        <v>798</v>
      </c>
    </row>
    <row r="176" spans="1:26" ht="18" customHeight="1">
      <c r="A176" s="45"/>
      <c r="B176" s="46"/>
      <c r="C176" s="46"/>
      <c r="D176" s="46"/>
      <c r="E176" s="48"/>
      <c r="F176" s="48"/>
      <c r="G176" s="49"/>
      <c r="H176" s="31"/>
      <c r="I176" s="285" t="s">
        <v>720</v>
      </c>
      <c r="J176" s="439"/>
      <c r="K176" s="378"/>
      <c r="L176" s="378"/>
      <c r="M176" s="378"/>
      <c r="N176" s="538"/>
      <c r="O176" s="540"/>
      <c r="P176" s="561"/>
      <c r="Q176" s="540"/>
      <c r="R176" s="562"/>
      <c r="S176" s="563"/>
      <c r="T176" s="563"/>
      <c r="U176" s="538"/>
      <c r="V176" s="378"/>
      <c r="W176" s="539"/>
      <c r="X176" s="620">
        <v>23000000</v>
      </c>
      <c r="Y176" s="131" t="s">
        <v>56</v>
      </c>
    </row>
    <row r="177" spans="1:26" ht="18" customHeight="1">
      <c r="A177" s="45"/>
      <c r="B177" s="46"/>
      <c r="C177" s="46"/>
      <c r="D177" s="46"/>
      <c r="E177" s="48"/>
      <c r="F177" s="48"/>
      <c r="G177" s="49"/>
      <c r="H177" s="31"/>
      <c r="I177" s="627" t="s">
        <v>853</v>
      </c>
      <c r="J177" s="439"/>
      <c r="K177" s="378"/>
      <c r="L177" s="378"/>
      <c r="M177" s="378"/>
      <c r="N177" s="538"/>
      <c r="O177" s="540"/>
      <c r="P177" s="561"/>
      <c r="Q177" s="540"/>
      <c r="R177" s="562"/>
      <c r="S177" s="563"/>
      <c r="T177" s="563"/>
      <c r="U177" s="538"/>
      <c r="V177" s="378"/>
      <c r="W177" s="539"/>
      <c r="X177" s="539">
        <v>25000000</v>
      </c>
      <c r="Y177" s="628" t="s">
        <v>854</v>
      </c>
    </row>
    <row r="178" spans="1:26" ht="18" customHeight="1">
      <c r="A178" s="45"/>
      <c r="B178" s="46"/>
      <c r="C178" s="46"/>
      <c r="D178" s="46"/>
      <c r="E178" s="48"/>
      <c r="F178" s="48"/>
      <c r="G178" s="49"/>
      <c r="H178" s="31"/>
      <c r="I178" s="627" t="s">
        <v>797</v>
      </c>
      <c r="J178" s="439"/>
      <c r="K178" s="378"/>
      <c r="L178" s="378"/>
      <c r="M178" s="378"/>
      <c r="N178" s="538"/>
      <c r="O178" s="540"/>
      <c r="P178" s="561"/>
      <c r="Q178" s="540"/>
      <c r="R178" s="562"/>
      <c r="S178" s="563"/>
      <c r="T178" s="563"/>
      <c r="U178" s="538"/>
      <c r="V178" s="378"/>
      <c r="W178" s="539"/>
      <c r="X178" s="539">
        <v>2000000</v>
      </c>
      <c r="Y178" s="628" t="s">
        <v>798</v>
      </c>
    </row>
    <row r="179" spans="1:26" ht="18" customHeight="1">
      <c r="A179" s="45"/>
      <c r="B179" s="46"/>
      <c r="C179" s="46"/>
      <c r="D179" s="46"/>
      <c r="E179" s="48"/>
      <c r="F179" s="48"/>
      <c r="G179" s="49"/>
      <c r="H179" s="31"/>
      <c r="I179" s="627" t="s">
        <v>821</v>
      </c>
      <c r="J179" s="439"/>
      <c r="K179" s="378"/>
      <c r="L179" s="378"/>
      <c r="M179" s="378"/>
      <c r="N179" s="538"/>
      <c r="O179" s="540"/>
      <c r="P179" s="561"/>
      <c r="Q179" s="540"/>
      <c r="R179" s="562"/>
      <c r="S179" s="563"/>
      <c r="T179" s="563"/>
      <c r="U179" s="538"/>
      <c r="V179" s="378"/>
      <c r="W179" s="539"/>
      <c r="X179" s="539">
        <v>5000000</v>
      </c>
      <c r="Y179" s="628" t="s">
        <v>798</v>
      </c>
    </row>
    <row r="180" spans="1:26" ht="18" customHeight="1">
      <c r="A180" s="45"/>
      <c r="B180" s="46"/>
      <c r="C180" s="46"/>
      <c r="D180" s="46"/>
      <c r="E180" s="48"/>
      <c r="F180" s="48"/>
      <c r="G180" s="49"/>
      <c r="H180" s="31"/>
      <c r="I180" s="627"/>
      <c r="J180" s="439"/>
      <c r="K180" s="378"/>
      <c r="L180" s="378"/>
      <c r="M180" s="378"/>
      <c r="N180" s="538"/>
      <c r="O180" s="540"/>
      <c r="P180" s="561"/>
      <c r="Q180" s="540"/>
      <c r="R180" s="562"/>
      <c r="S180" s="563"/>
      <c r="T180" s="563"/>
      <c r="U180" s="538"/>
      <c r="V180" s="378"/>
      <c r="W180" s="539"/>
      <c r="X180" s="539"/>
      <c r="Y180" s="628"/>
    </row>
    <row r="181" spans="1:26" ht="18" customHeight="1">
      <c r="A181" s="45"/>
      <c r="B181" s="46"/>
      <c r="C181" s="46"/>
      <c r="D181" s="59"/>
      <c r="E181" s="61"/>
      <c r="F181" s="61"/>
      <c r="G181" s="62"/>
      <c r="H181" s="203"/>
      <c r="I181" s="69"/>
      <c r="J181" s="361"/>
      <c r="K181" s="224"/>
      <c r="L181" s="224"/>
      <c r="M181" s="224"/>
      <c r="N181" s="201"/>
      <c r="O181" s="212"/>
      <c r="P181" s="213"/>
      <c r="Q181" s="212"/>
      <c r="R181" s="214"/>
      <c r="S181" s="215"/>
      <c r="T181" s="215"/>
      <c r="U181" s="201"/>
      <c r="V181" s="224"/>
      <c r="W181" s="70"/>
      <c r="X181" s="70"/>
      <c r="Y181" s="71"/>
      <c r="Z181" s="1"/>
    </row>
    <row r="182" spans="1:26" ht="18" customHeight="1">
      <c r="A182" s="45"/>
      <c r="B182" s="46"/>
      <c r="C182" s="46"/>
      <c r="D182" s="36" t="s">
        <v>422</v>
      </c>
      <c r="E182" s="37">
        <v>1800</v>
      </c>
      <c r="F182" s="48">
        <f>ROUND(X182/1000,0)</f>
        <v>2944</v>
      </c>
      <c r="G182" s="38">
        <f>F182-E182</f>
        <v>1144</v>
      </c>
      <c r="H182" s="39">
        <f>IF(E182=0,0,G182/E182)</f>
        <v>0.63555555555555554</v>
      </c>
      <c r="I182" s="138" t="s">
        <v>421</v>
      </c>
      <c r="J182" s="157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693" t="s">
        <v>392</v>
      </c>
      <c r="W182" s="693"/>
      <c r="X182" s="140">
        <f>SUM(X183:X185)</f>
        <v>2944000</v>
      </c>
      <c r="Y182" s="141" t="s">
        <v>387</v>
      </c>
      <c r="Z182" s="1"/>
    </row>
    <row r="183" spans="1:26" ht="18" customHeight="1">
      <c r="A183" s="45"/>
      <c r="B183" s="46"/>
      <c r="C183" s="46"/>
      <c r="D183" s="46"/>
      <c r="E183" s="48"/>
      <c r="F183" s="48"/>
      <c r="G183" s="49"/>
      <c r="H183" s="31"/>
      <c r="I183" s="65" t="s">
        <v>542</v>
      </c>
      <c r="J183" s="296"/>
      <c r="K183" s="295"/>
      <c r="L183" s="295"/>
      <c r="M183" s="531">
        <v>130000</v>
      </c>
      <c r="N183" s="529" t="s">
        <v>56</v>
      </c>
      <c r="O183" s="389" t="s">
        <v>57</v>
      </c>
      <c r="P183" s="392">
        <v>12</v>
      </c>
      <c r="Q183" s="389" t="s">
        <v>0</v>
      </c>
      <c r="R183" s="393"/>
      <c r="S183" s="74"/>
      <c r="T183" s="74"/>
      <c r="U183" s="529" t="s">
        <v>53</v>
      </c>
      <c r="V183" s="531"/>
      <c r="W183" s="130"/>
      <c r="X183" s="130">
        <f>M183*P183</f>
        <v>1560000</v>
      </c>
      <c r="Y183" s="131" t="s">
        <v>56</v>
      </c>
      <c r="Z183" s="1"/>
    </row>
    <row r="184" spans="1:26" ht="18" customHeight="1">
      <c r="A184" s="45"/>
      <c r="B184" s="46"/>
      <c r="C184" s="46"/>
      <c r="D184" s="46"/>
      <c r="E184" s="48"/>
      <c r="F184" s="48"/>
      <c r="G184" s="49"/>
      <c r="H184" s="31"/>
      <c r="I184" s="65" t="s">
        <v>580</v>
      </c>
      <c r="J184" s="296"/>
      <c r="K184" s="295"/>
      <c r="L184" s="295"/>
      <c r="M184" s="555">
        <v>20000</v>
      </c>
      <c r="N184" s="554" t="s">
        <v>56</v>
      </c>
      <c r="O184" s="389" t="s">
        <v>57</v>
      </c>
      <c r="P184" s="392">
        <v>12</v>
      </c>
      <c r="Q184" s="389" t="s">
        <v>0</v>
      </c>
      <c r="R184" s="393"/>
      <c r="S184" s="74"/>
      <c r="T184" s="74"/>
      <c r="U184" s="554" t="s">
        <v>53</v>
      </c>
      <c r="V184" s="555"/>
      <c r="W184" s="130"/>
      <c r="X184" s="130">
        <f>M184*P184</f>
        <v>240000</v>
      </c>
      <c r="Y184" s="131" t="s">
        <v>56</v>
      </c>
      <c r="Z184" s="1"/>
    </row>
    <row r="185" spans="1:26" ht="18" customHeight="1">
      <c r="A185" s="45"/>
      <c r="B185" s="46"/>
      <c r="C185" s="59"/>
      <c r="D185" s="59"/>
      <c r="E185" s="61"/>
      <c r="F185" s="61"/>
      <c r="G185" s="62"/>
      <c r="H185" s="203"/>
      <c r="I185" s="627" t="s">
        <v>855</v>
      </c>
      <c r="J185" s="439"/>
      <c r="K185" s="378"/>
      <c r="L185" s="378"/>
      <c r="M185" s="378"/>
      <c r="N185" s="538"/>
      <c r="O185" s="540"/>
      <c r="P185" s="561"/>
      <c r="Q185" s="540"/>
      <c r="R185" s="562"/>
      <c r="S185" s="563"/>
      <c r="T185" s="563"/>
      <c r="U185" s="538"/>
      <c r="V185" s="378"/>
      <c r="W185" s="539"/>
      <c r="X185" s="539">
        <v>1144000</v>
      </c>
      <c r="Y185" s="628" t="s">
        <v>854</v>
      </c>
      <c r="Z185" s="1"/>
    </row>
    <row r="186" spans="1:26" ht="25.5" customHeight="1">
      <c r="A186" s="45"/>
      <c r="B186" s="46"/>
      <c r="C186" s="46" t="s">
        <v>420</v>
      </c>
      <c r="D186" s="461" t="s">
        <v>396</v>
      </c>
      <c r="E186" s="219">
        <f>E187</f>
        <v>104400</v>
      </c>
      <c r="F186" s="219">
        <f>F187</f>
        <v>104400</v>
      </c>
      <c r="G186" s="220">
        <f>F186-E186</f>
        <v>0</v>
      </c>
      <c r="H186" s="221">
        <f>IF(E186=0,0,G186/E186)</f>
        <v>0</v>
      </c>
      <c r="I186" s="204" t="s">
        <v>419</v>
      </c>
      <c r="J186" s="205"/>
      <c r="K186" s="206"/>
      <c r="L186" s="206"/>
      <c r="M186" s="206"/>
      <c r="N186" s="206"/>
      <c r="O186" s="206"/>
      <c r="P186" s="207"/>
      <c r="Q186" s="207"/>
      <c r="R186" s="207"/>
      <c r="S186" s="207"/>
      <c r="T186" s="207"/>
      <c r="U186" s="207"/>
      <c r="V186" s="234" t="s">
        <v>392</v>
      </c>
      <c r="W186" s="235"/>
      <c r="X186" s="235">
        <f>X187</f>
        <v>104400000</v>
      </c>
      <c r="Y186" s="267" t="s">
        <v>387</v>
      </c>
      <c r="Z186" s="1"/>
    </row>
    <row r="187" spans="1:26" ht="21" customHeight="1">
      <c r="A187" s="45"/>
      <c r="B187" s="46"/>
      <c r="C187" s="46" t="s">
        <v>418</v>
      </c>
      <c r="D187" s="46" t="s">
        <v>417</v>
      </c>
      <c r="E187" s="48">
        <v>104400</v>
      </c>
      <c r="F187" s="48">
        <f>ROUND(X187/1000,0)</f>
        <v>104400</v>
      </c>
      <c r="G187" s="273">
        <f>F187-E187</f>
        <v>0</v>
      </c>
      <c r="H187" s="183">
        <f>IF(E187=0,0,G187/E187)</f>
        <v>0</v>
      </c>
      <c r="I187" s="138" t="s">
        <v>416</v>
      </c>
      <c r="J187" s="157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693" t="s">
        <v>365</v>
      </c>
      <c r="W187" s="693"/>
      <c r="X187" s="140">
        <f>SUM(X188:X189)</f>
        <v>104400000</v>
      </c>
      <c r="Y187" s="141" t="s">
        <v>364</v>
      </c>
      <c r="Z187" s="1"/>
    </row>
    <row r="188" spans="1:26" ht="21" customHeight="1">
      <c r="A188" s="45"/>
      <c r="B188" s="46"/>
      <c r="C188" s="46"/>
      <c r="D188" s="46"/>
      <c r="E188" s="48"/>
      <c r="F188" s="48"/>
      <c r="G188" s="271"/>
      <c r="H188" s="272"/>
      <c r="I188" s="65" t="s">
        <v>415</v>
      </c>
      <c r="J188" s="296" t="s">
        <v>414</v>
      </c>
      <c r="K188" s="295"/>
      <c r="L188" s="295"/>
      <c r="M188" s="295">
        <v>8700000</v>
      </c>
      <c r="N188" s="459" t="s">
        <v>364</v>
      </c>
      <c r="O188" s="72" t="s">
        <v>378</v>
      </c>
      <c r="P188" s="67">
        <v>12</v>
      </c>
      <c r="Q188" s="72" t="s">
        <v>384</v>
      </c>
      <c r="R188" s="77"/>
      <c r="S188" s="74"/>
      <c r="T188" s="74"/>
      <c r="U188" s="459" t="s">
        <v>377</v>
      </c>
      <c r="V188" s="295"/>
      <c r="W188" s="66"/>
      <c r="X188" s="66">
        <f>M188*P188</f>
        <v>104400000</v>
      </c>
      <c r="Y188" s="57" t="s">
        <v>364</v>
      </c>
      <c r="Z188" s="1"/>
    </row>
    <row r="189" spans="1:26" ht="21" customHeight="1">
      <c r="A189" s="45"/>
      <c r="B189" s="46"/>
      <c r="C189" s="46"/>
      <c r="D189" s="46"/>
      <c r="E189" s="48"/>
      <c r="F189" s="48"/>
      <c r="G189" s="271"/>
      <c r="H189" s="272"/>
      <c r="I189" s="65" t="s">
        <v>535</v>
      </c>
      <c r="J189" s="296"/>
      <c r="K189" s="295"/>
      <c r="L189" s="295"/>
      <c r="M189" s="295"/>
      <c r="N189" s="459"/>
      <c r="O189" s="72"/>
      <c r="P189" s="67"/>
      <c r="Q189" s="72"/>
      <c r="R189" s="77"/>
      <c r="S189" s="74"/>
      <c r="T189" s="74"/>
      <c r="U189" s="459"/>
      <c r="V189" s="295"/>
      <c r="W189" s="66"/>
      <c r="X189" s="66">
        <v>0</v>
      </c>
      <c r="Y189" s="57" t="s">
        <v>364</v>
      </c>
      <c r="Z189" s="1"/>
    </row>
    <row r="190" spans="1:26" ht="21" customHeight="1">
      <c r="A190" s="58"/>
      <c r="B190" s="59"/>
      <c r="C190" s="59"/>
      <c r="D190" s="59"/>
      <c r="E190" s="61"/>
      <c r="F190" s="61"/>
      <c r="G190" s="62"/>
      <c r="H190" s="203"/>
      <c r="I190" s="69"/>
      <c r="J190" s="361"/>
      <c r="K190" s="224"/>
      <c r="L190" s="224"/>
      <c r="M190" s="224"/>
      <c r="N190" s="201"/>
      <c r="O190" s="212"/>
      <c r="P190" s="213"/>
      <c r="Q190" s="212"/>
      <c r="R190" s="214"/>
      <c r="S190" s="215"/>
      <c r="T190" s="215"/>
      <c r="U190" s="201"/>
      <c r="V190" s="224"/>
      <c r="W190" s="70"/>
      <c r="X190" s="70"/>
      <c r="Y190" s="71"/>
      <c r="Z190" s="1"/>
    </row>
    <row r="191" spans="1:26" ht="21" customHeight="1">
      <c r="A191" s="35" t="s">
        <v>405</v>
      </c>
      <c r="B191" s="36" t="s">
        <v>405</v>
      </c>
      <c r="C191" s="696" t="s">
        <v>376</v>
      </c>
      <c r="D191" s="697"/>
      <c r="E191" s="248">
        <f>E192+E195</f>
        <v>0</v>
      </c>
      <c r="F191" s="248">
        <f>F192+F195</f>
        <v>0</v>
      </c>
      <c r="G191" s="249">
        <f>F191-E191</f>
        <v>0</v>
      </c>
      <c r="H191" s="250">
        <f>IF(E191=0,0,G191/E191)</f>
        <v>0</v>
      </c>
      <c r="I191" s="251" t="s">
        <v>413</v>
      </c>
      <c r="J191" s="252"/>
      <c r="K191" s="253"/>
      <c r="L191" s="253"/>
      <c r="M191" s="252"/>
      <c r="N191" s="252"/>
      <c r="O191" s="252"/>
      <c r="P191" s="252"/>
      <c r="Q191" s="252" t="s">
        <v>374</v>
      </c>
      <c r="R191" s="254"/>
      <c r="S191" s="254"/>
      <c r="T191" s="254"/>
      <c r="U191" s="254"/>
      <c r="V191" s="254"/>
      <c r="W191" s="254"/>
      <c r="X191" s="255">
        <f>X192+X195</f>
        <v>0</v>
      </c>
      <c r="Y191" s="266" t="s">
        <v>25</v>
      </c>
      <c r="Z191" s="1"/>
    </row>
    <row r="192" spans="1:26" ht="21" customHeight="1">
      <c r="A192" s="45"/>
      <c r="B192" s="46"/>
      <c r="C192" s="36" t="s">
        <v>412</v>
      </c>
      <c r="D192" s="461" t="s">
        <v>372</v>
      </c>
      <c r="E192" s="219">
        <f>E193</f>
        <v>0</v>
      </c>
      <c r="F192" s="219">
        <f>F193</f>
        <v>0</v>
      </c>
      <c r="G192" s="220">
        <f>F192-E192</f>
        <v>0</v>
      </c>
      <c r="H192" s="221">
        <f>IF(E192=0,0,G192/E192)</f>
        <v>0</v>
      </c>
      <c r="I192" s="204" t="s">
        <v>409</v>
      </c>
      <c r="J192" s="205"/>
      <c r="K192" s="206"/>
      <c r="L192" s="206"/>
      <c r="M192" s="206"/>
      <c r="N192" s="206"/>
      <c r="O192" s="206"/>
      <c r="P192" s="207"/>
      <c r="Q192" s="207"/>
      <c r="R192" s="207"/>
      <c r="S192" s="207"/>
      <c r="T192" s="207"/>
      <c r="U192" s="207"/>
      <c r="V192" s="234" t="s">
        <v>365</v>
      </c>
      <c r="W192" s="235"/>
      <c r="X192" s="236">
        <f>X193</f>
        <v>0</v>
      </c>
      <c r="Y192" s="267" t="s">
        <v>364</v>
      </c>
      <c r="Z192" s="1"/>
    </row>
    <row r="193" spans="1:27" ht="21" customHeight="1">
      <c r="A193" s="45"/>
      <c r="B193" s="46"/>
      <c r="C193" s="46" t="s">
        <v>411</v>
      </c>
      <c r="D193" s="36" t="s">
        <v>410</v>
      </c>
      <c r="E193" s="37">
        <v>0</v>
      </c>
      <c r="F193" s="48">
        <f>ROUND(X193/1000,0)</f>
        <v>0</v>
      </c>
      <c r="G193" s="38">
        <f>F193-E193</f>
        <v>0</v>
      </c>
      <c r="H193" s="39">
        <f>IF(E193=0,0,G193/E193)</f>
        <v>0</v>
      </c>
      <c r="I193" s="138" t="s">
        <v>409</v>
      </c>
      <c r="J193" s="157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693" t="s">
        <v>365</v>
      </c>
      <c r="W193" s="693"/>
      <c r="X193" s="140">
        <f>X194</f>
        <v>0</v>
      </c>
      <c r="Y193" s="141" t="s">
        <v>364</v>
      </c>
      <c r="Z193" s="1"/>
    </row>
    <row r="194" spans="1:27" ht="21" customHeight="1">
      <c r="A194" s="45"/>
      <c r="B194" s="46"/>
      <c r="C194" s="46" t="s">
        <v>405</v>
      </c>
      <c r="D194" s="46" t="s">
        <v>405</v>
      </c>
      <c r="E194" s="48"/>
      <c r="F194" s="48"/>
      <c r="G194" s="49"/>
      <c r="H194" s="31"/>
      <c r="I194" s="65" t="s">
        <v>408</v>
      </c>
      <c r="J194" s="296"/>
      <c r="K194" s="295"/>
      <c r="L194" s="295"/>
      <c r="M194" s="295"/>
      <c r="N194" s="459"/>
      <c r="O194" s="72"/>
      <c r="P194" s="67"/>
      <c r="Q194" s="72"/>
      <c r="R194" s="77"/>
      <c r="S194" s="74"/>
      <c r="T194" s="74"/>
      <c r="U194" s="459"/>
      <c r="V194" s="295"/>
      <c r="W194" s="66"/>
      <c r="X194" s="66">
        <v>0</v>
      </c>
      <c r="Y194" s="57" t="s">
        <v>364</v>
      </c>
      <c r="Z194" s="1"/>
    </row>
    <row r="195" spans="1:27" ht="21" customHeight="1">
      <c r="A195" s="45"/>
      <c r="B195" s="46"/>
      <c r="C195" s="36" t="s">
        <v>407</v>
      </c>
      <c r="D195" s="461" t="s">
        <v>372</v>
      </c>
      <c r="E195" s="219">
        <f>E196</f>
        <v>0</v>
      </c>
      <c r="F195" s="219">
        <f>F196</f>
        <v>0</v>
      </c>
      <c r="G195" s="220">
        <f>F195-E195</f>
        <v>0</v>
      </c>
      <c r="H195" s="221">
        <f>IF(E195=0,0,G195/E195)</f>
        <v>0</v>
      </c>
      <c r="I195" s="204" t="s">
        <v>406</v>
      </c>
      <c r="J195" s="205"/>
      <c r="K195" s="206"/>
      <c r="L195" s="206"/>
      <c r="M195" s="206"/>
      <c r="N195" s="206"/>
      <c r="O195" s="206"/>
      <c r="P195" s="207"/>
      <c r="Q195" s="207"/>
      <c r="R195" s="207"/>
      <c r="S195" s="207"/>
      <c r="T195" s="207"/>
      <c r="U195" s="207"/>
      <c r="V195" s="234" t="s">
        <v>365</v>
      </c>
      <c r="W195" s="235"/>
      <c r="X195" s="235">
        <f>X196</f>
        <v>0</v>
      </c>
      <c r="Y195" s="267" t="s">
        <v>364</v>
      </c>
      <c r="Z195" s="1"/>
    </row>
    <row r="196" spans="1:27" ht="21" customHeight="1">
      <c r="A196" s="45"/>
      <c r="B196" s="46"/>
      <c r="C196" s="46" t="s">
        <v>405</v>
      </c>
      <c r="D196" s="46" t="s">
        <v>404</v>
      </c>
      <c r="E196" s="48">
        <v>0</v>
      </c>
      <c r="F196" s="48">
        <f>ROUND(X196/1000,0)</f>
        <v>0</v>
      </c>
      <c r="G196" s="38">
        <f>F196-E196</f>
        <v>0</v>
      </c>
      <c r="H196" s="39">
        <f>IF(E196=0,0,G196/E196)</f>
        <v>0</v>
      </c>
      <c r="I196" s="65" t="s">
        <v>403</v>
      </c>
      <c r="J196" s="296"/>
      <c r="K196" s="295"/>
      <c r="L196" s="295"/>
      <c r="M196" s="295"/>
      <c r="N196" s="459"/>
      <c r="O196" s="72"/>
      <c r="P196" s="67"/>
      <c r="Q196" s="72"/>
      <c r="R196" s="77"/>
      <c r="S196" s="74"/>
      <c r="T196" s="74"/>
      <c r="U196" s="459"/>
      <c r="V196" s="295"/>
      <c r="W196" s="66"/>
      <c r="X196" s="66">
        <v>0</v>
      </c>
      <c r="Y196" s="57" t="s">
        <v>364</v>
      </c>
      <c r="Z196" s="1"/>
    </row>
    <row r="197" spans="1:27" ht="21" customHeight="1">
      <c r="A197" s="58"/>
      <c r="B197" s="59"/>
      <c r="C197" s="59"/>
      <c r="D197" s="59"/>
      <c r="E197" s="61"/>
      <c r="F197" s="61"/>
      <c r="G197" s="62"/>
      <c r="H197" s="203"/>
      <c r="I197" s="69"/>
      <c r="J197" s="361"/>
      <c r="K197" s="224"/>
      <c r="L197" s="224"/>
      <c r="M197" s="224"/>
      <c r="N197" s="201"/>
      <c r="O197" s="212"/>
      <c r="P197" s="213"/>
      <c r="Q197" s="212"/>
      <c r="R197" s="214"/>
      <c r="S197" s="215"/>
      <c r="T197" s="215"/>
      <c r="U197" s="201"/>
      <c r="V197" s="224"/>
      <c r="W197" s="70"/>
      <c r="X197" s="70"/>
      <c r="Y197" s="71"/>
      <c r="Z197" s="1"/>
    </row>
    <row r="198" spans="1:27" ht="21" customHeight="1">
      <c r="A198" s="35" t="s">
        <v>400</v>
      </c>
      <c r="B198" s="36" t="s">
        <v>13</v>
      </c>
      <c r="C198" s="696" t="s">
        <v>376</v>
      </c>
      <c r="D198" s="697"/>
      <c r="E198" s="248">
        <f>SUM(E199,E229)</f>
        <v>39324</v>
      </c>
      <c r="F198" s="248">
        <f>SUM(F199,F229)</f>
        <v>43607</v>
      </c>
      <c r="G198" s="249">
        <f>F198-E198</f>
        <v>4283</v>
      </c>
      <c r="H198" s="250">
        <f>IF(E198=0,0,G198/E198)</f>
        <v>0.10891567490590988</v>
      </c>
      <c r="I198" s="251" t="s">
        <v>402</v>
      </c>
      <c r="J198" s="252"/>
      <c r="K198" s="253"/>
      <c r="L198" s="253"/>
      <c r="M198" s="252"/>
      <c r="N198" s="252"/>
      <c r="O198" s="252"/>
      <c r="P198" s="252"/>
      <c r="Q198" s="252" t="s">
        <v>374</v>
      </c>
      <c r="R198" s="254"/>
      <c r="S198" s="254"/>
      <c r="T198" s="254"/>
      <c r="U198" s="254"/>
      <c r="V198" s="254"/>
      <c r="W198" s="254"/>
      <c r="X198" s="255">
        <f>X200+X229</f>
        <v>43607000</v>
      </c>
      <c r="Y198" s="266" t="s">
        <v>25</v>
      </c>
      <c r="Z198" s="23"/>
      <c r="AA198" s="24"/>
    </row>
    <row r="199" spans="1:27" ht="21" customHeight="1">
      <c r="A199" s="45"/>
      <c r="B199" s="46"/>
      <c r="C199" s="36" t="s">
        <v>401</v>
      </c>
      <c r="D199" s="461" t="s">
        <v>372</v>
      </c>
      <c r="E199" s="219">
        <f>E200</f>
        <v>10000</v>
      </c>
      <c r="F199" s="219">
        <f>F200</f>
        <v>32060</v>
      </c>
      <c r="G199" s="220">
        <f>F199-E199</f>
        <v>22060</v>
      </c>
      <c r="H199" s="221">
        <f>IF(E199=0,0,G199/E199)</f>
        <v>2.206</v>
      </c>
      <c r="I199" s="204" t="s">
        <v>398</v>
      </c>
      <c r="J199" s="205"/>
      <c r="K199" s="206"/>
      <c r="L199" s="206"/>
      <c r="M199" s="206"/>
      <c r="N199" s="206"/>
      <c r="O199" s="206"/>
      <c r="P199" s="207"/>
      <c r="Q199" s="207"/>
      <c r="R199" s="207"/>
      <c r="S199" s="207"/>
      <c r="T199" s="207"/>
      <c r="U199" s="207"/>
      <c r="V199" s="234" t="s">
        <v>365</v>
      </c>
      <c r="W199" s="235"/>
      <c r="X199" s="236">
        <f>SUM(X200:X200)</f>
        <v>32060000</v>
      </c>
      <c r="Y199" s="267" t="s">
        <v>364</v>
      </c>
      <c r="Z199" s="23"/>
      <c r="AA199" s="24"/>
    </row>
    <row r="200" spans="1:27" ht="21" customHeight="1">
      <c r="A200" s="45"/>
      <c r="B200" s="46"/>
      <c r="C200" s="46" t="s">
        <v>400</v>
      </c>
      <c r="D200" s="36" t="s">
        <v>399</v>
      </c>
      <c r="E200" s="37">
        <v>10000</v>
      </c>
      <c r="F200" s="48">
        <f>ROUND(X200/1000,0)</f>
        <v>32060</v>
      </c>
      <c r="G200" s="38">
        <f>F200-E200</f>
        <v>22060</v>
      </c>
      <c r="H200" s="39">
        <f>IF(E200=0,0,G200/E200)</f>
        <v>2.206</v>
      </c>
      <c r="I200" s="138" t="s">
        <v>398</v>
      </c>
      <c r="J200" s="157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693" t="s">
        <v>365</v>
      </c>
      <c r="W200" s="693"/>
      <c r="X200" s="140">
        <f>SUM(X201,X203,X211,X218,X221,X224,X227)</f>
        <v>32060000</v>
      </c>
      <c r="Y200" s="141" t="s">
        <v>364</v>
      </c>
      <c r="Z200" s="23"/>
      <c r="AA200" s="24"/>
    </row>
    <row r="201" spans="1:27" ht="21" customHeight="1">
      <c r="A201" s="45"/>
      <c r="B201" s="46"/>
      <c r="C201" s="46"/>
      <c r="D201" s="46"/>
      <c r="E201" s="48"/>
      <c r="F201" s="48"/>
      <c r="G201" s="49"/>
      <c r="H201" s="31"/>
      <c r="I201" s="402" t="s">
        <v>852</v>
      </c>
      <c r="J201" s="616"/>
      <c r="K201" s="616"/>
      <c r="L201" s="616"/>
      <c r="M201" s="616"/>
      <c r="N201" s="616"/>
      <c r="O201" s="616"/>
      <c r="P201" s="616"/>
      <c r="Q201" s="616"/>
      <c r="R201" s="616"/>
      <c r="S201" s="616"/>
      <c r="T201" s="616"/>
      <c r="U201" s="616"/>
      <c r="V201" s="616"/>
      <c r="W201" s="616"/>
      <c r="X201" s="615">
        <v>0</v>
      </c>
      <c r="Y201" s="131" t="s">
        <v>56</v>
      </c>
      <c r="Z201" s="23"/>
      <c r="AA201" s="24"/>
    </row>
    <row r="202" spans="1:27" ht="21" customHeight="1">
      <c r="A202" s="45"/>
      <c r="B202" s="46"/>
      <c r="C202" s="46"/>
      <c r="D202" s="46"/>
      <c r="E202" s="48"/>
      <c r="F202" s="48"/>
      <c r="G202" s="49"/>
      <c r="H202" s="31"/>
      <c r="I202" s="618"/>
      <c r="J202" s="618"/>
      <c r="K202" s="618"/>
      <c r="L202" s="618"/>
      <c r="M202" s="618"/>
      <c r="N202" s="618"/>
      <c r="O202" s="618"/>
      <c r="P202" s="618"/>
      <c r="Q202" s="618"/>
      <c r="R202" s="618"/>
      <c r="S202" s="618"/>
      <c r="T202" s="618"/>
      <c r="U202" s="618"/>
      <c r="V202" s="618"/>
      <c r="W202" s="618"/>
      <c r="X202" s="617"/>
      <c r="Y202" s="131"/>
      <c r="Z202" s="23"/>
      <c r="AA202" s="24"/>
    </row>
    <row r="203" spans="1:27" ht="21" customHeight="1" thickBot="1">
      <c r="A203" s="45"/>
      <c r="B203" s="46"/>
      <c r="C203" s="46"/>
      <c r="D203" s="46"/>
      <c r="E203" s="48"/>
      <c r="F203" s="48"/>
      <c r="G203" s="49"/>
      <c r="H203" s="31"/>
      <c r="I203" s="465" t="s">
        <v>800</v>
      </c>
      <c r="J203" s="63"/>
      <c r="K203" s="295"/>
      <c r="L203" s="295"/>
      <c r="M203" s="295"/>
      <c r="N203" s="295"/>
      <c r="O203" s="295"/>
      <c r="P203" s="295"/>
      <c r="Q203" s="530" t="s">
        <v>383</v>
      </c>
      <c r="R203" s="530"/>
      <c r="S203" s="530"/>
      <c r="T203" s="530"/>
      <c r="U203" s="530"/>
      <c r="V203" s="530"/>
      <c r="W203" s="530"/>
      <c r="X203" s="530">
        <f>SUM(X204:X209)</f>
        <v>5280000</v>
      </c>
      <c r="Y203" s="462" t="s">
        <v>56</v>
      </c>
      <c r="Z203" s="1"/>
    </row>
    <row r="204" spans="1:27" ht="21" customHeight="1">
      <c r="A204" s="45"/>
      <c r="B204" s="46"/>
      <c r="C204" s="46"/>
      <c r="D204" s="46"/>
      <c r="E204" s="48"/>
      <c r="F204" s="48"/>
      <c r="G204" s="49"/>
      <c r="H204" s="31"/>
      <c r="I204" s="618" t="s">
        <v>688</v>
      </c>
      <c r="J204" s="618"/>
      <c r="K204" s="617"/>
      <c r="L204" s="617"/>
      <c r="M204" s="617">
        <v>0</v>
      </c>
      <c r="N204" s="617" t="s">
        <v>56</v>
      </c>
      <c r="O204" s="389" t="s">
        <v>57</v>
      </c>
      <c r="P204" s="617">
        <v>39</v>
      </c>
      <c r="Q204" s="617" t="s">
        <v>55</v>
      </c>
      <c r="R204" s="389"/>
      <c r="S204" s="617"/>
      <c r="T204" s="617"/>
      <c r="U204" s="617" t="s">
        <v>53</v>
      </c>
      <c r="V204" s="617"/>
      <c r="W204" s="620"/>
      <c r="X204" s="620">
        <f>M204*P204</f>
        <v>0</v>
      </c>
      <c r="Y204" s="131" t="s">
        <v>56</v>
      </c>
      <c r="Z204" s="1"/>
    </row>
    <row r="205" spans="1:27" ht="21" customHeight="1">
      <c r="A205" s="45"/>
      <c r="B205" s="46"/>
      <c r="C205" s="46"/>
      <c r="D205" s="46"/>
      <c r="E205" s="48"/>
      <c r="F205" s="48"/>
      <c r="G205" s="49"/>
      <c r="H205" s="31"/>
      <c r="I205" s="618" t="s">
        <v>624</v>
      </c>
      <c r="J205" s="618"/>
      <c r="K205" s="617"/>
      <c r="L205" s="617"/>
      <c r="M205" s="617">
        <v>20000</v>
      </c>
      <c r="N205" s="617" t="s">
        <v>56</v>
      </c>
      <c r="O205" s="389" t="s">
        <v>57</v>
      </c>
      <c r="P205" s="617">
        <v>39</v>
      </c>
      <c r="Q205" s="617" t="s">
        <v>55</v>
      </c>
      <c r="R205" s="389"/>
      <c r="S205" s="617"/>
      <c r="T205" s="617"/>
      <c r="U205" s="617" t="s">
        <v>53</v>
      </c>
      <c r="V205" s="617"/>
      <c r="W205" s="620"/>
      <c r="X205" s="620">
        <f>M205*P205</f>
        <v>780000</v>
      </c>
      <c r="Y205" s="131" t="s">
        <v>56</v>
      </c>
      <c r="Z205" s="1"/>
    </row>
    <row r="206" spans="1:27" ht="21" customHeight="1">
      <c r="A206" s="45"/>
      <c r="B206" s="46"/>
      <c r="C206" s="46"/>
      <c r="D206" s="46"/>
      <c r="E206" s="48"/>
      <c r="F206" s="48"/>
      <c r="G206" s="49"/>
      <c r="H206" s="31"/>
      <c r="I206" s="279" t="s">
        <v>733</v>
      </c>
      <c r="J206" s="296"/>
      <c r="K206" s="295"/>
      <c r="L206" s="295"/>
      <c r="M206" s="295">
        <v>400000</v>
      </c>
      <c r="N206" s="73" t="s">
        <v>56</v>
      </c>
      <c r="O206" s="72" t="s">
        <v>57</v>
      </c>
      <c r="P206" s="73">
        <v>2</v>
      </c>
      <c r="Q206" s="295" t="s">
        <v>55</v>
      </c>
      <c r="R206" s="72"/>
      <c r="S206" s="73"/>
      <c r="T206" s="73"/>
      <c r="U206" s="469" t="s">
        <v>53</v>
      </c>
      <c r="V206" s="73"/>
      <c r="W206" s="73"/>
      <c r="X206" s="295">
        <f>M206*P206</f>
        <v>800000</v>
      </c>
      <c r="Y206" s="468" t="s">
        <v>56</v>
      </c>
      <c r="Z206" s="1"/>
    </row>
    <row r="207" spans="1:27" ht="21" customHeight="1">
      <c r="A207" s="45"/>
      <c r="B207" s="46"/>
      <c r="C207" s="46"/>
      <c r="D207" s="46"/>
      <c r="E207" s="48"/>
      <c r="F207" s="48"/>
      <c r="G207" s="49"/>
      <c r="H207" s="31"/>
      <c r="I207" s="279" t="s">
        <v>687</v>
      </c>
      <c r="J207" s="279"/>
      <c r="K207" s="277"/>
      <c r="L207" s="277"/>
      <c r="M207" s="277">
        <v>50000</v>
      </c>
      <c r="N207" s="334" t="s">
        <v>56</v>
      </c>
      <c r="O207" s="619" t="s">
        <v>57</v>
      </c>
      <c r="P207" s="334">
        <v>10</v>
      </c>
      <c r="Q207" s="277" t="s">
        <v>66</v>
      </c>
      <c r="R207" s="619"/>
      <c r="S207" s="334"/>
      <c r="T207" s="334"/>
      <c r="U207" s="558" t="s">
        <v>53</v>
      </c>
      <c r="V207" s="334"/>
      <c r="W207" s="334"/>
      <c r="X207" s="277">
        <f>M207*P207</f>
        <v>500000</v>
      </c>
      <c r="Y207" s="335" t="s">
        <v>56</v>
      </c>
      <c r="Z207" s="1"/>
    </row>
    <row r="208" spans="1:27" ht="21" customHeight="1">
      <c r="A208" s="45"/>
      <c r="B208" s="46"/>
      <c r="C208" s="46"/>
      <c r="D208" s="46"/>
      <c r="E208" s="48"/>
      <c r="F208" s="48"/>
      <c r="G208" s="49"/>
      <c r="H208" s="31"/>
      <c r="I208" s="618" t="s">
        <v>689</v>
      </c>
      <c r="J208" s="618"/>
      <c r="K208" s="618"/>
      <c r="L208" s="618"/>
      <c r="M208" s="617">
        <v>30000</v>
      </c>
      <c r="N208" s="390" t="s">
        <v>56</v>
      </c>
      <c r="O208" s="389" t="s">
        <v>57</v>
      </c>
      <c r="P208" s="399">
        <v>39</v>
      </c>
      <c r="Q208" s="617" t="s">
        <v>55</v>
      </c>
      <c r="R208" s="389" t="s">
        <v>57</v>
      </c>
      <c r="S208" s="390">
        <v>2</v>
      </c>
      <c r="T208" s="390" t="s">
        <v>66</v>
      </c>
      <c r="U208" s="395" t="s">
        <v>53</v>
      </c>
      <c r="V208" s="390"/>
      <c r="W208" s="390"/>
      <c r="X208" s="277">
        <f>M208*P208*S208</f>
        <v>2340000</v>
      </c>
      <c r="Y208" s="391" t="s">
        <v>56</v>
      </c>
      <c r="Z208" s="1"/>
    </row>
    <row r="209" spans="1:26" ht="21" customHeight="1">
      <c r="A209" s="45"/>
      <c r="B209" s="46"/>
      <c r="C209" s="46"/>
      <c r="D209" s="46"/>
      <c r="E209" s="48"/>
      <c r="F209" s="48"/>
      <c r="G209" s="49"/>
      <c r="H209" s="31"/>
      <c r="I209" s="65" t="s">
        <v>256</v>
      </c>
      <c r="J209" s="296"/>
      <c r="K209" s="296"/>
      <c r="L209" s="296"/>
      <c r="M209" s="295"/>
      <c r="N209" s="73"/>
      <c r="O209" s="73"/>
      <c r="P209" s="73"/>
      <c r="Q209" s="295"/>
      <c r="R209" s="295"/>
      <c r="S209" s="73"/>
      <c r="T209" s="73"/>
      <c r="U209" s="73"/>
      <c r="V209" s="73"/>
      <c r="W209" s="73"/>
      <c r="X209" s="295">
        <v>860000</v>
      </c>
      <c r="Y209" s="468" t="s">
        <v>56</v>
      </c>
      <c r="Z209" s="1"/>
    </row>
    <row r="210" spans="1:26" ht="21" customHeight="1">
      <c r="A210" s="45"/>
      <c r="B210" s="46"/>
      <c r="C210" s="46"/>
      <c r="D210" s="46"/>
      <c r="E210" s="48"/>
      <c r="F210" s="48"/>
      <c r="G210" s="49"/>
      <c r="H210" s="31"/>
      <c r="I210" s="65"/>
      <c r="J210" s="296"/>
      <c r="K210" s="295"/>
      <c r="L210" s="295"/>
      <c r="M210" s="295"/>
      <c r="N210" s="295"/>
      <c r="O210" s="296"/>
      <c r="P210" s="295"/>
      <c r="Q210" s="295"/>
      <c r="R210" s="295"/>
      <c r="S210" s="295"/>
      <c r="T210" s="295"/>
      <c r="U210" s="295"/>
      <c r="V210" s="295"/>
      <c r="W210" s="66"/>
      <c r="X210" s="66"/>
      <c r="Y210" s="57"/>
      <c r="Z210" s="1"/>
    </row>
    <row r="211" spans="1:26" ht="21" customHeight="1" thickBot="1">
      <c r="A211" s="45"/>
      <c r="B211" s="46"/>
      <c r="C211" s="46"/>
      <c r="D211" s="46"/>
      <c r="E211" s="48"/>
      <c r="F211" s="48"/>
      <c r="G211" s="49"/>
      <c r="H211" s="31"/>
      <c r="I211" s="465" t="s">
        <v>801</v>
      </c>
      <c r="J211" s="63"/>
      <c r="K211" s="295"/>
      <c r="L211" s="295"/>
      <c r="M211" s="296"/>
      <c r="N211" s="296"/>
      <c r="O211" s="296"/>
      <c r="P211" s="296"/>
      <c r="Q211" s="530" t="s">
        <v>382</v>
      </c>
      <c r="R211" s="530"/>
      <c r="S211" s="530"/>
      <c r="T211" s="530"/>
      <c r="U211" s="530"/>
      <c r="V211" s="530"/>
      <c r="W211" s="530"/>
      <c r="X211" s="530">
        <f>SUM(X212:X216)</f>
        <v>7300000</v>
      </c>
      <c r="Y211" s="462" t="s">
        <v>56</v>
      </c>
      <c r="Z211" s="1"/>
    </row>
    <row r="212" spans="1:26" ht="21" customHeight="1">
      <c r="A212" s="45"/>
      <c r="B212" s="46"/>
      <c r="C212" s="46"/>
      <c r="D212" s="46"/>
      <c r="E212" s="48"/>
      <c r="F212" s="48"/>
      <c r="G212" s="49"/>
      <c r="H212" s="31"/>
      <c r="I212" s="285" t="s">
        <v>691</v>
      </c>
      <c r="J212" s="618"/>
      <c r="K212" s="618"/>
      <c r="L212" s="618"/>
      <c r="M212" s="617">
        <v>35000</v>
      </c>
      <c r="N212" s="390" t="s">
        <v>56</v>
      </c>
      <c r="O212" s="389" t="s">
        <v>57</v>
      </c>
      <c r="P212" s="390">
        <v>14</v>
      </c>
      <c r="Q212" s="617" t="s">
        <v>55</v>
      </c>
      <c r="R212" s="617"/>
      <c r="S212" s="390"/>
      <c r="T212" s="390"/>
      <c r="U212" s="390" t="s">
        <v>53</v>
      </c>
      <c r="V212" s="390"/>
      <c r="W212" s="390"/>
      <c r="X212" s="277">
        <f>M212*P212</f>
        <v>490000</v>
      </c>
      <c r="Y212" s="391" t="s">
        <v>25</v>
      </c>
      <c r="Z212" s="1"/>
    </row>
    <row r="213" spans="1:26" ht="21" customHeight="1">
      <c r="A213" s="45"/>
      <c r="B213" s="46"/>
      <c r="C213" s="46"/>
      <c r="D213" s="46"/>
      <c r="E213" s="48"/>
      <c r="F213" s="48"/>
      <c r="G213" s="49"/>
      <c r="H213" s="31"/>
      <c r="I213" s="618" t="s">
        <v>690</v>
      </c>
      <c r="J213" s="618"/>
      <c r="K213" s="618"/>
      <c r="L213" s="618"/>
      <c r="M213" s="295">
        <v>20000</v>
      </c>
      <c r="N213" s="295" t="s">
        <v>56</v>
      </c>
      <c r="O213" s="72" t="s">
        <v>57</v>
      </c>
      <c r="P213" s="617">
        <v>14</v>
      </c>
      <c r="Q213" s="295" t="s">
        <v>55</v>
      </c>
      <c r="R213" s="72" t="s">
        <v>57</v>
      </c>
      <c r="S213" s="295">
        <v>2</v>
      </c>
      <c r="T213" s="295" t="s">
        <v>66</v>
      </c>
      <c r="U213" s="295" t="s">
        <v>53</v>
      </c>
      <c r="V213" s="390"/>
      <c r="W213" s="390"/>
      <c r="X213" s="277">
        <f>M213*P213*S213</f>
        <v>560000</v>
      </c>
      <c r="Y213" s="391" t="s">
        <v>25</v>
      </c>
      <c r="Z213" s="1"/>
    </row>
    <row r="214" spans="1:26" ht="21" customHeight="1">
      <c r="A214" s="45"/>
      <c r="B214" s="46"/>
      <c r="C214" s="46"/>
      <c r="D214" s="46"/>
      <c r="E214" s="48"/>
      <c r="F214" s="48"/>
      <c r="G214" s="49"/>
      <c r="H214" s="31"/>
      <c r="I214" s="296" t="s">
        <v>692</v>
      </c>
      <c r="J214" s="296"/>
      <c r="K214" s="296"/>
      <c r="L214" s="296"/>
      <c r="M214" s="295">
        <v>50000</v>
      </c>
      <c r="N214" s="295" t="s">
        <v>56</v>
      </c>
      <c r="O214" s="72" t="s">
        <v>57</v>
      </c>
      <c r="P214" s="617">
        <v>39</v>
      </c>
      <c r="Q214" s="295" t="s">
        <v>55</v>
      </c>
      <c r="R214" s="72" t="s">
        <v>57</v>
      </c>
      <c r="S214" s="295">
        <v>1</v>
      </c>
      <c r="T214" s="295" t="s">
        <v>66</v>
      </c>
      <c r="U214" s="295" t="s">
        <v>53</v>
      </c>
      <c r="V214" s="295"/>
      <c r="W214" s="66"/>
      <c r="X214" s="277">
        <f>M214*P214*S214</f>
        <v>1950000</v>
      </c>
      <c r="Y214" s="57" t="s">
        <v>56</v>
      </c>
      <c r="Z214" s="1"/>
    </row>
    <row r="215" spans="1:26" ht="21" customHeight="1">
      <c r="A215" s="45"/>
      <c r="B215" s="46"/>
      <c r="C215" s="46"/>
      <c r="D215" s="46"/>
      <c r="E215" s="48"/>
      <c r="F215" s="48"/>
      <c r="G215" s="49"/>
      <c r="H215" s="31"/>
      <c r="I215" s="618" t="s">
        <v>693</v>
      </c>
      <c r="J215" s="618"/>
      <c r="K215" s="618"/>
      <c r="L215" s="618"/>
      <c r="M215" s="617">
        <v>100000</v>
      </c>
      <c r="N215" s="390" t="s">
        <v>56</v>
      </c>
      <c r="O215" s="389" t="s">
        <v>57</v>
      </c>
      <c r="P215" s="390">
        <v>4</v>
      </c>
      <c r="Q215" s="617" t="s">
        <v>66</v>
      </c>
      <c r="R215" s="390"/>
      <c r="S215" s="390"/>
      <c r="T215" s="390"/>
      <c r="U215" s="395" t="s">
        <v>53</v>
      </c>
      <c r="V215" s="390"/>
      <c r="W215" s="390"/>
      <c r="X215" s="277">
        <f>M215*P215</f>
        <v>400000</v>
      </c>
      <c r="Y215" s="391" t="s">
        <v>56</v>
      </c>
      <c r="Z215" s="1"/>
    </row>
    <row r="216" spans="1:26" ht="21" customHeight="1">
      <c r="A216" s="45"/>
      <c r="B216" s="46"/>
      <c r="C216" s="46"/>
      <c r="D216" s="46"/>
      <c r="E216" s="48"/>
      <c r="F216" s="48"/>
      <c r="G216" s="49"/>
      <c r="H216" s="31"/>
      <c r="I216" s="618" t="s">
        <v>694</v>
      </c>
      <c r="J216" s="618"/>
      <c r="K216" s="618"/>
      <c r="L216" s="618"/>
      <c r="M216" s="617">
        <v>100000</v>
      </c>
      <c r="N216" s="390" t="s">
        <v>56</v>
      </c>
      <c r="O216" s="389" t="s">
        <v>57</v>
      </c>
      <c r="P216" s="390">
        <v>39</v>
      </c>
      <c r="Q216" s="617" t="s">
        <v>55</v>
      </c>
      <c r="R216" s="390"/>
      <c r="S216" s="390"/>
      <c r="T216" s="390"/>
      <c r="U216" s="395" t="s">
        <v>53</v>
      </c>
      <c r="V216" s="390"/>
      <c r="W216" s="390"/>
      <c r="X216" s="277">
        <f>M216*P216</f>
        <v>3900000</v>
      </c>
      <c r="Y216" s="391" t="s">
        <v>56</v>
      </c>
      <c r="Z216" s="1"/>
    </row>
    <row r="217" spans="1:26" ht="21" customHeight="1">
      <c r="A217" s="45"/>
      <c r="B217" s="46"/>
      <c r="C217" s="46"/>
      <c r="D217" s="46"/>
      <c r="E217" s="48"/>
      <c r="F217" s="48"/>
      <c r="G217" s="49"/>
      <c r="H217" s="31"/>
      <c r="I217" s="296"/>
      <c r="J217" s="296"/>
      <c r="K217" s="296"/>
      <c r="L217" s="296"/>
      <c r="M217" s="296"/>
      <c r="N217" s="296"/>
      <c r="O217" s="296"/>
      <c r="P217" s="296"/>
      <c r="Q217" s="296"/>
      <c r="R217" s="296"/>
      <c r="S217" s="296"/>
      <c r="T217" s="296"/>
      <c r="U217" s="296"/>
      <c r="V217" s="296"/>
      <c r="W217" s="296"/>
      <c r="X217" s="296"/>
      <c r="Y217" s="467"/>
      <c r="Z217" s="1"/>
    </row>
    <row r="218" spans="1:26" ht="21" customHeight="1" thickBot="1">
      <c r="A218" s="45"/>
      <c r="B218" s="46"/>
      <c r="C218" s="46"/>
      <c r="D218" s="46"/>
      <c r="E218" s="48"/>
      <c r="F218" s="48"/>
      <c r="G218" s="49"/>
      <c r="H218" s="31"/>
      <c r="I218" s="465" t="s">
        <v>802</v>
      </c>
      <c r="J218" s="63"/>
      <c r="K218" s="295"/>
      <c r="L218" s="295"/>
      <c r="M218" s="295"/>
      <c r="N218" s="295"/>
      <c r="O218" s="295"/>
      <c r="P218" s="296"/>
      <c r="Q218" s="296"/>
      <c r="R218" s="296"/>
      <c r="S218" s="466" t="s">
        <v>381</v>
      </c>
      <c r="T218" s="63"/>
      <c r="U218" s="63"/>
      <c r="V218" s="466"/>
      <c r="W218" s="466"/>
      <c r="X218" s="530">
        <f>SUM(X219:X220)</f>
        <v>1080000</v>
      </c>
      <c r="Y218" s="462" t="s">
        <v>56</v>
      </c>
      <c r="Z218" s="1"/>
    </row>
    <row r="219" spans="1:26" ht="21" customHeight="1">
      <c r="A219" s="45"/>
      <c r="B219" s="46"/>
      <c r="C219" s="46"/>
      <c r="D219" s="46"/>
      <c r="E219" s="48"/>
      <c r="F219" s="48"/>
      <c r="G219" s="49"/>
      <c r="H219" s="31"/>
      <c r="I219" s="285" t="s">
        <v>684</v>
      </c>
      <c r="J219" s="618"/>
      <c r="K219" s="617"/>
      <c r="L219" s="617"/>
      <c r="M219" s="617">
        <v>50000</v>
      </c>
      <c r="N219" s="617" t="s">
        <v>56</v>
      </c>
      <c r="O219" s="389" t="s">
        <v>57</v>
      </c>
      <c r="P219" s="617">
        <v>4</v>
      </c>
      <c r="Q219" s="617" t="s">
        <v>55</v>
      </c>
      <c r="R219" s="389" t="s">
        <v>57</v>
      </c>
      <c r="S219" s="617">
        <v>4</v>
      </c>
      <c r="T219" s="617" t="s">
        <v>66</v>
      </c>
      <c r="U219" s="617" t="s">
        <v>53</v>
      </c>
      <c r="V219" s="617"/>
      <c r="W219" s="620"/>
      <c r="X219" s="277">
        <f>M219*P219*S219</f>
        <v>800000</v>
      </c>
      <c r="Y219" s="131" t="s">
        <v>56</v>
      </c>
      <c r="Z219" s="1"/>
    </row>
    <row r="220" spans="1:26" ht="21" customHeight="1">
      <c r="A220" s="45"/>
      <c r="B220" s="46"/>
      <c r="C220" s="46"/>
      <c r="D220" s="46"/>
      <c r="E220" s="48"/>
      <c r="F220" s="48"/>
      <c r="G220" s="49"/>
      <c r="H220" s="31"/>
      <c r="I220" s="65" t="s">
        <v>831</v>
      </c>
      <c r="J220" s="296"/>
      <c r="K220" s="295"/>
      <c r="L220" s="295"/>
      <c r="M220" s="295"/>
      <c r="N220" s="295"/>
      <c r="O220" s="296"/>
      <c r="P220" s="295"/>
      <c r="Q220" s="295"/>
      <c r="R220" s="295"/>
      <c r="S220" s="295"/>
      <c r="T220" s="295"/>
      <c r="U220" s="295"/>
      <c r="V220" s="295"/>
      <c r="W220" s="66"/>
      <c r="X220" s="66">
        <v>280000</v>
      </c>
      <c r="Y220" s="57" t="s">
        <v>873</v>
      </c>
      <c r="Z220" s="1"/>
    </row>
    <row r="221" spans="1:26" ht="21" customHeight="1" thickBot="1">
      <c r="A221" s="45"/>
      <c r="B221" s="46"/>
      <c r="C221" s="46"/>
      <c r="D221" s="46"/>
      <c r="E221" s="48"/>
      <c r="F221" s="48"/>
      <c r="G221" s="49"/>
      <c r="H221" s="31"/>
      <c r="I221" s="465" t="s">
        <v>828</v>
      </c>
      <c r="J221" s="464"/>
      <c r="K221" s="176"/>
      <c r="L221" s="176"/>
      <c r="M221" s="176"/>
      <c r="N221" s="176"/>
      <c r="O221" s="176"/>
      <c r="P221" s="176"/>
      <c r="Q221" s="176"/>
      <c r="R221" s="176"/>
      <c r="S221" s="464" t="s">
        <v>830</v>
      </c>
      <c r="T221" s="464"/>
      <c r="U221" s="464"/>
      <c r="V221" s="464"/>
      <c r="W221" s="464"/>
      <c r="X221" s="463">
        <f>X222</f>
        <v>400000</v>
      </c>
      <c r="Y221" s="462" t="s">
        <v>56</v>
      </c>
      <c r="Z221" s="1"/>
    </row>
    <row r="222" spans="1:26" ht="21" customHeight="1">
      <c r="A222" s="45"/>
      <c r="B222" s="46"/>
      <c r="C222" s="46"/>
      <c r="D222" s="46"/>
      <c r="E222" s="48"/>
      <c r="F222" s="48"/>
      <c r="G222" s="49"/>
      <c r="H222" s="31"/>
      <c r="I222" s="640" t="s">
        <v>829</v>
      </c>
      <c r="J222" s="618"/>
      <c r="K222" s="618"/>
      <c r="L222" s="618"/>
      <c r="M222" s="618"/>
      <c r="N222" s="618"/>
      <c r="O222" s="618"/>
      <c r="P222" s="618"/>
      <c r="Q222" s="618"/>
      <c r="R222" s="618"/>
      <c r="S222" s="618"/>
      <c r="T222" s="618"/>
      <c r="U222" s="618"/>
      <c r="V222" s="618"/>
      <c r="W222" s="618"/>
      <c r="X222" s="603">
        <v>400000</v>
      </c>
      <c r="Y222" s="131" t="s">
        <v>56</v>
      </c>
      <c r="Z222" s="1"/>
    </row>
    <row r="223" spans="1:26" ht="21" customHeight="1">
      <c r="A223" s="45"/>
      <c r="B223" s="46"/>
      <c r="C223" s="46"/>
      <c r="D223" s="46"/>
      <c r="E223" s="48"/>
      <c r="F223" s="48"/>
      <c r="G223" s="49"/>
      <c r="H223" s="31"/>
      <c r="I223" s="65"/>
      <c r="J223" s="296"/>
      <c r="K223" s="295"/>
      <c r="L223" s="295"/>
      <c r="M223" s="295"/>
      <c r="N223" s="295"/>
      <c r="O223" s="296"/>
      <c r="P223" s="295"/>
      <c r="Q223" s="295"/>
      <c r="R223" s="295"/>
      <c r="S223" s="295"/>
      <c r="T223" s="295"/>
      <c r="U223" s="295"/>
      <c r="V223" s="295"/>
      <c r="W223" s="66"/>
      <c r="X223" s="66"/>
      <c r="Y223" s="57"/>
      <c r="Z223" s="1"/>
    </row>
    <row r="224" spans="1:26" ht="21" customHeight="1" thickBot="1">
      <c r="A224" s="45"/>
      <c r="B224" s="46"/>
      <c r="C224" s="46"/>
      <c r="D224" s="46"/>
      <c r="E224" s="48"/>
      <c r="F224" s="48"/>
      <c r="G224" s="49"/>
      <c r="H224" s="31"/>
      <c r="I224" s="465" t="s">
        <v>803</v>
      </c>
      <c r="J224" s="464"/>
      <c r="K224" s="176"/>
      <c r="L224" s="176"/>
      <c r="M224" s="176"/>
      <c r="N224" s="176"/>
      <c r="O224" s="176"/>
      <c r="P224" s="176"/>
      <c r="Q224" s="176"/>
      <c r="R224" s="176"/>
      <c r="S224" s="464" t="s">
        <v>540</v>
      </c>
      <c r="T224" s="464"/>
      <c r="U224" s="464"/>
      <c r="V224" s="464"/>
      <c r="W224" s="464"/>
      <c r="X224" s="463">
        <f>SUM(X225:X225)</f>
        <v>11000000</v>
      </c>
      <c r="Y224" s="462" t="s">
        <v>56</v>
      </c>
      <c r="Z224" s="1"/>
    </row>
    <row r="225" spans="1:27" ht="21" customHeight="1">
      <c r="A225" s="45"/>
      <c r="B225" s="46"/>
      <c r="C225" s="46"/>
      <c r="D225" s="46"/>
      <c r="E225" s="48"/>
      <c r="F225" s="48"/>
      <c r="G225" s="49"/>
      <c r="H225" s="31"/>
      <c r="I225" s="618" t="s">
        <v>776</v>
      </c>
      <c r="J225" s="618"/>
      <c r="K225" s="618"/>
      <c r="L225" s="618"/>
      <c r="M225" s="618"/>
      <c r="N225" s="618"/>
      <c r="O225" s="618"/>
      <c r="P225" s="618"/>
      <c r="Q225" s="618"/>
      <c r="R225" s="618"/>
      <c r="S225" s="618"/>
      <c r="T225" s="618"/>
      <c r="U225" s="618"/>
      <c r="V225" s="618"/>
      <c r="W225" s="618"/>
      <c r="X225" s="617">
        <v>11000000</v>
      </c>
      <c r="Y225" s="131" t="s">
        <v>56</v>
      </c>
      <c r="Z225" s="1"/>
    </row>
    <row r="226" spans="1:27" ht="21" customHeight="1">
      <c r="A226" s="45"/>
      <c r="B226" s="46"/>
      <c r="C226" s="46"/>
      <c r="D226" s="46"/>
      <c r="E226" s="48"/>
      <c r="F226" s="48"/>
      <c r="G226" s="49"/>
      <c r="H226" s="31"/>
      <c r="I226" s="640"/>
      <c r="J226" s="640"/>
      <c r="K226" s="640"/>
      <c r="L226" s="640"/>
      <c r="M226" s="640"/>
      <c r="N226" s="640"/>
      <c r="O226" s="640"/>
      <c r="P226" s="640"/>
      <c r="Q226" s="640"/>
      <c r="R226" s="640"/>
      <c r="S226" s="640"/>
      <c r="T226" s="640"/>
      <c r="U226" s="640"/>
      <c r="V226" s="640"/>
      <c r="W226" s="640"/>
      <c r="X226" s="639"/>
      <c r="Y226" s="131"/>
      <c r="Z226" s="1"/>
    </row>
    <row r="227" spans="1:27" ht="21" customHeight="1" thickBot="1">
      <c r="A227" s="45"/>
      <c r="B227" s="46"/>
      <c r="C227" s="46"/>
      <c r="D227" s="46"/>
      <c r="E227" s="48"/>
      <c r="F227" s="48"/>
      <c r="G227" s="49"/>
      <c r="H227" s="31"/>
      <c r="I227" s="465" t="s">
        <v>832</v>
      </c>
      <c r="J227" s="464"/>
      <c r="K227" s="176"/>
      <c r="L227" s="176"/>
      <c r="M227" s="176"/>
      <c r="N227" s="176"/>
      <c r="O227" s="176"/>
      <c r="P227" s="176"/>
      <c r="Q227" s="176"/>
      <c r="R227" s="176"/>
      <c r="S227" s="464" t="s">
        <v>540</v>
      </c>
      <c r="T227" s="464"/>
      <c r="U227" s="464"/>
      <c r="V227" s="464"/>
      <c r="W227" s="464"/>
      <c r="X227" s="463">
        <f>SUM(X228:X228)</f>
        <v>7000000</v>
      </c>
      <c r="Y227" s="462" t="s">
        <v>56</v>
      </c>
      <c r="Z227" s="1"/>
    </row>
    <row r="228" spans="1:27" ht="21" customHeight="1">
      <c r="A228" s="45"/>
      <c r="B228" s="46"/>
      <c r="C228" s="46"/>
      <c r="D228" s="46"/>
      <c r="E228" s="48"/>
      <c r="F228" s="48"/>
      <c r="G228" s="49"/>
      <c r="H228" s="31"/>
      <c r="I228" s="640" t="s">
        <v>833</v>
      </c>
      <c r="J228" s="640"/>
      <c r="K228" s="640"/>
      <c r="L228" s="640"/>
      <c r="M228" s="640"/>
      <c r="N228" s="640"/>
      <c r="O228" s="640"/>
      <c r="P228" s="640"/>
      <c r="Q228" s="640"/>
      <c r="R228" s="640"/>
      <c r="S228" s="640"/>
      <c r="T228" s="640"/>
      <c r="U228" s="640"/>
      <c r="V228" s="640"/>
      <c r="W228" s="640"/>
      <c r="X228" s="639">
        <v>7000000</v>
      </c>
      <c r="Y228" s="131" t="s">
        <v>56</v>
      </c>
      <c r="Z228" s="23"/>
      <c r="AA228" s="24"/>
    </row>
    <row r="229" spans="1:27" ht="21" customHeight="1">
      <c r="A229" s="45"/>
      <c r="B229" s="46"/>
      <c r="C229" s="36" t="s">
        <v>397</v>
      </c>
      <c r="D229" s="461" t="s">
        <v>396</v>
      </c>
      <c r="E229" s="219">
        <f>E230</f>
        <v>29324</v>
      </c>
      <c r="F229" s="219">
        <f>F230</f>
        <v>11547</v>
      </c>
      <c r="G229" s="220">
        <f>F229-E229</f>
        <v>-17777</v>
      </c>
      <c r="H229" s="221">
        <f>IF(E229=0,0,G229/E229)</f>
        <v>-0.60622698131223574</v>
      </c>
      <c r="I229" s="204" t="s">
        <v>395</v>
      </c>
      <c r="J229" s="205"/>
      <c r="K229" s="206"/>
      <c r="L229" s="206"/>
      <c r="M229" s="206"/>
      <c r="N229" s="206"/>
      <c r="O229" s="206"/>
      <c r="P229" s="207"/>
      <c r="Q229" s="207"/>
      <c r="R229" s="207"/>
      <c r="S229" s="207"/>
      <c r="T229" s="207"/>
      <c r="U229" s="207"/>
      <c r="V229" s="234" t="s">
        <v>392</v>
      </c>
      <c r="W229" s="235"/>
      <c r="X229" s="235">
        <f>SUM(X231,X234)</f>
        <v>11547000</v>
      </c>
      <c r="Y229" s="267" t="s">
        <v>387</v>
      </c>
      <c r="Z229" s="23"/>
      <c r="AA229" s="24"/>
    </row>
    <row r="230" spans="1:27" ht="21" customHeight="1">
      <c r="A230" s="45"/>
      <c r="B230" s="46"/>
      <c r="C230" s="46" t="s">
        <v>394</v>
      </c>
      <c r="D230" s="46" t="s">
        <v>393</v>
      </c>
      <c r="E230" s="48">
        <v>29324</v>
      </c>
      <c r="F230" s="48">
        <f>ROUND(X229/1000,0)</f>
        <v>11547</v>
      </c>
      <c r="G230" s="38">
        <f>F230-E230</f>
        <v>-17777</v>
      </c>
      <c r="H230" s="39">
        <f>IF(E230=0,0,G230/E230)</f>
        <v>-0.60622698131223574</v>
      </c>
      <c r="I230" s="138"/>
      <c r="J230" s="142"/>
      <c r="K230" s="295"/>
      <c r="L230" s="295"/>
      <c r="M230" s="295"/>
      <c r="N230" s="459"/>
      <c r="O230" s="72"/>
      <c r="P230" s="67"/>
      <c r="Q230" s="72"/>
      <c r="R230" s="77"/>
      <c r="S230" s="74"/>
      <c r="T230" s="74"/>
      <c r="U230" s="459"/>
      <c r="V230" s="693"/>
      <c r="W230" s="693"/>
      <c r="X230" s="140"/>
      <c r="Y230" s="141"/>
    </row>
    <row r="231" spans="1:27" ht="21" customHeight="1" thickBot="1">
      <c r="A231" s="45"/>
      <c r="B231" s="46"/>
      <c r="C231" s="46" t="s">
        <v>172</v>
      </c>
      <c r="D231" s="46" t="s">
        <v>360</v>
      </c>
      <c r="E231" s="48"/>
      <c r="F231" s="48"/>
      <c r="G231" s="49"/>
      <c r="H231" s="31"/>
      <c r="I231" s="465" t="s">
        <v>799</v>
      </c>
      <c r="J231" s="63"/>
      <c r="K231" s="295"/>
      <c r="L231" s="295"/>
      <c r="M231" s="295"/>
      <c r="N231" s="295"/>
      <c r="O231" s="295"/>
      <c r="P231" s="295"/>
      <c r="Q231" s="530" t="s">
        <v>386</v>
      </c>
      <c r="R231" s="530"/>
      <c r="S231" s="530"/>
      <c r="T231" s="530"/>
      <c r="U231" s="530"/>
      <c r="V231" s="530"/>
      <c r="W231" s="530"/>
      <c r="X231" s="530">
        <f>ROUND(SUM(X232:X232),-3)</f>
        <v>1547000</v>
      </c>
      <c r="Y231" s="462" t="s">
        <v>56</v>
      </c>
    </row>
    <row r="232" spans="1:27" ht="21" customHeight="1">
      <c r="A232" s="45"/>
      <c r="B232" s="46"/>
      <c r="C232" s="46"/>
      <c r="D232" s="46"/>
      <c r="E232" s="48"/>
      <c r="F232" s="48"/>
      <c r="G232" s="49"/>
      <c r="H232" s="31"/>
      <c r="I232" s="279" t="s">
        <v>564</v>
      </c>
      <c r="J232" s="279"/>
      <c r="K232" s="279"/>
      <c r="L232" s="279"/>
      <c r="M232" s="277">
        <v>18556000</v>
      </c>
      <c r="N232" s="336" t="s">
        <v>56</v>
      </c>
      <c r="O232" s="336" t="s">
        <v>65</v>
      </c>
      <c r="P232" s="382">
        <v>12</v>
      </c>
      <c r="Q232" s="619" t="s">
        <v>0</v>
      </c>
      <c r="R232" s="277"/>
      <c r="S232" s="277"/>
      <c r="T232" s="277"/>
      <c r="U232" s="277" t="s">
        <v>53</v>
      </c>
      <c r="V232" s="277"/>
      <c r="W232" s="280"/>
      <c r="X232" s="280">
        <f>ROUNDUP(M232/P232,-3)</f>
        <v>1547000</v>
      </c>
      <c r="Y232" s="303" t="s">
        <v>56</v>
      </c>
    </row>
    <row r="233" spans="1:27" ht="21" customHeight="1">
      <c r="A233" s="45"/>
      <c r="B233" s="46"/>
      <c r="C233" s="46"/>
      <c r="D233" s="46"/>
      <c r="E233" s="48"/>
      <c r="F233" s="48"/>
      <c r="G233" s="49"/>
      <c r="H233" s="31"/>
      <c r="I233" s="279"/>
      <c r="J233" s="279"/>
      <c r="K233" s="279"/>
      <c r="L233" s="279"/>
      <c r="M233" s="277"/>
      <c r="N233" s="336"/>
      <c r="O233" s="336"/>
      <c r="P233" s="382"/>
      <c r="Q233" s="635"/>
      <c r="R233" s="277"/>
      <c r="S233" s="277"/>
      <c r="T233" s="277"/>
      <c r="U233" s="277"/>
      <c r="V233" s="277"/>
      <c r="W233" s="280"/>
      <c r="X233" s="280"/>
      <c r="Y233" s="303"/>
    </row>
    <row r="234" spans="1:27" ht="21" customHeight="1" thickBot="1">
      <c r="A234" s="45"/>
      <c r="B234" s="46"/>
      <c r="C234" s="46"/>
      <c r="D234" s="46"/>
      <c r="E234" s="48"/>
      <c r="F234" s="48"/>
      <c r="G234" s="49"/>
      <c r="H234" s="31"/>
      <c r="I234" s="465" t="s">
        <v>850</v>
      </c>
      <c r="J234" s="63"/>
      <c r="K234" s="295"/>
      <c r="L234" s="295"/>
      <c r="M234" s="295"/>
      <c r="N234" s="295"/>
      <c r="O234" s="295"/>
      <c r="P234" s="295"/>
      <c r="Q234" s="530" t="s">
        <v>841</v>
      </c>
      <c r="R234" s="530"/>
      <c r="S234" s="530"/>
      <c r="T234" s="530"/>
      <c r="U234" s="530"/>
      <c r="V234" s="530"/>
      <c r="W234" s="530"/>
      <c r="X234" s="530">
        <f>ROUND(SUM(X235:X235),-3)</f>
        <v>10000000</v>
      </c>
      <c r="Y234" s="462" t="s">
        <v>56</v>
      </c>
    </row>
    <row r="235" spans="1:27" ht="21" customHeight="1" thickBot="1">
      <c r="A235" s="58"/>
      <c r="B235" s="59"/>
      <c r="C235" s="59"/>
      <c r="D235" s="59"/>
      <c r="E235" s="61"/>
      <c r="F235" s="61"/>
      <c r="G235" s="62"/>
      <c r="H235" s="203"/>
      <c r="I235" s="279" t="s">
        <v>851</v>
      </c>
      <c r="J235" s="279"/>
      <c r="K235" s="279"/>
      <c r="L235" s="279"/>
      <c r="M235" s="277"/>
      <c r="N235" s="336"/>
      <c r="O235" s="336"/>
      <c r="P235" s="382"/>
      <c r="Q235" s="635"/>
      <c r="R235" s="277"/>
      <c r="S235" s="277"/>
      <c r="T235" s="277"/>
      <c r="U235" s="277"/>
      <c r="V235" s="277"/>
      <c r="W235" s="280"/>
      <c r="X235" s="645">
        <v>10000000</v>
      </c>
      <c r="Y235" s="303" t="s">
        <v>56</v>
      </c>
      <c r="Z235" s="1"/>
    </row>
    <row r="236" spans="1:27" ht="21" customHeight="1">
      <c r="A236" s="35" t="s">
        <v>14</v>
      </c>
      <c r="B236" s="36" t="s">
        <v>14</v>
      </c>
      <c r="C236" s="696" t="s">
        <v>376</v>
      </c>
      <c r="D236" s="697"/>
      <c r="E236" s="248">
        <f>SUM(E237,E252,E258)</f>
        <v>33000</v>
      </c>
      <c r="F236" s="248">
        <f>SUM(F237,F252,F258)</f>
        <v>49405</v>
      </c>
      <c r="G236" s="249">
        <f>F236-E236</f>
        <v>16405</v>
      </c>
      <c r="H236" s="250">
        <f>IF(E236=0,0,G236/E236)</f>
        <v>0.49712121212121213</v>
      </c>
      <c r="I236" s="251" t="s">
        <v>375</v>
      </c>
      <c r="J236" s="252"/>
      <c r="K236" s="253"/>
      <c r="L236" s="253"/>
      <c r="M236" s="252"/>
      <c r="N236" s="252"/>
      <c r="O236" s="252"/>
      <c r="P236" s="252"/>
      <c r="Q236" s="252" t="s">
        <v>374</v>
      </c>
      <c r="R236" s="254"/>
      <c r="S236" s="254"/>
      <c r="T236" s="254"/>
      <c r="U236" s="254"/>
      <c r="V236" s="254"/>
      <c r="W236" s="254"/>
      <c r="X236" s="646">
        <f>SUM(X237,X252,X258)</f>
        <v>49405000</v>
      </c>
      <c r="Y236" s="266" t="s">
        <v>25</v>
      </c>
      <c r="Z236" s="1"/>
    </row>
    <row r="237" spans="1:27" ht="21" customHeight="1">
      <c r="A237" s="45"/>
      <c r="B237" s="46"/>
      <c r="C237" s="36" t="s">
        <v>373</v>
      </c>
      <c r="D237" s="461" t="s">
        <v>372</v>
      </c>
      <c r="E237" s="219">
        <f>SUM(E238,E241,E244,E248)</f>
        <v>18000</v>
      </c>
      <c r="F237" s="219">
        <f>SUM(F238,F241,F244,F248,F250)</f>
        <v>24221</v>
      </c>
      <c r="G237" s="220">
        <f>F237-E237</f>
        <v>6221</v>
      </c>
      <c r="H237" s="221">
        <f>IF(E237=0,0,G237/E237)</f>
        <v>0.34561111111111109</v>
      </c>
      <c r="I237" s="204" t="s">
        <v>371</v>
      </c>
      <c r="J237" s="205"/>
      <c r="K237" s="206"/>
      <c r="L237" s="206"/>
      <c r="M237" s="206"/>
      <c r="N237" s="206"/>
      <c r="O237" s="206"/>
      <c r="P237" s="207"/>
      <c r="Q237" s="207"/>
      <c r="R237" s="207"/>
      <c r="S237" s="207"/>
      <c r="T237" s="207"/>
      <c r="U237" s="207"/>
      <c r="V237" s="234" t="s">
        <v>365</v>
      </c>
      <c r="W237" s="235"/>
      <c r="X237" s="236">
        <f>SUM(X238,X241,X244,X248)</f>
        <v>24221000</v>
      </c>
      <c r="Y237" s="267" t="s">
        <v>364</v>
      </c>
      <c r="Z237" s="1"/>
    </row>
    <row r="238" spans="1:27" ht="21" customHeight="1">
      <c r="A238" s="45"/>
      <c r="B238" s="46"/>
      <c r="C238" s="46"/>
      <c r="D238" s="547" t="s">
        <v>554</v>
      </c>
      <c r="E238" s="37">
        <v>0</v>
      </c>
      <c r="F238" s="37">
        <f>ROUND(X238/1000,0)</f>
        <v>0</v>
      </c>
      <c r="G238" s="38">
        <f>F238-E238</f>
        <v>0</v>
      </c>
      <c r="H238" s="39">
        <f>IF(E238=0,0,G238/E238)</f>
        <v>0</v>
      </c>
      <c r="I238" s="138" t="s">
        <v>555</v>
      </c>
      <c r="J238" s="157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693" t="s">
        <v>64</v>
      </c>
      <c r="W238" s="693"/>
      <c r="X238" s="140">
        <f>ROUNDUP(SUM(W239:X240),-3)</f>
        <v>0</v>
      </c>
      <c r="Y238" s="141" t="s">
        <v>56</v>
      </c>
      <c r="Z238" s="1"/>
    </row>
    <row r="239" spans="1:27" ht="21" customHeight="1">
      <c r="A239" s="45"/>
      <c r="B239" s="46"/>
      <c r="C239" s="46"/>
      <c r="D239" s="548"/>
      <c r="E239" s="48"/>
      <c r="F239" s="48"/>
      <c r="G239" s="49"/>
      <c r="H239" s="31"/>
      <c r="I239" s="285" t="s">
        <v>556</v>
      </c>
      <c r="J239" s="296"/>
      <c r="K239" s="295"/>
      <c r="L239" s="295"/>
      <c r="M239" s="295"/>
      <c r="N239" s="295"/>
      <c r="O239" s="295"/>
      <c r="P239" s="295"/>
      <c r="Q239" s="295"/>
      <c r="R239" s="295"/>
      <c r="S239" s="295"/>
      <c r="T239" s="295"/>
      <c r="U239" s="295"/>
      <c r="V239" s="541"/>
      <c r="W239" s="541"/>
      <c r="X239" s="66">
        <v>0</v>
      </c>
      <c r="Y239" s="57" t="s">
        <v>56</v>
      </c>
      <c r="Z239" s="1"/>
    </row>
    <row r="240" spans="1:27" ht="21" customHeight="1">
      <c r="A240" s="45"/>
      <c r="B240" s="46"/>
      <c r="C240" s="46"/>
      <c r="D240" s="543"/>
      <c r="E240" s="544"/>
      <c r="F240" s="545"/>
      <c r="G240" s="545"/>
      <c r="H240" s="546"/>
      <c r="I240" s="286" t="s">
        <v>557</v>
      </c>
      <c r="J240" s="36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01"/>
      <c r="W240" s="201"/>
      <c r="X240" s="70">
        <v>0</v>
      </c>
      <c r="Y240" s="71" t="s">
        <v>56</v>
      </c>
      <c r="Z240" s="1"/>
    </row>
    <row r="241" spans="1:26" ht="21" customHeight="1">
      <c r="A241" s="45"/>
      <c r="B241" s="46"/>
      <c r="C241" s="46" t="s">
        <v>370</v>
      </c>
      <c r="D241" s="36" t="s">
        <v>369</v>
      </c>
      <c r="E241" s="37">
        <v>8000</v>
      </c>
      <c r="F241" s="37">
        <f>ROUND(X241/1000,0)</f>
        <v>10764</v>
      </c>
      <c r="G241" s="38">
        <f>F241-E241</f>
        <v>2764</v>
      </c>
      <c r="H241" s="39">
        <f>IF(E241=0,0,G241/E241)</f>
        <v>0.34549999999999997</v>
      </c>
      <c r="I241" s="138" t="s">
        <v>368</v>
      </c>
      <c r="J241" s="157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693" t="s">
        <v>365</v>
      </c>
      <c r="W241" s="693"/>
      <c r="X241" s="140">
        <f>ROUNDUP(SUM(W242:X243),-3)</f>
        <v>10764000</v>
      </c>
      <c r="Y241" s="141" t="s">
        <v>364</v>
      </c>
      <c r="Z241" s="1"/>
    </row>
    <row r="242" spans="1:26" ht="21" customHeight="1">
      <c r="A242" s="45"/>
      <c r="B242" s="46"/>
      <c r="C242" s="46"/>
      <c r="D242" s="46"/>
      <c r="E242" s="48"/>
      <c r="F242" s="48"/>
      <c r="G242" s="49"/>
      <c r="H242" s="31"/>
      <c r="I242" s="285" t="s">
        <v>367</v>
      </c>
      <c r="J242" s="296"/>
      <c r="K242" s="295"/>
      <c r="L242" s="295"/>
      <c r="M242" s="295"/>
      <c r="N242" s="295"/>
      <c r="O242" s="295"/>
      <c r="P242" s="295"/>
      <c r="Q242" s="295"/>
      <c r="R242" s="295"/>
      <c r="S242" s="295"/>
      <c r="T242" s="295"/>
      <c r="U242" s="295"/>
      <c r="V242" s="459"/>
      <c r="W242" s="459"/>
      <c r="X242" s="66">
        <v>10764000</v>
      </c>
      <c r="Y242" s="57" t="s">
        <v>364</v>
      </c>
      <c r="Z242" s="1"/>
    </row>
    <row r="243" spans="1:26" ht="21" customHeight="1">
      <c r="A243" s="45"/>
      <c r="B243" s="46"/>
      <c r="C243" s="46"/>
      <c r="D243" s="59"/>
      <c r="E243" s="61"/>
      <c r="F243" s="61"/>
      <c r="G243" s="62"/>
      <c r="H243" s="203"/>
      <c r="I243" s="286" t="s">
        <v>366</v>
      </c>
      <c r="J243" s="36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01"/>
      <c r="W243" s="201"/>
      <c r="X243" s="70">
        <v>0</v>
      </c>
      <c r="Y243" s="71" t="s">
        <v>364</v>
      </c>
      <c r="Z243" s="1"/>
    </row>
    <row r="244" spans="1:26" ht="21" customHeight="1">
      <c r="A244" s="45"/>
      <c r="B244" s="46"/>
      <c r="C244" s="46"/>
      <c r="D244" s="36" t="s">
        <v>363</v>
      </c>
      <c r="E244" s="37">
        <v>0</v>
      </c>
      <c r="F244" s="37">
        <f>ROUND(X244/1000,0)</f>
        <v>81</v>
      </c>
      <c r="G244" s="38">
        <f>F244-E244</f>
        <v>81</v>
      </c>
      <c r="H244" s="39">
        <f>IF(E244=0,0,G244/E244)</f>
        <v>0</v>
      </c>
      <c r="I244" s="138" t="s">
        <v>184</v>
      </c>
      <c r="J244" s="157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693" t="s">
        <v>64</v>
      </c>
      <c r="W244" s="693"/>
      <c r="X244" s="140">
        <f>ROUNDUP(SUM(W245:X246),-3)</f>
        <v>81000</v>
      </c>
      <c r="Y244" s="141" t="s">
        <v>56</v>
      </c>
      <c r="Z244" s="1"/>
    </row>
    <row r="245" spans="1:26" ht="21" customHeight="1">
      <c r="A245" s="45"/>
      <c r="B245" s="46"/>
      <c r="C245" s="46"/>
      <c r="D245" s="46"/>
      <c r="E245" s="48"/>
      <c r="F245" s="48"/>
      <c r="G245" s="49"/>
      <c r="H245" s="31"/>
      <c r="I245" s="285" t="s">
        <v>196</v>
      </c>
      <c r="J245" s="296"/>
      <c r="K245" s="295"/>
      <c r="L245" s="295"/>
      <c r="M245" s="295"/>
      <c r="N245" s="295"/>
      <c r="O245" s="295"/>
      <c r="P245" s="295"/>
      <c r="Q245" s="295"/>
      <c r="R245" s="295"/>
      <c r="S245" s="295"/>
      <c r="T245" s="295"/>
      <c r="U245" s="295"/>
      <c r="V245" s="459"/>
      <c r="W245" s="459"/>
      <c r="X245" s="66">
        <v>81000</v>
      </c>
      <c r="Y245" s="57" t="s">
        <v>56</v>
      </c>
      <c r="Z245" s="1"/>
    </row>
    <row r="246" spans="1:26" ht="21" customHeight="1">
      <c r="A246" s="45"/>
      <c r="B246" s="46"/>
      <c r="C246" s="46"/>
      <c r="D246" s="46"/>
      <c r="E246" s="48"/>
      <c r="F246" s="48"/>
      <c r="G246" s="49"/>
      <c r="H246" s="31"/>
      <c r="I246" s="285" t="s">
        <v>197</v>
      </c>
      <c r="J246" s="296"/>
      <c r="K246" s="295"/>
      <c r="L246" s="295"/>
      <c r="M246" s="295"/>
      <c r="N246" s="295"/>
      <c r="O246" s="295"/>
      <c r="P246" s="295"/>
      <c r="Q246" s="295"/>
      <c r="R246" s="295"/>
      <c r="S246" s="295"/>
      <c r="T246" s="295"/>
      <c r="U246" s="295"/>
      <c r="V246" s="459"/>
      <c r="W246" s="459"/>
      <c r="X246" s="66">
        <v>0</v>
      </c>
      <c r="Y246" s="57" t="s">
        <v>56</v>
      </c>
      <c r="Z246" s="1"/>
    </row>
    <row r="247" spans="1:26" ht="21" customHeight="1">
      <c r="A247" s="45"/>
      <c r="B247" s="46"/>
      <c r="C247" s="46"/>
      <c r="D247" s="59"/>
      <c r="E247" s="61"/>
      <c r="F247" s="61"/>
      <c r="G247" s="62"/>
      <c r="H247" s="203"/>
      <c r="I247" s="69"/>
      <c r="J247" s="36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01"/>
      <c r="W247" s="201"/>
      <c r="X247" s="70"/>
      <c r="Y247" s="71"/>
      <c r="Z247" s="1"/>
    </row>
    <row r="248" spans="1:26" ht="21" customHeight="1">
      <c r="A248" s="45"/>
      <c r="B248" s="46"/>
      <c r="C248" s="46"/>
      <c r="D248" s="36" t="s">
        <v>362</v>
      </c>
      <c r="E248" s="37">
        <v>10000</v>
      </c>
      <c r="F248" s="37">
        <f>ROUND(X249/1000,0)</f>
        <v>7180</v>
      </c>
      <c r="G248" s="38">
        <f>F248-E248</f>
        <v>-2820</v>
      </c>
      <c r="H248" s="39">
        <f>IF(E248=0,0,G248/E248)</f>
        <v>-0.28199999999999997</v>
      </c>
      <c r="I248" s="138" t="s">
        <v>185</v>
      </c>
      <c r="J248" s="157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693" t="s">
        <v>64</v>
      </c>
      <c r="W248" s="693"/>
      <c r="X248" s="140">
        <f>ROUNDUP(SUM(W249:X250),-3)</f>
        <v>13376000</v>
      </c>
      <c r="Y248" s="141" t="s">
        <v>56</v>
      </c>
      <c r="Z248" s="1"/>
    </row>
    <row r="249" spans="1:26" ht="21" customHeight="1">
      <c r="A249" s="45"/>
      <c r="B249" s="46"/>
      <c r="C249" s="46"/>
      <c r="D249" s="46" t="s">
        <v>838</v>
      </c>
      <c r="E249" s="48"/>
      <c r="F249" s="48"/>
      <c r="G249" s="49"/>
      <c r="H249" s="31"/>
      <c r="I249" s="285" t="s">
        <v>834</v>
      </c>
      <c r="J249" s="296"/>
      <c r="K249" s="295"/>
      <c r="L249" s="295"/>
      <c r="M249" s="295"/>
      <c r="N249" s="295"/>
      <c r="O249" s="295"/>
      <c r="P249" s="295"/>
      <c r="Q249" s="295"/>
      <c r="R249" s="295"/>
      <c r="S249" s="295"/>
      <c r="T249" s="295"/>
      <c r="U249" s="295"/>
      <c r="V249" s="647"/>
      <c r="W249" s="647"/>
      <c r="X249" s="66">
        <v>7180000</v>
      </c>
      <c r="Y249" s="57" t="s">
        <v>56</v>
      </c>
    </row>
    <row r="250" spans="1:26" ht="21" customHeight="1">
      <c r="A250" s="45"/>
      <c r="B250" s="46"/>
      <c r="C250" s="46"/>
      <c r="D250" s="621" t="s">
        <v>861</v>
      </c>
      <c r="E250" s="515">
        <v>0</v>
      </c>
      <c r="F250" s="515">
        <f>ROUND(X250/1000,0)</f>
        <v>6196</v>
      </c>
      <c r="G250" s="656">
        <f>F250-E250</f>
        <v>6196</v>
      </c>
      <c r="H250" s="657">
        <f>IF(E250=0,0,G250/E250)</f>
        <v>0</v>
      </c>
      <c r="I250" s="285" t="s">
        <v>862</v>
      </c>
      <c r="J250" s="651"/>
      <c r="K250" s="650"/>
      <c r="L250" s="650"/>
      <c r="M250" s="650"/>
      <c r="N250" s="650"/>
      <c r="O250" s="650"/>
      <c r="P250" s="650"/>
      <c r="Q250" s="650"/>
      <c r="R250" s="650"/>
      <c r="S250" s="650"/>
      <c r="T250" s="650"/>
      <c r="U250" s="650"/>
      <c r="V250" s="648"/>
      <c r="W250" s="648"/>
      <c r="X250" s="649">
        <v>6196000</v>
      </c>
      <c r="Y250" s="131" t="s">
        <v>863</v>
      </c>
      <c r="Z250" s="655"/>
    </row>
    <row r="251" spans="1:26" ht="21" customHeight="1">
      <c r="A251" s="45"/>
      <c r="B251" s="46"/>
      <c r="C251" s="46"/>
      <c r="D251" s="621" t="s">
        <v>864</v>
      </c>
      <c r="E251" s="515"/>
      <c r="F251" s="515"/>
      <c r="G251" s="656"/>
      <c r="H251" s="657"/>
      <c r="I251" s="285"/>
      <c r="J251" s="651"/>
      <c r="K251" s="650"/>
      <c r="L251" s="650"/>
      <c r="M251" s="650"/>
      <c r="N251" s="648"/>
      <c r="O251" s="389"/>
      <c r="P251" s="392"/>
      <c r="Q251" s="389"/>
      <c r="R251" s="393"/>
      <c r="S251" s="74"/>
      <c r="T251" s="74"/>
      <c r="U251" s="648"/>
      <c r="V251" s="650"/>
      <c r="W251" s="649"/>
      <c r="X251" s="649"/>
      <c r="Y251" s="131"/>
    </row>
    <row r="252" spans="1:26" ht="21" customHeight="1">
      <c r="A252" s="45"/>
      <c r="B252" s="46"/>
      <c r="C252" s="36" t="s">
        <v>173</v>
      </c>
      <c r="D252" s="461" t="s">
        <v>141</v>
      </c>
      <c r="E252" s="219">
        <f>E253</f>
        <v>15000</v>
      </c>
      <c r="F252" s="219">
        <f>SUM(F253,F255)</f>
        <v>25184</v>
      </c>
      <c r="G252" s="220">
        <f>F252-E252</f>
        <v>10184</v>
      </c>
      <c r="H252" s="221">
        <f>IF(E252=0,0,G252/E252)</f>
        <v>0.67893333333333339</v>
      </c>
      <c r="I252" s="204" t="s">
        <v>175</v>
      </c>
      <c r="J252" s="205"/>
      <c r="K252" s="206"/>
      <c r="L252" s="206"/>
      <c r="M252" s="206"/>
      <c r="N252" s="206"/>
      <c r="O252" s="206"/>
      <c r="P252" s="207"/>
      <c r="Q252" s="207"/>
      <c r="R252" s="207"/>
      <c r="S252" s="207"/>
      <c r="T252" s="207"/>
      <c r="U252" s="207"/>
      <c r="V252" s="234" t="s">
        <v>64</v>
      </c>
      <c r="W252" s="235"/>
      <c r="X252" s="235">
        <f>X253+X255</f>
        <v>25184000</v>
      </c>
      <c r="Y252" s="267" t="s">
        <v>56</v>
      </c>
    </row>
    <row r="253" spans="1:26" ht="21" customHeight="1">
      <c r="A253" s="45"/>
      <c r="B253" s="46"/>
      <c r="C253" s="46" t="s">
        <v>174</v>
      </c>
      <c r="D253" s="46" t="s">
        <v>361</v>
      </c>
      <c r="E253" s="48">
        <v>15000</v>
      </c>
      <c r="F253" s="48">
        <f>ROUND(X253/1000,0)</f>
        <v>21151</v>
      </c>
      <c r="G253" s="38">
        <f>F253-E253</f>
        <v>6151</v>
      </c>
      <c r="H253" s="39">
        <f>IF(E253=0,0,G253/E253)</f>
        <v>0.41006666666666669</v>
      </c>
      <c r="I253" s="285" t="s">
        <v>671</v>
      </c>
      <c r="J253" s="640"/>
      <c r="K253" s="639"/>
      <c r="L253" s="639"/>
      <c r="M253" s="639"/>
      <c r="N253" s="639"/>
      <c r="O253" s="639"/>
      <c r="P253" s="639"/>
      <c r="Q253" s="594"/>
      <c r="R253" s="594"/>
      <c r="S253" s="594"/>
      <c r="T253" s="639"/>
      <c r="U253" s="639"/>
      <c r="V253" s="639"/>
      <c r="W253" s="636"/>
      <c r="X253" s="636">
        <v>21151000</v>
      </c>
      <c r="Y253" s="131" t="s">
        <v>56</v>
      </c>
    </row>
    <row r="254" spans="1:26" ht="21" customHeight="1">
      <c r="A254" s="45"/>
      <c r="B254" s="46"/>
      <c r="C254" s="46" t="s">
        <v>172</v>
      </c>
      <c r="D254" s="46" t="s">
        <v>835</v>
      </c>
      <c r="E254" s="48"/>
      <c r="F254" s="61"/>
      <c r="G254" s="49"/>
      <c r="H254" s="68"/>
      <c r="I254" s="286"/>
      <c r="J254" s="638"/>
      <c r="K254" s="637"/>
      <c r="L254" s="637"/>
      <c r="M254" s="637"/>
      <c r="N254" s="637"/>
      <c r="O254" s="637"/>
      <c r="P254" s="637"/>
      <c r="Q254" s="644"/>
      <c r="R254" s="644"/>
      <c r="S254" s="644"/>
      <c r="T254" s="637"/>
      <c r="U254" s="637"/>
      <c r="V254" s="637"/>
      <c r="W254" s="413"/>
      <c r="X254" s="413"/>
      <c r="Y254" s="401" t="s">
        <v>664</v>
      </c>
    </row>
    <row r="255" spans="1:26" ht="21" customHeight="1">
      <c r="A255" s="45"/>
      <c r="B255" s="46"/>
      <c r="C255" s="46"/>
      <c r="D255" s="36" t="s">
        <v>836</v>
      </c>
      <c r="E255" s="37">
        <v>0</v>
      </c>
      <c r="F255" s="37">
        <f>ROUND(X255/1000,0)</f>
        <v>4033</v>
      </c>
      <c r="G255" s="38">
        <f>F255-E255</f>
        <v>4033</v>
      </c>
      <c r="H255" s="39">
        <f>IF(E255=0,0,G255/E255)</f>
        <v>0</v>
      </c>
      <c r="I255" s="288" t="s">
        <v>672</v>
      </c>
      <c r="J255" s="309"/>
      <c r="K255" s="293"/>
      <c r="L255" s="293"/>
      <c r="M255" s="293"/>
      <c r="N255" s="293"/>
      <c r="O255" s="293"/>
      <c r="P255" s="293"/>
      <c r="Q255" s="642"/>
      <c r="R255" s="642"/>
      <c r="S255" s="642"/>
      <c r="T255" s="293"/>
      <c r="U255" s="293"/>
      <c r="V255" s="293"/>
      <c r="W255" s="643"/>
      <c r="X255" s="643">
        <v>4033000</v>
      </c>
      <c r="Y255" s="397" t="s">
        <v>56</v>
      </c>
    </row>
    <row r="256" spans="1:26" ht="21" customHeight="1">
      <c r="A256" s="45"/>
      <c r="B256" s="46"/>
      <c r="C256" s="46"/>
      <c r="D256" s="46" t="s">
        <v>837</v>
      </c>
      <c r="E256" s="48"/>
      <c r="F256" s="48"/>
      <c r="G256" s="49"/>
      <c r="H256" s="68"/>
      <c r="I256" s="285"/>
      <c r="J256" s="640"/>
      <c r="K256" s="639"/>
      <c r="L256" s="639"/>
      <c r="M256" s="639"/>
      <c r="N256" s="639"/>
      <c r="O256" s="639"/>
      <c r="P256" s="639"/>
      <c r="Q256" s="594"/>
      <c r="R256" s="594"/>
      <c r="S256" s="594"/>
      <c r="T256" s="639"/>
      <c r="U256" s="639"/>
      <c r="V256" s="639"/>
      <c r="W256" s="636"/>
      <c r="X256" s="636"/>
      <c r="Y256" s="131"/>
    </row>
    <row r="257" spans="1:47" ht="21" customHeight="1">
      <c r="A257" s="45"/>
      <c r="B257" s="46"/>
      <c r="C257" s="46"/>
      <c r="D257" s="46"/>
      <c r="E257" s="48"/>
      <c r="F257" s="48"/>
      <c r="G257" s="49"/>
      <c r="H257" s="68"/>
      <c r="I257" s="65"/>
      <c r="J257" s="296"/>
      <c r="K257" s="295"/>
      <c r="L257" s="295"/>
      <c r="M257" s="295"/>
      <c r="N257" s="295"/>
      <c r="O257" s="295"/>
      <c r="P257" s="295"/>
      <c r="Q257" s="54"/>
      <c r="R257" s="54"/>
      <c r="S257" s="54"/>
      <c r="T257" s="295"/>
      <c r="U257" s="295"/>
      <c r="V257" s="295"/>
      <c r="W257" s="66"/>
      <c r="X257" s="66"/>
      <c r="Y257" s="57"/>
    </row>
    <row r="258" spans="1:47" ht="21" customHeight="1">
      <c r="A258" s="45"/>
      <c r="B258" s="46"/>
      <c r="C258" s="36" t="s">
        <v>176</v>
      </c>
      <c r="D258" s="461" t="s">
        <v>141</v>
      </c>
      <c r="E258" s="219">
        <f>E259</f>
        <v>0</v>
      </c>
      <c r="F258" s="219">
        <f>F259</f>
        <v>0</v>
      </c>
      <c r="G258" s="220">
        <f>F258-E258</f>
        <v>0</v>
      </c>
      <c r="H258" s="221">
        <f>IF(E258=0,0,G258/E258)</f>
        <v>0</v>
      </c>
      <c r="I258" s="204" t="s">
        <v>177</v>
      </c>
      <c r="J258" s="205"/>
      <c r="K258" s="206"/>
      <c r="L258" s="206"/>
      <c r="M258" s="206"/>
      <c r="N258" s="206"/>
      <c r="O258" s="206"/>
      <c r="P258" s="207"/>
      <c r="Q258" s="207"/>
      <c r="R258" s="207"/>
      <c r="S258" s="207"/>
      <c r="T258" s="207"/>
      <c r="U258" s="207"/>
      <c r="V258" s="234" t="s">
        <v>64</v>
      </c>
      <c r="W258" s="235"/>
      <c r="X258" s="235">
        <f>ROUND(SUM(W259:X260),-3)</f>
        <v>0</v>
      </c>
      <c r="Y258" s="267" t="s">
        <v>56</v>
      </c>
    </row>
    <row r="259" spans="1:47" ht="21" customHeight="1">
      <c r="A259" s="45"/>
      <c r="B259" s="46"/>
      <c r="C259" s="46" t="s">
        <v>129</v>
      </c>
      <c r="D259" s="46" t="s">
        <v>359</v>
      </c>
      <c r="E259" s="48">
        <v>0</v>
      </c>
      <c r="F259" s="48">
        <f>ROUND(X259/1000,0)</f>
        <v>0</v>
      </c>
      <c r="G259" s="38">
        <f>F259-E259</f>
        <v>0</v>
      </c>
      <c r="H259" s="39">
        <f>IF(E259=0,0,G259/E259)</f>
        <v>0</v>
      </c>
      <c r="I259" s="65"/>
      <c r="J259" s="296"/>
      <c r="K259" s="295"/>
      <c r="L259" s="295"/>
      <c r="M259" s="295"/>
      <c r="N259" s="459"/>
      <c r="O259" s="72"/>
      <c r="P259" s="67"/>
      <c r="Q259" s="72"/>
      <c r="R259" s="77"/>
      <c r="S259" s="74"/>
      <c r="T259" s="74"/>
      <c r="U259" s="459"/>
      <c r="V259" s="295"/>
      <c r="W259" s="66"/>
      <c r="X259" s="66"/>
      <c r="Y259" s="57"/>
    </row>
    <row r="260" spans="1:47" ht="21" customHeight="1">
      <c r="A260" s="58"/>
      <c r="B260" s="59"/>
      <c r="C260" s="59"/>
      <c r="D260" s="59"/>
      <c r="E260" s="61"/>
      <c r="F260" s="61"/>
      <c r="G260" s="62"/>
      <c r="H260" s="82"/>
      <c r="I260" s="69"/>
      <c r="J260" s="361"/>
      <c r="K260" s="224"/>
      <c r="L260" s="224"/>
      <c r="M260" s="224"/>
      <c r="N260" s="224"/>
      <c r="O260" s="224"/>
      <c r="P260" s="224"/>
      <c r="Q260" s="125"/>
      <c r="R260" s="125"/>
      <c r="S260" s="125"/>
      <c r="T260" s="224"/>
      <c r="U260" s="224"/>
      <c r="V260" s="224"/>
      <c r="W260" s="70"/>
      <c r="X260" s="70"/>
      <c r="Y260" s="71"/>
    </row>
    <row r="261" spans="1:47" s="4" customFormat="1" ht="21" customHeight="1">
      <c r="A261" s="45" t="s">
        <v>60</v>
      </c>
      <c r="B261" s="85" t="s">
        <v>16</v>
      </c>
      <c r="C261" s="696" t="s">
        <v>187</v>
      </c>
      <c r="D261" s="697"/>
      <c r="E261" s="248">
        <f>SUM(E262,E267,E279)</f>
        <v>55120</v>
      </c>
      <c r="F261" s="248">
        <f>SUM(F262,F267,F279)</f>
        <v>55120</v>
      </c>
      <c r="G261" s="249">
        <f>F261-E261</f>
        <v>0</v>
      </c>
      <c r="H261" s="250">
        <f>IF(E261=0,0,G261/E261)</f>
        <v>0</v>
      </c>
      <c r="I261" s="251" t="s">
        <v>188</v>
      </c>
      <c r="J261" s="252"/>
      <c r="K261" s="253"/>
      <c r="L261" s="253"/>
      <c r="M261" s="252"/>
      <c r="N261" s="252"/>
      <c r="O261" s="252"/>
      <c r="P261" s="252"/>
      <c r="Q261" s="252" t="s">
        <v>63</v>
      </c>
      <c r="R261" s="254"/>
      <c r="S261" s="254"/>
      <c r="T261" s="254"/>
      <c r="U261" s="254"/>
      <c r="V261" s="254"/>
      <c r="W261" s="254"/>
      <c r="X261" s="264">
        <f>SUM(X262,X267,X279)</f>
        <v>55120000</v>
      </c>
      <c r="Y261" s="270" t="s">
        <v>56</v>
      </c>
      <c r="Z261" s="256"/>
      <c r="AA261" s="257"/>
      <c r="AB261" s="257"/>
      <c r="AC261" s="258"/>
      <c r="AD261" s="259"/>
      <c r="AE261" s="260"/>
      <c r="AF261" s="261"/>
      <c r="AG261" s="262"/>
      <c r="AH261" s="262"/>
      <c r="AI261" s="261"/>
      <c r="AJ261" s="261"/>
      <c r="AK261" s="261"/>
      <c r="AL261" s="261"/>
      <c r="AM261" s="261"/>
      <c r="AN261" s="260"/>
      <c r="AO261" s="260"/>
      <c r="AP261" s="260"/>
      <c r="AQ261" s="260"/>
      <c r="AR261" s="260"/>
      <c r="AS261" s="260"/>
      <c r="AT261" s="263"/>
      <c r="AU261" s="261"/>
    </row>
    <row r="262" spans="1:47" ht="21" customHeight="1">
      <c r="A262" s="45"/>
      <c r="B262" s="94"/>
      <c r="C262" s="36" t="s">
        <v>178</v>
      </c>
      <c r="D262" s="461" t="s">
        <v>141</v>
      </c>
      <c r="E262" s="219">
        <f>E263</f>
        <v>0</v>
      </c>
      <c r="F262" s="219">
        <f>F263</f>
        <v>0</v>
      </c>
      <c r="G262" s="220">
        <f>F262-E262</f>
        <v>0</v>
      </c>
      <c r="H262" s="221">
        <f>IF(E262=0,0,G262/E262)</f>
        <v>0</v>
      </c>
      <c r="I262" s="204" t="s">
        <v>182</v>
      </c>
      <c r="J262" s="205"/>
      <c r="K262" s="206"/>
      <c r="L262" s="206"/>
      <c r="M262" s="206"/>
      <c r="N262" s="206"/>
      <c r="O262" s="206"/>
      <c r="P262" s="207"/>
      <c r="Q262" s="207"/>
      <c r="R262" s="207"/>
      <c r="S262" s="207"/>
      <c r="T262" s="207"/>
      <c r="U262" s="207"/>
      <c r="V262" s="234" t="s">
        <v>64</v>
      </c>
      <c r="W262" s="235"/>
      <c r="X262" s="236">
        <f>SUM(X263:X263)</f>
        <v>0</v>
      </c>
      <c r="Y262" s="267" t="s">
        <v>56</v>
      </c>
    </row>
    <row r="263" spans="1:47" s="11" customFormat="1" ht="19.5" customHeight="1">
      <c r="A263" s="60"/>
      <c r="B263" s="96"/>
      <c r="C263" s="46" t="s">
        <v>179</v>
      </c>
      <c r="D263" s="36" t="s">
        <v>358</v>
      </c>
      <c r="E263" s="37">
        <v>0</v>
      </c>
      <c r="F263" s="48">
        <f>ROUND(X263/1000,0)</f>
        <v>0</v>
      </c>
      <c r="G263" s="38">
        <f>F263-E263</f>
        <v>0</v>
      </c>
      <c r="H263" s="39">
        <f>IF(E263=0,0,G263/E263)</f>
        <v>0</v>
      </c>
      <c r="I263" s="138" t="s">
        <v>182</v>
      </c>
      <c r="J263" s="157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693" t="s">
        <v>64</v>
      </c>
      <c r="W263" s="693"/>
      <c r="X263" s="140">
        <f>ROUNDUP(SUM(W264:X265),-3)</f>
        <v>0</v>
      </c>
      <c r="Y263" s="141" t="s">
        <v>56</v>
      </c>
      <c r="Z263" s="6"/>
    </row>
    <row r="264" spans="1:47" s="11" customFormat="1" ht="19.5" customHeight="1">
      <c r="A264" s="60"/>
      <c r="B264" s="96"/>
      <c r="C264" s="46"/>
      <c r="D264" s="46"/>
      <c r="E264" s="48"/>
      <c r="F264" s="48"/>
      <c r="G264" s="49"/>
      <c r="H264" s="31"/>
      <c r="I264" s="285"/>
      <c r="J264" s="570"/>
      <c r="K264" s="569"/>
      <c r="L264" s="569"/>
      <c r="M264" s="569"/>
      <c r="N264" s="569"/>
      <c r="O264" s="569"/>
      <c r="P264" s="569"/>
      <c r="Q264" s="569"/>
      <c r="R264" s="569"/>
      <c r="S264" s="569"/>
      <c r="T264" s="569"/>
      <c r="U264" s="569"/>
      <c r="V264" s="568"/>
      <c r="W264" s="568"/>
      <c r="X264" s="130"/>
      <c r="Y264" s="131"/>
      <c r="Z264" s="6"/>
    </row>
    <row r="265" spans="1:47" s="11" customFormat="1" ht="19.5" customHeight="1">
      <c r="A265" s="60"/>
      <c r="B265" s="96"/>
      <c r="C265" s="46"/>
      <c r="D265" s="46"/>
      <c r="E265" s="48"/>
      <c r="F265" s="48"/>
      <c r="G265" s="49"/>
      <c r="H265" s="31"/>
      <c r="I265" s="285" t="s">
        <v>625</v>
      </c>
      <c r="J265" s="570"/>
      <c r="K265" s="569"/>
      <c r="L265" s="569"/>
      <c r="M265" s="569"/>
      <c r="N265" s="569"/>
      <c r="O265" s="569"/>
      <c r="P265" s="569"/>
      <c r="Q265" s="569"/>
      <c r="R265" s="569"/>
      <c r="S265" s="569"/>
      <c r="T265" s="569"/>
      <c r="U265" s="569"/>
      <c r="V265" s="568"/>
      <c r="W265" s="568"/>
      <c r="X265" s="130">
        <v>0</v>
      </c>
      <c r="Y265" s="131" t="s">
        <v>619</v>
      </c>
      <c r="Z265" s="6"/>
    </row>
    <row r="266" spans="1:47" s="11" customFormat="1" ht="19.5" customHeight="1">
      <c r="A266" s="60"/>
      <c r="B266" s="88"/>
      <c r="C266" s="46"/>
      <c r="D266" s="46"/>
      <c r="E266" s="48"/>
      <c r="F266" s="48"/>
      <c r="G266" s="49"/>
      <c r="H266" s="31"/>
      <c r="I266" s="65"/>
      <c r="J266" s="296"/>
      <c r="K266" s="295"/>
      <c r="L266" s="295"/>
      <c r="M266" s="295"/>
      <c r="N266" s="459"/>
      <c r="O266" s="72"/>
      <c r="P266" s="67"/>
      <c r="Q266" s="72"/>
      <c r="R266" s="77"/>
      <c r="S266" s="74"/>
      <c r="T266" s="74"/>
      <c r="U266" s="459"/>
      <c r="V266" s="295"/>
      <c r="W266" s="66"/>
      <c r="X266" s="66"/>
      <c r="Y266" s="57"/>
      <c r="Z266" s="6"/>
    </row>
    <row r="267" spans="1:47" s="11" customFormat="1" ht="19.5" customHeight="1">
      <c r="A267" s="60"/>
      <c r="B267" s="88"/>
      <c r="C267" s="36" t="s">
        <v>180</v>
      </c>
      <c r="D267" s="461" t="s">
        <v>141</v>
      </c>
      <c r="E267" s="219">
        <f>E268</f>
        <v>320</v>
      </c>
      <c r="F267" s="219">
        <f>F268</f>
        <v>320</v>
      </c>
      <c r="G267" s="220">
        <f>F267-E267</f>
        <v>0</v>
      </c>
      <c r="H267" s="221">
        <f>IF(E267=0,0,G267/E267)</f>
        <v>0</v>
      </c>
      <c r="I267" s="204" t="s">
        <v>183</v>
      </c>
      <c r="J267" s="205"/>
      <c r="K267" s="206"/>
      <c r="L267" s="206"/>
      <c r="M267" s="206"/>
      <c r="N267" s="206"/>
      <c r="O267" s="206"/>
      <c r="P267" s="207"/>
      <c r="Q267" s="207"/>
      <c r="R267" s="207"/>
      <c r="S267" s="207"/>
      <c r="T267" s="207"/>
      <c r="U267" s="207"/>
      <c r="V267" s="234" t="s">
        <v>64</v>
      </c>
      <c r="W267" s="235"/>
      <c r="X267" s="235">
        <f>SUM(X268:X268)</f>
        <v>320000</v>
      </c>
      <c r="Y267" s="267" t="s">
        <v>56</v>
      </c>
      <c r="Z267" s="6"/>
    </row>
    <row r="268" spans="1:47" s="11" customFormat="1" ht="19.5" customHeight="1">
      <c r="A268" s="60"/>
      <c r="B268" s="88"/>
      <c r="C268" s="46" t="s">
        <v>181</v>
      </c>
      <c r="D268" s="46" t="s">
        <v>357</v>
      </c>
      <c r="E268" s="48">
        <v>320</v>
      </c>
      <c r="F268" s="48">
        <f>ROUND(X268/1000,0)</f>
        <v>320</v>
      </c>
      <c r="G268" s="38">
        <f>F268-E268</f>
        <v>0</v>
      </c>
      <c r="H268" s="39">
        <f>IF(E268=0,0,G268/E268)</f>
        <v>0</v>
      </c>
      <c r="I268" s="138" t="s">
        <v>356</v>
      </c>
      <c r="J268" s="157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693"/>
      <c r="W268" s="693"/>
      <c r="X268" s="140">
        <f>ROUND(SUM(W269:X277),-3)</f>
        <v>320000</v>
      </c>
      <c r="Y268" s="141" t="s">
        <v>56</v>
      </c>
      <c r="Z268" s="6"/>
    </row>
    <row r="269" spans="1:47" s="11" customFormat="1" ht="19.5" customHeight="1">
      <c r="A269" s="60"/>
      <c r="B269" s="88"/>
      <c r="C269" s="46" t="s">
        <v>169</v>
      </c>
      <c r="D269" s="46" t="s">
        <v>355</v>
      </c>
      <c r="E269" s="48"/>
      <c r="F269" s="48"/>
      <c r="G269" s="49"/>
      <c r="H269" s="68"/>
      <c r="I269" s="65" t="s">
        <v>354</v>
      </c>
      <c r="J269" s="296"/>
      <c r="K269" s="295"/>
      <c r="L269" s="295"/>
      <c r="M269" s="295"/>
      <c r="N269" s="295"/>
      <c r="O269" s="295"/>
      <c r="P269" s="295"/>
      <c r="Q269" s="54"/>
      <c r="R269" s="54"/>
      <c r="S269" s="54"/>
      <c r="T269" s="295"/>
      <c r="U269" s="295"/>
      <c r="V269" s="295"/>
      <c r="W269" s="66"/>
      <c r="X269" s="66">
        <v>200000</v>
      </c>
      <c r="Y269" s="57" t="s">
        <v>56</v>
      </c>
      <c r="Z269" s="6"/>
    </row>
    <row r="270" spans="1:47" s="11" customFormat="1" ht="19.5" customHeight="1">
      <c r="A270" s="60"/>
      <c r="B270" s="88"/>
      <c r="C270" s="46"/>
      <c r="D270" s="46"/>
      <c r="E270" s="48"/>
      <c r="F270" s="48"/>
      <c r="G270" s="49"/>
      <c r="H270" s="68"/>
      <c r="I270" s="65" t="s">
        <v>353</v>
      </c>
      <c r="J270" s="296"/>
      <c r="K270" s="295"/>
      <c r="L270" s="295"/>
      <c r="M270" s="295"/>
      <c r="N270" s="295"/>
      <c r="O270" s="295"/>
      <c r="P270" s="295"/>
      <c r="Q270" s="54"/>
      <c r="R270" s="54"/>
      <c r="S270" s="54"/>
      <c r="T270" s="295"/>
      <c r="U270" s="295"/>
      <c r="V270" s="295"/>
      <c r="W270" s="66"/>
      <c r="X270" s="66">
        <v>5000</v>
      </c>
      <c r="Y270" s="57" t="s">
        <v>56</v>
      </c>
      <c r="Z270" s="6"/>
    </row>
    <row r="271" spans="1:47" s="11" customFormat="1" ht="19.5" customHeight="1">
      <c r="A271" s="60"/>
      <c r="B271" s="88"/>
      <c r="C271" s="46"/>
      <c r="D271" s="46"/>
      <c r="E271" s="48"/>
      <c r="F271" s="48"/>
      <c r="G271" s="49"/>
      <c r="H271" s="68"/>
      <c r="I271" s="65" t="s">
        <v>352</v>
      </c>
      <c r="J271" s="296"/>
      <c r="K271" s="295"/>
      <c r="L271" s="295"/>
      <c r="M271" s="295"/>
      <c r="N271" s="295"/>
      <c r="O271" s="295"/>
      <c r="P271" s="295"/>
      <c r="Q271" s="54"/>
      <c r="R271" s="54"/>
      <c r="S271" s="54"/>
      <c r="T271" s="295"/>
      <c r="U271" s="295"/>
      <c r="V271" s="295"/>
      <c r="W271" s="66"/>
      <c r="X271" s="66">
        <v>5000</v>
      </c>
      <c r="Y271" s="57" t="s">
        <v>56</v>
      </c>
      <c r="Z271" s="6"/>
    </row>
    <row r="272" spans="1:47" s="11" customFormat="1" ht="19.5" customHeight="1">
      <c r="A272" s="60"/>
      <c r="B272" s="88"/>
      <c r="C272" s="46"/>
      <c r="D272" s="46"/>
      <c r="E272" s="48"/>
      <c r="F272" s="48"/>
      <c r="G272" s="49"/>
      <c r="H272" s="68"/>
      <c r="I272" s="65" t="s">
        <v>351</v>
      </c>
      <c r="J272" s="296"/>
      <c r="K272" s="295"/>
      <c r="L272" s="295"/>
      <c r="M272" s="295"/>
      <c r="N272" s="295"/>
      <c r="O272" s="295"/>
      <c r="P272" s="295"/>
      <c r="Q272" s="54"/>
      <c r="R272" s="54"/>
      <c r="S272" s="54"/>
      <c r="T272" s="295"/>
      <c r="U272" s="295"/>
      <c r="V272" s="295"/>
      <c r="W272" s="66"/>
      <c r="X272" s="66">
        <v>25000</v>
      </c>
      <c r="Y272" s="57" t="s">
        <v>56</v>
      </c>
      <c r="Z272" s="6"/>
    </row>
    <row r="273" spans="1:26" s="11" customFormat="1" ht="19.5" customHeight="1">
      <c r="A273" s="60"/>
      <c r="B273" s="88"/>
      <c r="C273" s="46"/>
      <c r="D273" s="46"/>
      <c r="E273" s="48"/>
      <c r="F273" s="48"/>
      <c r="G273" s="49"/>
      <c r="H273" s="68"/>
      <c r="I273" s="65" t="s">
        <v>350</v>
      </c>
      <c r="J273" s="296"/>
      <c r="K273" s="295"/>
      <c r="L273" s="295"/>
      <c r="M273" s="295"/>
      <c r="N273" s="295"/>
      <c r="O273" s="295"/>
      <c r="P273" s="295"/>
      <c r="Q273" s="54"/>
      <c r="R273" s="54"/>
      <c r="S273" s="54"/>
      <c r="T273" s="295"/>
      <c r="U273" s="295"/>
      <c r="V273" s="295"/>
      <c r="W273" s="66"/>
      <c r="X273" s="66">
        <v>5000</v>
      </c>
      <c r="Y273" s="57" t="s">
        <v>56</v>
      </c>
      <c r="Z273" s="6"/>
    </row>
    <row r="274" spans="1:26" s="11" customFormat="1" ht="19.5" customHeight="1">
      <c r="A274" s="60"/>
      <c r="B274" s="88"/>
      <c r="C274" s="46"/>
      <c r="D274" s="46"/>
      <c r="E274" s="48"/>
      <c r="F274" s="48"/>
      <c r="G274" s="49"/>
      <c r="H274" s="68"/>
      <c r="I274" s="65" t="s">
        <v>195</v>
      </c>
      <c r="J274" s="296"/>
      <c r="K274" s="295"/>
      <c r="L274" s="295"/>
      <c r="M274" s="295"/>
      <c r="N274" s="295"/>
      <c r="O274" s="295"/>
      <c r="P274" s="295"/>
      <c r="Q274" s="54"/>
      <c r="R274" s="54"/>
      <c r="S274" s="54"/>
      <c r="T274" s="295"/>
      <c r="U274" s="295"/>
      <c r="V274" s="295"/>
      <c r="W274" s="66"/>
      <c r="X274" s="66">
        <v>25000</v>
      </c>
      <c r="Y274" s="57" t="s">
        <v>56</v>
      </c>
      <c r="Z274" s="6"/>
    </row>
    <row r="275" spans="1:26" s="11" customFormat="1" ht="19.5" customHeight="1">
      <c r="A275" s="60"/>
      <c r="B275" s="88"/>
      <c r="C275" s="46"/>
      <c r="D275" s="46"/>
      <c r="E275" s="48"/>
      <c r="F275" s="48"/>
      <c r="G275" s="49"/>
      <c r="H275" s="68"/>
      <c r="I275" s="65" t="s">
        <v>349</v>
      </c>
      <c r="J275" s="296"/>
      <c r="K275" s="295"/>
      <c r="L275" s="295"/>
      <c r="M275" s="295"/>
      <c r="N275" s="295"/>
      <c r="O275" s="295"/>
      <c r="P275" s="295"/>
      <c r="Q275" s="54"/>
      <c r="R275" s="54"/>
      <c r="S275" s="54"/>
      <c r="T275" s="295"/>
      <c r="U275" s="295"/>
      <c r="V275" s="295"/>
      <c r="W275" s="66"/>
      <c r="X275" s="66">
        <v>40000</v>
      </c>
      <c r="Y275" s="57" t="s">
        <v>56</v>
      </c>
      <c r="Z275" s="6"/>
    </row>
    <row r="276" spans="1:26" s="11" customFormat="1" ht="19.5" customHeight="1">
      <c r="A276" s="60"/>
      <c r="B276" s="88"/>
      <c r="C276" s="46"/>
      <c r="D276" s="46"/>
      <c r="E276" s="48"/>
      <c r="F276" s="48"/>
      <c r="G276" s="49"/>
      <c r="H276" s="68"/>
      <c r="I276" s="65" t="s">
        <v>197</v>
      </c>
      <c r="J276" s="296"/>
      <c r="K276" s="295"/>
      <c r="L276" s="295"/>
      <c r="M276" s="295"/>
      <c r="N276" s="295"/>
      <c r="O276" s="295"/>
      <c r="P276" s="295"/>
      <c r="Q276" s="54"/>
      <c r="R276" s="54"/>
      <c r="S276" s="54"/>
      <c r="T276" s="295"/>
      <c r="U276" s="295"/>
      <c r="V276" s="295"/>
      <c r="W276" s="66"/>
      <c r="X276" s="66">
        <v>5000</v>
      </c>
      <c r="Y276" s="57" t="s">
        <v>56</v>
      </c>
      <c r="Z276" s="6"/>
    </row>
    <row r="277" spans="1:26" s="11" customFormat="1" ht="19.5" customHeight="1">
      <c r="A277" s="60"/>
      <c r="B277" s="88"/>
      <c r="C277" s="46"/>
      <c r="D277" s="46"/>
      <c r="E277" s="48"/>
      <c r="F277" s="48"/>
      <c r="G277" s="49"/>
      <c r="H277" s="68"/>
      <c r="I277" s="65" t="s">
        <v>198</v>
      </c>
      <c r="J277" s="296"/>
      <c r="K277" s="295"/>
      <c r="L277" s="295"/>
      <c r="M277" s="295"/>
      <c r="N277" s="295"/>
      <c r="O277" s="295"/>
      <c r="P277" s="295"/>
      <c r="Q277" s="54"/>
      <c r="R277" s="54"/>
      <c r="S277" s="54"/>
      <c r="T277" s="295"/>
      <c r="U277" s="295"/>
      <c r="V277" s="295"/>
      <c r="W277" s="66"/>
      <c r="X277" s="66">
        <v>10000</v>
      </c>
      <c r="Y277" s="57" t="s">
        <v>56</v>
      </c>
      <c r="Z277" s="6"/>
    </row>
    <row r="278" spans="1:26" s="11" customFormat="1" ht="19.5" customHeight="1">
      <c r="A278" s="60"/>
      <c r="B278" s="88"/>
      <c r="C278" s="46"/>
      <c r="D278" s="46"/>
      <c r="E278" s="48"/>
      <c r="F278" s="48"/>
      <c r="G278" s="49"/>
      <c r="H278" s="68"/>
      <c r="I278" s="65"/>
      <c r="J278" s="296"/>
      <c r="K278" s="295"/>
      <c r="L278" s="295"/>
      <c r="M278" s="295"/>
      <c r="N278" s="295"/>
      <c r="O278" s="295"/>
      <c r="P278" s="295"/>
      <c r="Q278" s="54"/>
      <c r="R278" s="54"/>
      <c r="S278" s="54"/>
      <c r="T278" s="295"/>
      <c r="U278" s="295"/>
      <c r="V278" s="295"/>
      <c r="W278" s="66"/>
      <c r="X278" s="66"/>
      <c r="Y278" s="57"/>
      <c r="Z278" s="6"/>
    </row>
    <row r="279" spans="1:26" s="11" customFormat="1" ht="19.5" customHeight="1">
      <c r="A279" s="60"/>
      <c r="B279" s="88"/>
      <c r="C279" s="36" t="s">
        <v>170</v>
      </c>
      <c r="D279" s="461" t="s">
        <v>141</v>
      </c>
      <c r="E279" s="219">
        <f>SUM(E280,E286)</f>
        <v>54800</v>
      </c>
      <c r="F279" s="219">
        <f>SUM(F280,F286)</f>
        <v>54800</v>
      </c>
      <c r="G279" s="220">
        <f>F279-E279</f>
        <v>0</v>
      </c>
      <c r="H279" s="221">
        <f>IF(E279=0,0,G279/E279)</f>
        <v>0</v>
      </c>
      <c r="I279" s="204" t="s">
        <v>186</v>
      </c>
      <c r="J279" s="205"/>
      <c r="K279" s="206"/>
      <c r="L279" s="206"/>
      <c r="M279" s="206"/>
      <c r="N279" s="206"/>
      <c r="O279" s="206"/>
      <c r="P279" s="207"/>
      <c r="Q279" s="207"/>
      <c r="R279" s="207"/>
      <c r="S279" s="207"/>
      <c r="T279" s="207"/>
      <c r="U279" s="207"/>
      <c r="V279" s="234" t="s">
        <v>64</v>
      </c>
      <c r="W279" s="235"/>
      <c r="X279" s="235">
        <f>SUM(X280,X286)</f>
        <v>54800000</v>
      </c>
      <c r="Y279" s="267" t="s">
        <v>56</v>
      </c>
      <c r="Z279" s="6"/>
    </row>
    <row r="280" spans="1:26" s="11" customFormat="1" ht="19.5" customHeight="1">
      <c r="A280" s="60"/>
      <c r="B280" s="88"/>
      <c r="C280" s="46" t="s">
        <v>60</v>
      </c>
      <c r="D280" s="46" t="s">
        <v>783</v>
      </c>
      <c r="E280" s="48">
        <v>52800</v>
      </c>
      <c r="F280" s="48">
        <f>ROUND(X280/1000,0)</f>
        <v>52800</v>
      </c>
      <c r="G280" s="38">
        <f>F280-E280</f>
        <v>0</v>
      </c>
      <c r="H280" s="39">
        <f>IF(E280=0,0,G280/E280)</f>
        <v>0</v>
      </c>
      <c r="I280" s="138" t="s">
        <v>186</v>
      </c>
      <c r="J280" s="157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693"/>
      <c r="W280" s="693"/>
      <c r="X280" s="140">
        <f>ROUNDUP(SUM(W281:X285),-3)</f>
        <v>52800000</v>
      </c>
      <c r="Y280" s="141" t="s">
        <v>56</v>
      </c>
      <c r="Z280" s="6"/>
    </row>
    <row r="281" spans="1:26" s="11" customFormat="1" ht="19.5" customHeight="1">
      <c r="A281" s="60"/>
      <c r="B281" s="88"/>
      <c r="C281" s="46"/>
      <c r="D281" s="46"/>
      <c r="E281" s="48"/>
      <c r="F281" s="48"/>
      <c r="G281" s="49"/>
      <c r="H281" s="31"/>
      <c r="I281" s="285" t="s">
        <v>665</v>
      </c>
      <c r="J281" s="592"/>
      <c r="K281" s="592"/>
      <c r="L281" s="592"/>
      <c r="M281" s="592">
        <v>60000</v>
      </c>
      <c r="N281" s="592" t="s">
        <v>664</v>
      </c>
      <c r="O281" s="593" t="s">
        <v>666</v>
      </c>
      <c r="P281" s="592">
        <v>39</v>
      </c>
      <c r="Q281" s="593" t="s">
        <v>667</v>
      </c>
      <c r="R281" s="593" t="s">
        <v>666</v>
      </c>
      <c r="S281" s="592">
        <v>12</v>
      </c>
      <c r="T281" s="592" t="s">
        <v>668</v>
      </c>
      <c r="U281" s="568" t="s">
        <v>669</v>
      </c>
      <c r="V281" s="568"/>
      <c r="W281" s="593"/>
      <c r="X281" s="592">
        <f>ROUND(M281*P281*S281,-3)</f>
        <v>28080000</v>
      </c>
      <c r="Y281" s="131" t="s">
        <v>664</v>
      </c>
      <c r="Z281" s="6"/>
    </row>
    <row r="282" spans="1:26" s="11" customFormat="1" ht="19.5" customHeight="1">
      <c r="A282" s="60"/>
      <c r="B282" s="88"/>
      <c r="C282" s="46"/>
      <c r="D282" s="46"/>
      <c r="E282" s="48"/>
      <c r="F282" s="48"/>
      <c r="G282" s="49"/>
      <c r="H282" s="31"/>
      <c r="I282" s="285"/>
      <c r="J282" s="592"/>
      <c r="K282" s="592"/>
      <c r="L282" s="592"/>
      <c r="M282" s="592"/>
      <c r="N282" s="592"/>
      <c r="O282" s="593"/>
      <c r="P282" s="592"/>
      <c r="Q282" s="593"/>
      <c r="R282" s="593"/>
      <c r="S282" s="592"/>
      <c r="T282" s="592"/>
      <c r="U282" s="568"/>
      <c r="V282" s="568"/>
      <c r="W282" s="593"/>
      <c r="X282" s="592"/>
      <c r="Y282" s="131"/>
      <c r="Z282" s="6"/>
    </row>
    <row r="283" spans="1:26" s="11" customFormat="1" ht="19.5" customHeight="1">
      <c r="A283" s="60"/>
      <c r="B283" s="88"/>
      <c r="C283" s="46"/>
      <c r="D283" s="46"/>
      <c r="E283" s="48"/>
      <c r="F283" s="48"/>
      <c r="G283" s="49"/>
      <c r="H283" s="31"/>
      <c r="I283" s="285" t="s">
        <v>670</v>
      </c>
      <c r="J283" s="592"/>
      <c r="K283" s="592"/>
      <c r="L283" s="592"/>
      <c r="M283" s="592">
        <v>60000</v>
      </c>
      <c r="N283" s="592" t="s">
        <v>664</v>
      </c>
      <c r="O283" s="593" t="s">
        <v>666</v>
      </c>
      <c r="P283" s="592">
        <v>10</v>
      </c>
      <c r="Q283" s="595" t="s">
        <v>55</v>
      </c>
      <c r="R283" s="593" t="s">
        <v>666</v>
      </c>
      <c r="S283" s="592">
        <v>12</v>
      </c>
      <c r="T283" s="595" t="s">
        <v>673</v>
      </c>
      <c r="U283" s="568" t="s">
        <v>669</v>
      </c>
      <c r="V283" s="568"/>
      <c r="W283" s="593"/>
      <c r="X283" s="595">
        <f>ROUND(M283*P283*S283,-3)</f>
        <v>7200000</v>
      </c>
      <c r="Y283" s="131" t="s">
        <v>664</v>
      </c>
      <c r="Z283" s="6"/>
    </row>
    <row r="284" spans="1:26" s="11" customFormat="1" ht="19.5" customHeight="1">
      <c r="A284" s="60"/>
      <c r="B284" s="88"/>
      <c r="C284" s="46"/>
      <c r="D284" s="46"/>
      <c r="E284" s="48"/>
      <c r="F284" s="48"/>
      <c r="G284" s="49"/>
      <c r="H284" s="31"/>
      <c r="I284" s="285"/>
      <c r="J284" s="592"/>
      <c r="K284" s="592"/>
      <c r="L284" s="592"/>
      <c r="M284" s="592">
        <v>60000</v>
      </c>
      <c r="N284" s="592" t="s">
        <v>664</v>
      </c>
      <c r="O284" s="593" t="s">
        <v>666</v>
      </c>
      <c r="P284" s="592">
        <v>21</v>
      </c>
      <c r="Q284" s="593" t="s">
        <v>667</v>
      </c>
      <c r="R284" s="593" t="s">
        <v>666</v>
      </c>
      <c r="S284" s="592">
        <v>12</v>
      </c>
      <c r="T284" s="592" t="s">
        <v>668</v>
      </c>
      <c r="U284" s="568" t="s">
        <v>669</v>
      </c>
      <c r="V284" s="568"/>
      <c r="W284" s="593"/>
      <c r="X284" s="592">
        <f>ROUND(M284*P284*S284,-3)</f>
        <v>15120000</v>
      </c>
      <c r="Y284" s="131" t="s">
        <v>664</v>
      </c>
      <c r="Z284" s="6"/>
    </row>
    <row r="285" spans="1:26" s="11" customFormat="1" ht="19.5" customHeight="1">
      <c r="A285" s="60"/>
      <c r="B285" s="88"/>
      <c r="C285" s="46"/>
      <c r="D285" s="59"/>
      <c r="E285" s="61"/>
      <c r="F285" s="61"/>
      <c r="G285" s="49"/>
      <c r="H285" s="31"/>
      <c r="I285" s="65" t="s">
        <v>348</v>
      </c>
      <c r="J285" s="295"/>
      <c r="K285" s="295"/>
      <c r="L285" s="295"/>
      <c r="M285" s="295">
        <v>200000</v>
      </c>
      <c r="N285" s="295" t="s">
        <v>56</v>
      </c>
      <c r="O285" s="296" t="s">
        <v>57</v>
      </c>
      <c r="P285" s="295">
        <v>12</v>
      </c>
      <c r="Q285" s="296" t="s">
        <v>0</v>
      </c>
      <c r="R285" s="296"/>
      <c r="S285" s="295"/>
      <c r="T285" s="295"/>
      <c r="U285" s="459" t="s">
        <v>53</v>
      </c>
      <c r="V285" s="459"/>
      <c r="W285" s="296"/>
      <c r="X285" s="295">
        <f>M285*P285</f>
        <v>2400000</v>
      </c>
      <c r="Y285" s="57" t="s">
        <v>56</v>
      </c>
      <c r="Z285" s="6"/>
    </row>
    <row r="286" spans="1:26" s="11" customFormat="1" ht="19.5" customHeight="1">
      <c r="A286" s="60"/>
      <c r="B286" s="88"/>
      <c r="C286" s="46"/>
      <c r="D286" s="621" t="s">
        <v>865</v>
      </c>
      <c r="E286" s="515">
        <v>2000</v>
      </c>
      <c r="F286" s="515">
        <f>ROUND(X286/1000,0)</f>
        <v>2000</v>
      </c>
      <c r="G286" s="658">
        <f>F286-E286</f>
        <v>0</v>
      </c>
      <c r="H286" s="659">
        <f>IF(E286=0,0,G286/E286)</f>
        <v>0</v>
      </c>
      <c r="I286" s="287" t="s">
        <v>866</v>
      </c>
      <c r="J286" s="309"/>
      <c r="K286" s="293"/>
      <c r="L286" s="293"/>
      <c r="M286" s="293"/>
      <c r="N286" s="293"/>
      <c r="O286" s="293"/>
      <c r="P286" s="293"/>
      <c r="Q286" s="293"/>
      <c r="R286" s="293"/>
      <c r="S286" s="293"/>
      <c r="T286" s="293"/>
      <c r="U286" s="293"/>
      <c r="V286" s="692"/>
      <c r="W286" s="692"/>
      <c r="X286" s="453">
        <f>ROUNDUP(SUM(W287:X296),-3)</f>
        <v>2000000</v>
      </c>
      <c r="Y286" s="454" t="s">
        <v>863</v>
      </c>
      <c r="Z286" s="6"/>
    </row>
    <row r="287" spans="1:26" s="11" customFormat="1" ht="19.5" customHeight="1">
      <c r="A287" s="60"/>
      <c r="B287" s="88"/>
      <c r="C287" s="46"/>
      <c r="D287" s="621"/>
      <c r="E287" s="515"/>
      <c r="F287" s="515"/>
      <c r="G287" s="656"/>
      <c r="H287" s="657"/>
      <c r="I287" s="285" t="s">
        <v>867</v>
      </c>
      <c r="J287" s="650"/>
      <c r="K287" s="650"/>
      <c r="L287" s="650"/>
      <c r="M287" s="650">
        <v>100000</v>
      </c>
      <c r="N287" s="650" t="s">
        <v>863</v>
      </c>
      <c r="O287" s="651" t="s">
        <v>868</v>
      </c>
      <c r="P287" s="650">
        <v>20</v>
      </c>
      <c r="Q287" s="651" t="s">
        <v>869</v>
      </c>
      <c r="R287" s="651"/>
      <c r="S287" s="650"/>
      <c r="T287" s="650"/>
      <c r="U287" s="648" t="s">
        <v>870</v>
      </c>
      <c r="V287" s="648"/>
      <c r="W287" s="651"/>
      <c r="X287" s="650">
        <f>ROUND(M287*P287,-3)</f>
        <v>2000000</v>
      </c>
      <c r="Y287" s="131" t="s">
        <v>863</v>
      </c>
      <c r="Z287" s="6"/>
    </row>
    <row r="288" spans="1:26" s="11" customFormat="1" ht="19.5" customHeight="1">
      <c r="A288" s="60"/>
      <c r="B288" s="88"/>
      <c r="C288" s="46"/>
      <c r="D288" s="621"/>
      <c r="E288" s="515"/>
      <c r="F288" s="515"/>
      <c r="G288" s="656"/>
      <c r="H288" s="657"/>
      <c r="I288" s="285" t="s">
        <v>871</v>
      </c>
      <c r="J288" s="650"/>
      <c r="K288" s="650"/>
      <c r="L288" s="650"/>
      <c r="M288" s="650"/>
      <c r="N288" s="650"/>
      <c r="O288" s="651"/>
      <c r="P288" s="650"/>
      <c r="Q288" s="651"/>
      <c r="R288" s="651"/>
      <c r="S288" s="650"/>
      <c r="T288" s="650"/>
      <c r="U288" s="648"/>
      <c r="V288" s="648"/>
      <c r="W288" s="651"/>
      <c r="X288" s="650">
        <v>0</v>
      </c>
      <c r="Y288" s="131" t="s">
        <v>863</v>
      </c>
      <c r="Z288" s="6"/>
    </row>
    <row r="289" spans="1:26" s="11" customFormat="1" ht="19.5" customHeight="1" thickBot="1">
      <c r="A289" s="98"/>
      <c r="B289" s="99"/>
      <c r="C289" s="99"/>
      <c r="D289" s="660"/>
      <c r="E289" s="661"/>
      <c r="F289" s="661"/>
      <c r="G289" s="662"/>
      <c r="H289" s="663"/>
      <c r="I289" s="664"/>
      <c r="J289" s="417"/>
      <c r="K289" s="417"/>
      <c r="L289" s="417"/>
      <c r="M289" s="417"/>
      <c r="N289" s="417"/>
      <c r="O289" s="416"/>
      <c r="P289" s="417"/>
      <c r="Q289" s="416"/>
      <c r="R289" s="416"/>
      <c r="S289" s="417"/>
      <c r="T289" s="417"/>
      <c r="U289" s="665"/>
      <c r="V289" s="665"/>
      <c r="W289" s="416"/>
      <c r="X289" s="417"/>
      <c r="Y289" s="418"/>
      <c r="Z289" s="6"/>
    </row>
    <row r="300" spans="1:26" ht="19.5" customHeight="1">
      <c r="Z300" s="6" t="s">
        <v>61</v>
      </c>
    </row>
  </sheetData>
  <mergeCells count="46">
    <mergeCell ref="A1:D1"/>
    <mergeCell ref="A2:D2"/>
    <mergeCell ref="E2:E3"/>
    <mergeCell ref="A4:D4"/>
    <mergeCell ref="V51:W51"/>
    <mergeCell ref="V22:W22"/>
    <mergeCell ref="V23:W23"/>
    <mergeCell ref="V24:W24"/>
    <mergeCell ref="G2:H2"/>
    <mergeCell ref="I2:Y3"/>
    <mergeCell ref="C236:D236"/>
    <mergeCell ref="V241:W241"/>
    <mergeCell ref="C261:D261"/>
    <mergeCell ref="V263:W263"/>
    <mergeCell ref="F2:F3"/>
    <mergeCell ref="C12:D12"/>
    <mergeCell ref="C171:D171"/>
    <mergeCell ref="C191:D191"/>
    <mergeCell ref="V193:W193"/>
    <mergeCell ref="C198:D198"/>
    <mergeCell ref="V146:W146"/>
    <mergeCell ref="V147:W147"/>
    <mergeCell ref="V148:W148"/>
    <mergeCell ref="V128:W128"/>
    <mergeCell ref="V129:W129"/>
    <mergeCell ref="V52:W52"/>
    <mergeCell ref="V53:W53"/>
    <mergeCell ref="V280:W280"/>
    <mergeCell ref="V182:W182"/>
    <mergeCell ref="V116:W116"/>
    <mergeCell ref="V117:W117"/>
    <mergeCell ref="V64:W64"/>
    <mergeCell ref="V65:W65"/>
    <mergeCell ref="V85:W85"/>
    <mergeCell ref="V86:W86"/>
    <mergeCell ref="V87:W87"/>
    <mergeCell ref="V268:W268"/>
    <mergeCell ref="V187:W187"/>
    <mergeCell ref="V230:W230"/>
    <mergeCell ref="V115:W115"/>
    <mergeCell ref="V244:W244"/>
    <mergeCell ref="V286:W286"/>
    <mergeCell ref="V248:W248"/>
    <mergeCell ref="V173:W173"/>
    <mergeCell ref="V200:W200"/>
    <mergeCell ref="V238:W238"/>
  </mergeCells>
  <phoneticPr fontId="7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70"/>
  <sheetViews>
    <sheetView tabSelected="1" zoomScale="85" zoomScaleNormal="85" workbookViewId="0">
      <pane xSplit="3" ySplit="5" topLeftCell="D165" activePane="bottomRight" state="frozen"/>
      <selection pane="topRight" activeCell="D1" sqref="D1"/>
      <selection pane="bottomLeft" activeCell="A6" sqref="A6"/>
      <selection pane="bottomRight" activeCell="P183" sqref="P183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8.109375" style="18" bestFit="1" customWidth="1"/>
    <col min="14" max="14" width="7" style="174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1" style="5" bestFit="1" customWidth="1"/>
    <col min="20" max="20" width="3.21875" style="5" bestFit="1" customWidth="1"/>
    <col min="21" max="21" width="4" style="5" bestFit="1" customWidth="1"/>
    <col min="22" max="22" width="7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700" t="s">
        <v>872</v>
      </c>
      <c r="B1" s="700"/>
      <c r="C1" s="700"/>
      <c r="D1" s="700"/>
      <c r="E1" s="101"/>
      <c r="F1" s="101"/>
      <c r="G1" s="101"/>
      <c r="H1" s="101"/>
      <c r="I1" s="101"/>
      <c r="J1" s="101"/>
      <c r="K1" s="101"/>
      <c r="L1" s="101"/>
      <c r="M1" s="101"/>
      <c r="N1" s="164"/>
      <c r="O1" s="63"/>
      <c r="P1" s="63"/>
      <c r="Q1" s="63"/>
      <c r="R1" s="63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1"/>
    </row>
    <row r="2" spans="1:32" s="3" customFormat="1" ht="27" customHeight="1">
      <c r="A2" s="701" t="s">
        <v>22</v>
      </c>
      <c r="B2" s="702"/>
      <c r="C2" s="702"/>
      <c r="D2" s="698" t="s">
        <v>788</v>
      </c>
      <c r="E2" s="729" t="s">
        <v>789</v>
      </c>
      <c r="F2" s="730"/>
      <c r="G2" s="730"/>
      <c r="H2" s="730"/>
      <c r="I2" s="730"/>
      <c r="J2" s="730"/>
      <c r="K2" s="730"/>
      <c r="L2" s="731"/>
      <c r="M2" s="706" t="s">
        <v>23</v>
      </c>
      <c r="N2" s="706"/>
      <c r="O2" s="714" t="s">
        <v>54</v>
      </c>
      <c r="P2" s="715"/>
      <c r="Q2" s="715"/>
      <c r="R2" s="715"/>
      <c r="S2" s="715"/>
      <c r="T2" s="715"/>
      <c r="U2" s="715"/>
      <c r="V2" s="715"/>
      <c r="W2" s="715"/>
      <c r="X2" s="715"/>
      <c r="Y2" s="715"/>
      <c r="Z2" s="715"/>
      <c r="AA2" s="715"/>
      <c r="AB2" s="715"/>
      <c r="AC2" s="715"/>
      <c r="AD2" s="715"/>
      <c r="AE2" s="716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699"/>
      <c r="E3" s="144" t="s">
        <v>123</v>
      </c>
      <c r="F3" s="175" t="s">
        <v>153</v>
      </c>
      <c r="G3" s="175" t="s">
        <v>154</v>
      </c>
      <c r="H3" s="144" t="s">
        <v>121</v>
      </c>
      <c r="I3" s="144" t="s">
        <v>59</v>
      </c>
      <c r="J3" s="144" t="s">
        <v>119</v>
      </c>
      <c r="K3" s="144" t="s">
        <v>122</v>
      </c>
      <c r="L3" s="144" t="s">
        <v>60</v>
      </c>
      <c r="M3" s="143" t="s">
        <v>124</v>
      </c>
      <c r="N3" s="102" t="s">
        <v>4</v>
      </c>
      <c r="O3" s="717"/>
      <c r="P3" s="718"/>
      <c r="Q3" s="718"/>
      <c r="R3" s="718"/>
      <c r="S3" s="718"/>
      <c r="T3" s="718"/>
      <c r="U3" s="718"/>
      <c r="V3" s="718"/>
      <c r="W3" s="718"/>
      <c r="X3" s="718"/>
      <c r="Y3" s="718"/>
      <c r="Z3" s="718"/>
      <c r="AA3" s="718"/>
      <c r="AB3" s="718"/>
      <c r="AC3" s="718"/>
      <c r="AD3" s="718"/>
      <c r="AE3" s="719"/>
    </row>
    <row r="4" spans="1:32" s="11" customFormat="1" ht="21" customHeight="1">
      <c r="A4" s="727" t="s">
        <v>31</v>
      </c>
      <c r="B4" s="728"/>
      <c r="C4" s="728"/>
      <c r="D4" s="313">
        <f t="shared" ref="D4:L4" si="0">SUM(D5,D168,D192,D341,D354,D357)</f>
        <v>2326047</v>
      </c>
      <c r="E4" s="313">
        <f t="shared" si="0"/>
        <v>2403302</v>
      </c>
      <c r="F4" s="313">
        <f t="shared" si="0"/>
        <v>1785819</v>
      </c>
      <c r="G4" s="313">
        <f t="shared" si="0"/>
        <v>162336</v>
      </c>
      <c r="H4" s="313">
        <f t="shared" si="0"/>
        <v>21351</v>
      </c>
      <c r="I4" s="313">
        <f t="shared" si="0"/>
        <v>205075</v>
      </c>
      <c r="J4" s="313">
        <f t="shared" si="0"/>
        <v>128389</v>
      </c>
      <c r="K4" s="313">
        <f t="shared" si="0"/>
        <v>32546</v>
      </c>
      <c r="L4" s="313">
        <f t="shared" si="0"/>
        <v>67786</v>
      </c>
      <c r="M4" s="314">
        <f>E4-D4</f>
        <v>77255</v>
      </c>
      <c r="N4" s="315">
        <f>IF(D4=0,0,M4/D4)</f>
        <v>3.3213000425184873E-2</v>
      </c>
      <c r="O4" s="316" t="s">
        <v>216</v>
      </c>
      <c r="P4" s="317"/>
      <c r="Q4" s="317"/>
      <c r="R4" s="317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>
        <f>SUM(AD5,AD168,AD192,AD341,AD354,AD357)</f>
        <v>2403302000</v>
      </c>
      <c r="AE4" s="319" t="s">
        <v>25</v>
      </c>
      <c r="AF4" s="2"/>
    </row>
    <row r="5" spans="1:32" s="11" customFormat="1" ht="21" customHeight="1">
      <c r="A5" s="106" t="s">
        <v>6</v>
      </c>
      <c r="B5" s="725" t="s">
        <v>7</v>
      </c>
      <c r="C5" s="726"/>
      <c r="D5" s="320">
        <f t="shared" ref="D5:L5" si="1">SUM(D6,D77,D87)</f>
        <v>1818634</v>
      </c>
      <c r="E5" s="320">
        <f t="shared" si="1"/>
        <v>1876750</v>
      </c>
      <c r="F5" s="320">
        <f t="shared" si="1"/>
        <v>1686503</v>
      </c>
      <c r="G5" s="320">
        <f t="shared" si="1"/>
        <v>139706</v>
      </c>
      <c r="H5" s="320">
        <f t="shared" si="1"/>
        <v>0</v>
      </c>
      <c r="I5" s="320">
        <f t="shared" si="1"/>
        <v>21405</v>
      </c>
      <c r="J5" s="320">
        <f t="shared" si="1"/>
        <v>0</v>
      </c>
      <c r="K5" s="320">
        <f t="shared" si="1"/>
        <v>21460</v>
      </c>
      <c r="L5" s="320">
        <f t="shared" si="1"/>
        <v>7676</v>
      </c>
      <c r="M5" s="321">
        <f>E5-D5</f>
        <v>58116</v>
      </c>
      <c r="N5" s="322">
        <f>IF(D5=0,0,M5/D5)</f>
        <v>3.1955852579463484E-2</v>
      </c>
      <c r="O5" s="323" t="s">
        <v>217</v>
      </c>
      <c r="P5" s="323"/>
      <c r="Q5" s="323"/>
      <c r="R5" s="323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>
        <f>SUM(AD6,AD77,AD87)</f>
        <v>1876750000</v>
      </c>
      <c r="AE5" s="325" t="s">
        <v>25</v>
      </c>
      <c r="AF5" s="2"/>
    </row>
    <row r="6" spans="1:32" s="11" customFormat="1" ht="21" customHeight="1">
      <c r="A6" s="45"/>
      <c r="B6" s="36" t="s">
        <v>8</v>
      </c>
      <c r="C6" s="326" t="s">
        <v>5</v>
      </c>
      <c r="D6" s="438">
        <f t="shared" ref="D6:L6" si="2">SUM(D7,D13,D18,D32,D40,D62)</f>
        <v>1736880</v>
      </c>
      <c r="E6" s="327">
        <f t="shared" si="2"/>
        <v>1783850</v>
      </c>
      <c r="F6" s="327">
        <f t="shared" si="2"/>
        <v>1628321</v>
      </c>
      <c r="G6" s="327">
        <f t="shared" si="2"/>
        <v>136106</v>
      </c>
      <c r="H6" s="327">
        <f t="shared" si="2"/>
        <v>0</v>
      </c>
      <c r="I6" s="327">
        <f t="shared" si="2"/>
        <v>6903</v>
      </c>
      <c r="J6" s="327">
        <f t="shared" si="2"/>
        <v>0</v>
      </c>
      <c r="K6" s="327">
        <f t="shared" si="2"/>
        <v>9180</v>
      </c>
      <c r="L6" s="327">
        <f t="shared" si="2"/>
        <v>3340</v>
      </c>
      <c r="M6" s="328">
        <f>E6-D6</f>
        <v>46970</v>
      </c>
      <c r="N6" s="329">
        <f>IF(D6=0,0,M6/D6)</f>
        <v>2.7042743309842937E-2</v>
      </c>
      <c r="O6" s="330" t="s">
        <v>218</v>
      </c>
      <c r="P6" s="330"/>
      <c r="Q6" s="330"/>
      <c r="R6" s="330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>
        <f>SUM(AD7,AD13,AD18,AD32,AD40,AD62)</f>
        <v>1783850000</v>
      </c>
      <c r="AE6" s="332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53">
        <v>1070881</v>
      </c>
      <c r="E7" s="108">
        <f>ROUND(AD7/1000,0)</f>
        <v>1093611</v>
      </c>
      <c r="F7" s="108">
        <f>SUMIF($AB$8:$AB$12,"보조",$AD$8:$AD$12)/1000</f>
        <v>1025040</v>
      </c>
      <c r="G7" s="108">
        <f>SUMIF($AB$8:$AB$12,"7종",$AD$8:$AD$12)/1000</f>
        <v>68571</v>
      </c>
      <c r="H7" s="108">
        <f>SUMIF($AB$8:$AB$12,"4종",$AD$8:$AD$12)/1000</f>
        <v>0</v>
      </c>
      <c r="I7" s="108">
        <f>SUMIF($AB$8:$AB$12,"후원",$AD$8:$AD$12)/1000</f>
        <v>0</v>
      </c>
      <c r="J7" s="108">
        <f>SUMIF($AB$8:$AB$12,"입소",$AD$8:$AD$12)/1000</f>
        <v>0</v>
      </c>
      <c r="K7" s="108">
        <f>SUMIF($AB$8:$AB$12,"법인",$AD$8:$AD$12)/1000</f>
        <v>0</v>
      </c>
      <c r="L7" s="108">
        <f>SUMIF($AB$8:$AB$12,"잡수",$AD$8:$AD$12)/1000</f>
        <v>0</v>
      </c>
      <c r="M7" s="107">
        <f>E7-D7</f>
        <v>22730</v>
      </c>
      <c r="N7" s="283">
        <f>IF(D7=0,0,M7/D7)</f>
        <v>2.1225514319518229E-2</v>
      </c>
      <c r="O7" s="110" t="s">
        <v>68</v>
      </c>
      <c r="P7" s="110"/>
      <c r="Q7" s="150"/>
      <c r="R7" s="150"/>
      <c r="S7" s="150"/>
      <c r="T7" s="149"/>
      <c r="U7" s="149"/>
      <c r="V7" s="149"/>
      <c r="W7" s="97" t="s">
        <v>125</v>
      </c>
      <c r="X7" s="97"/>
      <c r="Y7" s="97"/>
      <c r="Z7" s="97"/>
      <c r="AA7" s="97"/>
      <c r="AB7" s="97"/>
      <c r="AC7" s="112"/>
      <c r="AD7" s="112">
        <f>SUM(기본급,기본급7종)</f>
        <v>1093611000</v>
      </c>
      <c r="AE7" s="113" t="s">
        <v>56</v>
      </c>
      <c r="AF7" s="1"/>
    </row>
    <row r="8" spans="1:32" s="11" customFormat="1" ht="21" customHeight="1">
      <c r="A8" s="45"/>
      <c r="B8" s="46"/>
      <c r="C8" s="46"/>
      <c r="D8" s="151"/>
      <c r="E8" s="103"/>
      <c r="F8" s="103"/>
      <c r="G8" s="103"/>
      <c r="H8" s="103"/>
      <c r="I8" s="103"/>
      <c r="J8" s="103"/>
      <c r="K8" s="103"/>
      <c r="L8" s="103"/>
      <c r="M8" s="103"/>
      <c r="N8" s="68"/>
      <c r="O8" s="150"/>
      <c r="P8" s="32"/>
      <c r="Q8" s="32"/>
      <c r="R8" s="32"/>
      <c r="S8" s="32"/>
      <c r="T8" s="33"/>
      <c r="U8" s="33"/>
      <c r="V8" s="33"/>
      <c r="W8" s="33"/>
      <c r="X8" s="33"/>
      <c r="Y8" s="33"/>
      <c r="Z8" s="33"/>
      <c r="AA8" s="33"/>
      <c r="AB8" s="33"/>
      <c r="AC8" s="52"/>
      <c r="AD8" s="52"/>
      <c r="AE8" s="34"/>
      <c r="AF8" s="2"/>
    </row>
    <row r="9" spans="1:32" s="11" customFormat="1" ht="21" customHeight="1">
      <c r="A9" s="45"/>
      <c r="B9" s="46"/>
      <c r="C9" s="46"/>
      <c r="D9" s="151"/>
      <c r="E9" s="103"/>
      <c r="F9" s="103"/>
      <c r="G9" s="103"/>
      <c r="H9" s="103"/>
      <c r="I9" s="103"/>
      <c r="J9" s="103"/>
      <c r="K9" s="103"/>
      <c r="L9" s="103"/>
      <c r="M9" s="103"/>
      <c r="N9" s="68"/>
      <c r="O9" s="375" t="s">
        <v>584</v>
      </c>
      <c r="P9" s="375"/>
      <c r="Q9" s="375"/>
      <c r="R9" s="375"/>
      <c r="S9" s="279"/>
      <c r="T9" s="277"/>
      <c r="U9" s="277"/>
      <c r="V9" s="277"/>
      <c r="W9" s="358" t="s">
        <v>226</v>
      </c>
      <c r="X9" s="358"/>
      <c r="Y9" s="358"/>
      <c r="Z9" s="358"/>
      <c r="AA9" s="358"/>
      <c r="AB9" s="358" t="s">
        <v>565</v>
      </c>
      <c r="AC9" s="359"/>
      <c r="AD9" s="359">
        <v>1025040000</v>
      </c>
      <c r="AE9" s="360" t="s">
        <v>220</v>
      </c>
      <c r="AF9" s="2"/>
    </row>
    <row r="10" spans="1:32" s="11" customFormat="1" ht="21" customHeight="1">
      <c r="A10" s="45"/>
      <c r="B10" s="46"/>
      <c r="C10" s="46"/>
      <c r="D10" s="151"/>
      <c r="E10" s="103"/>
      <c r="F10" s="103"/>
      <c r="G10" s="103"/>
      <c r="H10" s="103"/>
      <c r="I10" s="103"/>
      <c r="J10" s="103"/>
      <c r="K10" s="103"/>
      <c r="L10" s="103"/>
      <c r="M10" s="103"/>
      <c r="N10" s="68"/>
      <c r="O10" s="379"/>
      <c r="P10" s="379"/>
      <c r="Q10" s="379"/>
      <c r="R10" s="379"/>
      <c r="S10" s="277"/>
      <c r="T10" s="339"/>
      <c r="U10" s="277"/>
      <c r="V10" s="277"/>
      <c r="W10" s="339"/>
      <c r="X10" s="277"/>
      <c r="Y10" s="277"/>
      <c r="Z10" s="277"/>
      <c r="AA10" s="277"/>
      <c r="AB10" s="277"/>
      <c r="AC10" s="277"/>
      <c r="AD10" s="277"/>
      <c r="AE10" s="303"/>
      <c r="AF10" s="1"/>
    </row>
    <row r="11" spans="1:32" s="11" customFormat="1" ht="21" customHeight="1">
      <c r="A11" s="45"/>
      <c r="B11" s="46"/>
      <c r="C11" s="46"/>
      <c r="D11" s="151"/>
      <c r="E11" s="103"/>
      <c r="F11" s="103"/>
      <c r="G11" s="103"/>
      <c r="H11" s="103"/>
      <c r="I11" s="103"/>
      <c r="J11" s="103"/>
      <c r="K11" s="103"/>
      <c r="L11" s="103"/>
      <c r="M11" s="103"/>
      <c r="N11" s="68"/>
      <c r="O11" s="375" t="s">
        <v>227</v>
      </c>
      <c r="P11" s="375"/>
      <c r="Q11" s="375"/>
      <c r="R11" s="375"/>
      <c r="S11" s="279"/>
      <c r="T11" s="277"/>
      <c r="U11" s="277"/>
      <c r="V11" s="277"/>
      <c r="W11" s="358" t="s">
        <v>226</v>
      </c>
      <c r="X11" s="358"/>
      <c r="Y11" s="358"/>
      <c r="Z11" s="358"/>
      <c r="AA11" s="358"/>
      <c r="AB11" s="358" t="s">
        <v>566</v>
      </c>
      <c r="AC11" s="359"/>
      <c r="AD11" s="359">
        <v>68571000</v>
      </c>
      <c r="AE11" s="360" t="s">
        <v>220</v>
      </c>
      <c r="AF11" s="1"/>
    </row>
    <row r="12" spans="1:32" s="11" customFormat="1" ht="21" customHeight="1">
      <c r="A12" s="45"/>
      <c r="B12" s="46"/>
      <c r="C12" s="46"/>
      <c r="D12" s="151"/>
      <c r="E12" s="103"/>
      <c r="F12" s="103"/>
      <c r="G12" s="103"/>
      <c r="H12" s="103"/>
      <c r="I12" s="103"/>
      <c r="J12" s="103"/>
      <c r="K12" s="103"/>
      <c r="L12" s="103"/>
      <c r="M12" s="103"/>
      <c r="N12" s="68"/>
      <c r="O12" s="50"/>
      <c r="P12" s="50"/>
      <c r="Q12" s="50"/>
      <c r="R12" s="50"/>
      <c r="S12" s="50"/>
      <c r="T12" s="51"/>
      <c r="U12" s="51"/>
      <c r="V12" s="145"/>
      <c r="W12" s="145"/>
      <c r="X12" s="145"/>
      <c r="Y12" s="145"/>
      <c r="Z12" s="145"/>
      <c r="AA12" s="145"/>
      <c r="AB12" s="145"/>
      <c r="AC12" s="70"/>
      <c r="AD12" s="70"/>
      <c r="AE12" s="71"/>
      <c r="AF12" s="1"/>
    </row>
    <row r="13" spans="1:32" s="11" customFormat="1" ht="21" customHeight="1">
      <c r="A13" s="45"/>
      <c r="B13" s="46"/>
      <c r="C13" s="36" t="s">
        <v>67</v>
      </c>
      <c r="D13" s="153">
        <v>0</v>
      </c>
      <c r="E13" s="108">
        <f>ROUND(AD13/1000,0)</f>
        <v>0</v>
      </c>
      <c r="F13" s="108">
        <f>SUMIF($AB$14:$AB$17,"보조",$AD$14:$AD$17)/1000</f>
        <v>0</v>
      </c>
      <c r="G13" s="108">
        <f>SUMIF($AB$14:$AB$17,"7종",$AD$14:$AD$17)/1000</f>
        <v>0</v>
      </c>
      <c r="H13" s="108">
        <f>SUMIF($AB$14:$AB$17,"4종",$AD$14:$AD$17)/1000</f>
        <v>0</v>
      </c>
      <c r="I13" s="108">
        <f>SUMIF($AB$14:$AB$17,"후원",$AD$14:$AD$17)/1000</f>
        <v>0</v>
      </c>
      <c r="J13" s="108">
        <f>SUMIF($AB$14:$AB$17,"입소",$AD$14:$AD$17)/1000</f>
        <v>0</v>
      </c>
      <c r="K13" s="108">
        <f>SUMIF($AB$14:$AB$17,"법인",$AD$14:$AD$17)/1000</f>
        <v>0</v>
      </c>
      <c r="L13" s="108">
        <f>SUMIF($AB$14:$AB$17,"잡수",$AD$14:$AD$17)/1000</f>
        <v>0</v>
      </c>
      <c r="M13" s="117">
        <f>E13-D13</f>
        <v>0</v>
      </c>
      <c r="N13" s="115">
        <f>IF(D13=0,0,M13/D13)</f>
        <v>0</v>
      </c>
      <c r="O13" s="95" t="s">
        <v>70</v>
      </c>
      <c r="P13" s="168"/>
      <c r="Q13" s="91"/>
      <c r="R13" s="91"/>
      <c r="S13" s="91"/>
      <c r="T13" s="87"/>
      <c r="U13" s="87"/>
      <c r="V13" s="149"/>
      <c r="W13" s="97" t="s">
        <v>125</v>
      </c>
      <c r="X13" s="97"/>
      <c r="Y13" s="97"/>
      <c r="Z13" s="97"/>
      <c r="AA13" s="97"/>
      <c r="AB13" s="97"/>
      <c r="AC13" s="112"/>
      <c r="AD13" s="112">
        <f>SUM(AD15:AD16)</f>
        <v>0</v>
      </c>
      <c r="AE13" s="113" t="s">
        <v>56</v>
      </c>
      <c r="AF13" s="1"/>
    </row>
    <row r="14" spans="1:32" s="11" customFormat="1" ht="21" customHeight="1">
      <c r="A14" s="45"/>
      <c r="B14" s="46"/>
      <c r="C14" s="46"/>
      <c r="D14" s="151"/>
      <c r="E14" s="103"/>
      <c r="F14" s="103"/>
      <c r="G14" s="103"/>
      <c r="H14" s="103"/>
      <c r="I14" s="103"/>
      <c r="J14" s="103"/>
      <c r="K14" s="103"/>
      <c r="L14" s="103"/>
      <c r="M14" s="103"/>
      <c r="N14" s="68"/>
      <c r="O14" s="150"/>
      <c r="P14" s="32"/>
      <c r="Q14" s="32"/>
      <c r="R14" s="32"/>
      <c r="S14" s="32"/>
      <c r="T14" s="33"/>
      <c r="U14" s="33"/>
      <c r="V14" s="33"/>
      <c r="W14" s="33"/>
      <c r="X14" s="33"/>
      <c r="Y14" s="33"/>
      <c r="Z14" s="33"/>
      <c r="AA14" s="33"/>
      <c r="AB14" s="33"/>
      <c r="AC14" s="52"/>
      <c r="AD14" s="52"/>
      <c r="AE14" s="34"/>
      <c r="AF14" s="1"/>
    </row>
    <row r="15" spans="1:32" s="11" customFormat="1" ht="21" customHeight="1">
      <c r="A15" s="45"/>
      <c r="B15" s="46"/>
      <c r="C15" s="46"/>
      <c r="D15" s="151"/>
      <c r="E15" s="103"/>
      <c r="F15" s="103"/>
      <c r="G15" s="103"/>
      <c r="H15" s="103"/>
      <c r="I15" s="103"/>
      <c r="J15" s="103"/>
      <c r="K15" s="103"/>
      <c r="L15" s="103"/>
      <c r="M15" s="103"/>
      <c r="N15" s="68"/>
      <c r="O15" s="285" t="s">
        <v>204</v>
      </c>
      <c r="P15" s="296"/>
      <c r="Q15" s="50"/>
      <c r="R15" s="50"/>
      <c r="S15" s="119">
        <v>45000</v>
      </c>
      <c r="T15" s="119" t="s">
        <v>56</v>
      </c>
      <c r="U15" s="120" t="s">
        <v>57</v>
      </c>
      <c r="V15" s="119">
        <v>0</v>
      </c>
      <c r="W15" s="119" t="s">
        <v>55</v>
      </c>
      <c r="X15" s="120" t="s">
        <v>57</v>
      </c>
      <c r="Y15" s="298">
        <v>0</v>
      </c>
      <c r="Z15" s="89" t="s">
        <v>90</v>
      </c>
      <c r="AA15" s="89" t="s">
        <v>53</v>
      </c>
      <c r="AB15" s="295" t="s">
        <v>566</v>
      </c>
      <c r="AC15" s="66"/>
      <c r="AD15" s="129">
        <f>S15*V15*Y15</f>
        <v>0</v>
      </c>
      <c r="AE15" s="57" t="s">
        <v>69</v>
      </c>
      <c r="AF15" s="1"/>
    </row>
    <row r="16" spans="1:32" s="11" customFormat="1" ht="21" customHeight="1">
      <c r="A16" s="45"/>
      <c r="B16" s="46"/>
      <c r="C16" s="46"/>
      <c r="D16" s="151"/>
      <c r="E16" s="103"/>
      <c r="F16" s="103"/>
      <c r="G16" s="103"/>
      <c r="H16" s="103"/>
      <c r="I16" s="103"/>
      <c r="J16" s="103"/>
      <c r="K16" s="103"/>
      <c r="L16" s="103"/>
      <c r="M16" s="103"/>
      <c r="N16" s="68"/>
      <c r="O16" s="599" t="s">
        <v>695</v>
      </c>
      <c r="P16" s="599"/>
      <c r="Q16" s="599"/>
      <c r="R16" s="599"/>
      <c r="S16" s="598">
        <v>80000</v>
      </c>
      <c r="T16" s="598" t="s">
        <v>677</v>
      </c>
      <c r="U16" s="599" t="s">
        <v>678</v>
      </c>
      <c r="V16" s="598">
        <v>1</v>
      </c>
      <c r="W16" s="598" t="s">
        <v>679</v>
      </c>
      <c r="X16" s="599" t="s">
        <v>678</v>
      </c>
      <c r="Y16" s="298">
        <v>0</v>
      </c>
      <c r="Z16" s="568" t="s">
        <v>683</v>
      </c>
      <c r="AA16" s="568" t="s">
        <v>681</v>
      </c>
      <c r="AB16" s="598" t="s">
        <v>696</v>
      </c>
      <c r="AC16" s="130"/>
      <c r="AD16" s="598">
        <f>S16*V16*Y16</f>
        <v>0</v>
      </c>
      <c r="AE16" s="131" t="s">
        <v>677</v>
      </c>
      <c r="AF16" s="1"/>
    </row>
    <row r="17" spans="1:32" s="11" customFormat="1" ht="21" customHeight="1">
      <c r="A17" s="45"/>
      <c r="B17" s="46"/>
      <c r="C17" s="46"/>
      <c r="D17" s="151"/>
      <c r="E17" s="103"/>
      <c r="F17" s="103"/>
      <c r="G17" s="103"/>
      <c r="H17" s="103"/>
      <c r="I17" s="103"/>
      <c r="J17" s="103"/>
      <c r="K17" s="103"/>
      <c r="L17" s="103"/>
      <c r="M17" s="103"/>
      <c r="N17" s="68"/>
      <c r="O17" s="50"/>
      <c r="P17" s="50"/>
      <c r="Q17" s="50"/>
      <c r="R17" s="50"/>
      <c r="S17" s="51"/>
      <c r="T17" s="51"/>
      <c r="U17" s="50"/>
      <c r="V17" s="51"/>
      <c r="W17" s="51"/>
      <c r="X17" s="50"/>
      <c r="Y17" s="90"/>
      <c r="Z17" s="51"/>
      <c r="AA17" s="51"/>
      <c r="AB17" s="51"/>
      <c r="AC17" s="66"/>
      <c r="AD17" s="51"/>
      <c r="AE17" s="57"/>
      <c r="AF17" s="1"/>
    </row>
    <row r="18" spans="1:32" s="11" customFormat="1" ht="21" customHeight="1">
      <c r="A18" s="45"/>
      <c r="B18" s="46"/>
      <c r="C18" s="36" t="s">
        <v>33</v>
      </c>
      <c r="D18" s="153">
        <v>385363</v>
      </c>
      <c r="E18" s="108">
        <f>ROUND(AD18/1000,0)</f>
        <v>400267</v>
      </c>
      <c r="F18" s="108">
        <f>SUMIF($AB$19:$AB$31,"보조",$AD$19:$AD$31)/1000</f>
        <v>355697</v>
      </c>
      <c r="G18" s="108">
        <f>SUMIF($AB$19:$AB$31,"7종",$AD$19:$AD$31)/1000</f>
        <v>44570</v>
      </c>
      <c r="H18" s="108">
        <f>SUMIF($AB$19:$AB$31,"4종",$AD$19:$AD$31)/1000</f>
        <v>0</v>
      </c>
      <c r="I18" s="108">
        <f>SUMIF($AB$19:$AB$31,"후원",$AD$19:$AD$31)/1000</f>
        <v>0</v>
      </c>
      <c r="J18" s="108">
        <f>SUMIF($AB$19:$AB$31,"입소",$AD$19:$AD$31)/1000</f>
        <v>0</v>
      </c>
      <c r="K18" s="108">
        <f>SUMIF($AB$19:$AB$31,"법인",$AD$19:$AD$31)/1000</f>
        <v>0</v>
      </c>
      <c r="L18" s="108">
        <f>SUMIF($AB$19:$AB$31,"잡수",$AD$19:$AD$31)/1000</f>
        <v>0</v>
      </c>
      <c r="M18" s="107">
        <f>E18-D18</f>
        <v>14904</v>
      </c>
      <c r="N18" s="115">
        <f>IF(D18=0,0,M18/D18)</f>
        <v>3.8675223101335622E-2</v>
      </c>
      <c r="O18" s="95" t="s">
        <v>34</v>
      </c>
      <c r="P18" s="168"/>
      <c r="Q18" s="91"/>
      <c r="R18" s="91"/>
      <c r="S18" s="91"/>
      <c r="T18" s="87"/>
      <c r="U18" s="87"/>
      <c r="V18" s="87"/>
      <c r="W18" s="169" t="s">
        <v>125</v>
      </c>
      <c r="X18" s="169"/>
      <c r="Y18" s="169"/>
      <c r="Z18" s="169"/>
      <c r="AA18" s="169"/>
      <c r="AB18" s="169"/>
      <c r="AC18" s="171"/>
      <c r="AD18" s="171">
        <f>SUM(명절휴가비,가족수당,연장근로수당)</f>
        <v>400267000</v>
      </c>
      <c r="AE18" s="170" t="s">
        <v>56</v>
      </c>
      <c r="AF18" s="1"/>
    </row>
    <row r="19" spans="1:32" s="11" customFormat="1" ht="21" customHeight="1">
      <c r="A19" s="45"/>
      <c r="B19" s="46"/>
      <c r="C19" s="46"/>
      <c r="D19" s="151"/>
      <c r="E19" s="103"/>
      <c r="F19" s="103"/>
      <c r="G19" s="103"/>
      <c r="H19" s="103"/>
      <c r="I19" s="103"/>
      <c r="J19" s="103"/>
      <c r="K19" s="103"/>
      <c r="L19" s="103"/>
      <c r="M19" s="103"/>
      <c r="N19" s="68"/>
      <c r="O19" s="375" t="s">
        <v>228</v>
      </c>
      <c r="P19" s="279"/>
      <c r="Q19" s="279"/>
      <c r="R19" s="279"/>
      <c r="S19" s="279"/>
      <c r="T19" s="277"/>
      <c r="U19" s="277"/>
      <c r="V19" s="277"/>
      <c r="W19" s="358" t="s">
        <v>226</v>
      </c>
      <c r="X19" s="358"/>
      <c r="Y19" s="358"/>
      <c r="Z19" s="358"/>
      <c r="AA19" s="358"/>
      <c r="AB19" s="358"/>
      <c r="AC19" s="359" t="s">
        <v>229</v>
      </c>
      <c r="AD19" s="359">
        <f>ROUND(SUM(AD20:AD21),-3)</f>
        <v>112556000</v>
      </c>
      <c r="AE19" s="360" t="s">
        <v>220</v>
      </c>
      <c r="AF19" s="17"/>
    </row>
    <row r="20" spans="1:32" s="11" customFormat="1" ht="21" customHeight="1">
      <c r="A20" s="45"/>
      <c r="B20" s="46"/>
      <c r="C20" s="46"/>
      <c r="D20" s="151"/>
      <c r="E20" s="103"/>
      <c r="F20" s="103"/>
      <c r="G20" s="103"/>
      <c r="H20" s="103"/>
      <c r="I20" s="103"/>
      <c r="J20" s="103"/>
      <c r="K20" s="103"/>
      <c r="L20" s="103"/>
      <c r="M20" s="103"/>
      <c r="N20" s="68"/>
      <c r="O20" s="279" t="s">
        <v>585</v>
      </c>
      <c r="P20" s="279"/>
      <c r="Q20" s="279"/>
      <c r="R20" s="279"/>
      <c r="S20" s="279"/>
      <c r="T20" s="277"/>
      <c r="U20" s="277"/>
      <c r="V20" s="277"/>
      <c r="W20" s="277"/>
      <c r="X20" s="277"/>
      <c r="Y20" s="277"/>
      <c r="Z20" s="277"/>
      <c r="AA20" s="277"/>
      <c r="AB20" s="277" t="s">
        <v>565</v>
      </c>
      <c r="AC20" s="280"/>
      <c r="AD20" s="280">
        <v>105713000</v>
      </c>
      <c r="AE20" s="303" t="s">
        <v>220</v>
      </c>
      <c r="AF20" s="17"/>
    </row>
    <row r="21" spans="1:32" s="11" customFormat="1" ht="21" customHeight="1">
      <c r="A21" s="45"/>
      <c r="B21" s="46"/>
      <c r="C21" s="46"/>
      <c r="D21" s="151"/>
      <c r="E21" s="103"/>
      <c r="F21" s="103"/>
      <c r="G21" s="103"/>
      <c r="H21" s="103"/>
      <c r="I21" s="103"/>
      <c r="J21" s="103"/>
      <c r="K21" s="103"/>
      <c r="L21" s="103"/>
      <c r="M21" s="103"/>
      <c r="N21" s="68"/>
      <c r="O21" s="279" t="s">
        <v>230</v>
      </c>
      <c r="P21" s="279"/>
      <c r="Q21" s="279"/>
      <c r="R21" s="279"/>
      <c r="S21" s="279"/>
      <c r="T21" s="277"/>
      <c r="U21" s="277"/>
      <c r="V21" s="277"/>
      <c r="W21" s="277"/>
      <c r="X21" s="277"/>
      <c r="Y21" s="277"/>
      <c r="Z21" s="277"/>
      <c r="AA21" s="277"/>
      <c r="AB21" s="277" t="s">
        <v>566</v>
      </c>
      <c r="AC21" s="280"/>
      <c r="AD21" s="280">
        <v>6843000</v>
      </c>
      <c r="AE21" s="303" t="s">
        <v>220</v>
      </c>
      <c r="AF21" s="17"/>
    </row>
    <row r="22" spans="1:32" s="11" customFormat="1" ht="21" customHeight="1">
      <c r="A22" s="45"/>
      <c r="B22" s="46"/>
      <c r="C22" s="46"/>
      <c r="D22" s="151"/>
      <c r="E22" s="103"/>
      <c r="F22" s="103"/>
      <c r="G22" s="103"/>
      <c r="H22" s="103"/>
      <c r="I22" s="103"/>
      <c r="J22" s="103"/>
      <c r="K22" s="103"/>
      <c r="L22" s="103"/>
      <c r="M22" s="103"/>
      <c r="N22" s="68"/>
      <c r="O22" s="279"/>
      <c r="P22" s="279"/>
      <c r="Q22" s="279"/>
      <c r="R22" s="279"/>
      <c r="S22" s="279"/>
      <c r="T22" s="277"/>
      <c r="U22" s="277"/>
      <c r="V22" s="277"/>
      <c r="W22" s="277"/>
      <c r="X22" s="277"/>
      <c r="Y22" s="277"/>
      <c r="Z22" s="277"/>
      <c r="AA22" s="277"/>
      <c r="AB22" s="277"/>
      <c r="AC22" s="280"/>
      <c r="AD22" s="280"/>
      <c r="AE22" s="303"/>
      <c r="AF22" s="17"/>
    </row>
    <row r="23" spans="1:32" s="11" customFormat="1" ht="21" customHeight="1">
      <c r="A23" s="45"/>
      <c r="B23" s="46"/>
      <c r="C23" s="46"/>
      <c r="D23" s="151"/>
      <c r="E23" s="103"/>
      <c r="F23" s="103"/>
      <c r="G23" s="103"/>
      <c r="H23" s="103"/>
      <c r="I23" s="103"/>
      <c r="J23" s="103"/>
      <c r="K23" s="103"/>
      <c r="L23" s="103"/>
      <c r="M23" s="103"/>
      <c r="N23" s="68"/>
      <c r="O23" s="375" t="s">
        <v>231</v>
      </c>
      <c r="P23" s="279"/>
      <c r="Q23" s="279"/>
      <c r="R23" s="279"/>
      <c r="S23" s="279"/>
      <c r="T23" s="277"/>
      <c r="U23" s="277"/>
      <c r="V23" s="277"/>
      <c r="W23" s="358" t="s">
        <v>226</v>
      </c>
      <c r="X23" s="358"/>
      <c r="Y23" s="358"/>
      <c r="Z23" s="358"/>
      <c r="AA23" s="358"/>
      <c r="AB23" s="358"/>
      <c r="AC23" s="359" t="s">
        <v>229</v>
      </c>
      <c r="AD23" s="359">
        <f>SUM(AD24:AD25)</f>
        <v>17280000</v>
      </c>
      <c r="AE23" s="360" t="s">
        <v>220</v>
      </c>
      <c r="AF23" s="17"/>
    </row>
    <row r="24" spans="1:32" s="11" customFormat="1" ht="21" customHeight="1">
      <c r="A24" s="45"/>
      <c r="B24" s="46"/>
      <c r="C24" s="46"/>
      <c r="D24" s="151"/>
      <c r="E24" s="103"/>
      <c r="F24" s="103"/>
      <c r="G24" s="103"/>
      <c r="H24" s="103"/>
      <c r="I24" s="103"/>
      <c r="J24" s="103"/>
      <c r="K24" s="103"/>
      <c r="L24" s="103"/>
      <c r="M24" s="103"/>
      <c r="N24" s="68"/>
      <c r="O24" s="279" t="s">
        <v>585</v>
      </c>
      <c r="P24" s="279"/>
      <c r="Q24" s="279"/>
      <c r="R24" s="279"/>
      <c r="S24" s="279"/>
      <c r="T24" s="277"/>
      <c r="U24" s="277"/>
      <c r="V24" s="277"/>
      <c r="W24" s="277"/>
      <c r="X24" s="277"/>
      <c r="Y24" s="277"/>
      <c r="Z24" s="277"/>
      <c r="AA24" s="277"/>
      <c r="AB24" s="277" t="s">
        <v>565</v>
      </c>
      <c r="AC24" s="280"/>
      <c r="AD24" s="280">
        <v>14400000</v>
      </c>
      <c r="AE24" s="303" t="s">
        <v>220</v>
      </c>
      <c r="AF24" s="17"/>
    </row>
    <row r="25" spans="1:32" s="11" customFormat="1" ht="21" customHeight="1">
      <c r="A25" s="45"/>
      <c r="B25" s="46"/>
      <c r="C25" s="46"/>
      <c r="D25" s="151"/>
      <c r="E25" s="103"/>
      <c r="F25" s="103"/>
      <c r="G25" s="103"/>
      <c r="H25" s="103"/>
      <c r="I25" s="103"/>
      <c r="J25" s="103"/>
      <c r="K25" s="103"/>
      <c r="L25" s="103"/>
      <c r="M25" s="103"/>
      <c r="N25" s="68"/>
      <c r="O25" s="279" t="s">
        <v>230</v>
      </c>
      <c r="P25" s="279"/>
      <c r="Q25" s="279"/>
      <c r="R25" s="279"/>
      <c r="S25" s="279"/>
      <c r="T25" s="277"/>
      <c r="U25" s="277"/>
      <c r="V25" s="277"/>
      <c r="W25" s="277"/>
      <c r="X25" s="277"/>
      <c r="Y25" s="277"/>
      <c r="Z25" s="277"/>
      <c r="AA25" s="277"/>
      <c r="AB25" s="277" t="s">
        <v>566</v>
      </c>
      <c r="AC25" s="280"/>
      <c r="AD25" s="280">
        <v>2880000</v>
      </c>
      <c r="AE25" s="303" t="s">
        <v>220</v>
      </c>
      <c r="AF25" s="17"/>
    </row>
    <row r="26" spans="1:32" s="11" customFormat="1" ht="21" customHeight="1">
      <c r="A26" s="45"/>
      <c r="B26" s="46"/>
      <c r="C26" s="46"/>
      <c r="D26" s="151"/>
      <c r="E26" s="103"/>
      <c r="F26" s="103"/>
      <c r="G26" s="103"/>
      <c r="H26" s="103"/>
      <c r="I26" s="103"/>
      <c r="J26" s="103"/>
      <c r="K26" s="103"/>
      <c r="L26" s="103"/>
      <c r="M26" s="103"/>
      <c r="N26" s="68"/>
      <c r="O26" s="279"/>
      <c r="P26" s="279"/>
      <c r="Q26" s="279"/>
      <c r="R26" s="279"/>
      <c r="S26" s="279"/>
      <c r="T26" s="277"/>
      <c r="U26" s="277"/>
      <c r="V26" s="277"/>
      <c r="W26" s="277"/>
      <c r="X26" s="277"/>
      <c r="Y26" s="277"/>
      <c r="Z26" s="277"/>
      <c r="AA26" s="277"/>
      <c r="AB26" s="277"/>
      <c r="AC26" s="280"/>
      <c r="AD26" s="280"/>
      <c r="AE26" s="303"/>
      <c r="AF26" s="17"/>
    </row>
    <row r="27" spans="1:32" s="11" customFormat="1" ht="21" customHeight="1">
      <c r="A27" s="45"/>
      <c r="B27" s="46"/>
      <c r="C27" s="46"/>
      <c r="D27" s="151"/>
      <c r="E27" s="103"/>
      <c r="F27" s="103"/>
      <c r="G27" s="103"/>
      <c r="H27" s="103"/>
      <c r="I27" s="103"/>
      <c r="J27" s="103"/>
      <c r="K27" s="103"/>
      <c r="L27" s="103"/>
      <c r="M27" s="103"/>
      <c r="N27" s="68"/>
      <c r="O27" s="375" t="s">
        <v>232</v>
      </c>
      <c r="P27" s="279"/>
      <c r="Q27" s="279"/>
      <c r="R27" s="279"/>
      <c r="S27" s="279"/>
      <c r="T27" s="277"/>
      <c r="U27" s="277"/>
      <c r="V27" s="277"/>
      <c r="W27" s="358" t="s">
        <v>226</v>
      </c>
      <c r="X27" s="358"/>
      <c r="Y27" s="358"/>
      <c r="Z27" s="358"/>
      <c r="AA27" s="358"/>
      <c r="AB27" s="358"/>
      <c r="AC27" s="359" t="s">
        <v>229</v>
      </c>
      <c r="AD27" s="359">
        <f>ROUND(SUM(AD28:AD30),-3)</f>
        <v>270431000</v>
      </c>
      <c r="AE27" s="360" t="s">
        <v>220</v>
      </c>
      <c r="AF27" s="17"/>
    </row>
    <row r="28" spans="1:32" s="11" customFormat="1" ht="21" customHeight="1">
      <c r="A28" s="45"/>
      <c r="B28" s="46"/>
      <c r="C28" s="46"/>
      <c r="D28" s="151"/>
      <c r="E28" s="103"/>
      <c r="F28" s="103"/>
      <c r="G28" s="103"/>
      <c r="H28" s="103"/>
      <c r="I28" s="103"/>
      <c r="J28" s="103"/>
      <c r="K28" s="103"/>
      <c r="L28" s="103"/>
      <c r="M28" s="103"/>
      <c r="N28" s="68"/>
      <c r="O28" s="279" t="s">
        <v>616</v>
      </c>
      <c r="P28" s="279"/>
      <c r="Q28" s="279"/>
      <c r="R28" s="279"/>
      <c r="S28" s="279"/>
      <c r="T28" s="277"/>
      <c r="U28" s="277"/>
      <c r="V28" s="277"/>
      <c r="W28" s="277"/>
      <c r="X28" s="277"/>
      <c r="Y28" s="277"/>
      <c r="Z28" s="277"/>
      <c r="AA28" s="277"/>
      <c r="AB28" s="277" t="s">
        <v>565</v>
      </c>
      <c r="AC28" s="280"/>
      <c r="AD28" s="280">
        <v>235584000</v>
      </c>
      <c r="AE28" s="303" t="s">
        <v>220</v>
      </c>
      <c r="AF28" s="17"/>
    </row>
    <row r="29" spans="1:32" s="11" customFormat="1" ht="21" customHeight="1">
      <c r="A29" s="45"/>
      <c r="B29" s="46"/>
      <c r="C29" s="46"/>
      <c r="D29" s="151"/>
      <c r="E29" s="103"/>
      <c r="F29" s="103"/>
      <c r="G29" s="103"/>
      <c r="H29" s="103"/>
      <c r="I29" s="103"/>
      <c r="J29" s="103"/>
      <c r="K29" s="103"/>
      <c r="L29" s="103"/>
      <c r="M29" s="103"/>
      <c r="N29" s="68"/>
      <c r="O29" s="279" t="s">
        <v>230</v>
      </c>
      <c r="P29" s="279"/>
      <c r="Q29" s="279"/>
      <c r="R29" s="279"/>
      <c r="S29" s="279"/>
      <c r="T29" s="277"/>
      <c r="U29" s="277"/>
      <c r="V29" s="277"/>
      <c r="W29" s="277"/>
      <c r="X29" s="277"/>
      <c r="Y29" s="277"/>
      <c r="Z29" s="277"/>
      <c r="AA29" s="277"/>
      <c r="AB29" s="277" t="s">
        <v>566</v>
      </c>
      <c r="AC29" s="280"/>
      <c r="AD29" s="280">
        <v>16291000</v>
      </c>
      <c r="AE29" s="303" t="s">
        <v>220</v>
      </c>
      <c r="AF29" s="17"/>
    </row>
    <row r="30" spans="1:32" s="11" customFormat="1" ht="21" customHeight="1">
      <c r="A30" s="45"/>
      <c r="B30" s="46"/>
      <c r="C30" s="46"/>
      <c r="D30" s="151"/>
      <c r="E30" s="103"/>
      <c r="F30" s="103"/>
      <c r="G30" s="103"/>
      <c r="H30" s="103"/>
      <c r="I30" s="103"/>
      <c r="J30" s="103"/>
      <c r="K30" s="103"/>
      <c r="L30" s="103"/>
      <c r="M30" s="103"/>
      <c r="N30" s="68"/>
      <c r="O30" s="279" t="s">
        <v>674</v>
      </c>
      <c r="P30" s="279"/>
      <c r="Q30" s="279"/>
      <c r="R30" s="279"/>
      <c r="S30" s="279"/>
      <c r="T30" s="277"/>
      <c r="U30" s="277"/>
      <c r="V30" s="277"/>
      <c r="W30" s="277"/>
      <c r="X30" s="277"/>
      <c r="Y30" s="277"/>
      <c r="Z30" s="277"/>
      <c r="AA30" s="277"/>
      <c r="AB30" s="277" t="s">
        <v>675</v>
      </c>
      <c r="AC30" s="280"/>
      <c r="AD30" s="280">
        <v>18556000</v>
      </c>
      <c r="AE30" s="303" t="s">
        <v>676</v>
      </c>
      <c r="AF30" s="17"/>
    </row>
    <row r="31" spans="1:32" s="11" customFormat="1" ht="21" customHeight="1">
      <c r="A31" s="45"/>
      <c r="B31" s="46"/>
      <c r="C31" s="46"/>
      <c r="D31" s="151"/>
      <c r="E31" s="103"/>
      <c r="F31" s="103"/>
      <c r="G31" s="103"/>
      <c r="H31" s="103"/>
      <c r="I31" s="103"/>
      <c r="J31" s="103"/>
      <c r="K31" s="103"/>
      <c r="L31" s="103"/>
      <c r="M31" s="103"/>
      <c r="N31" s="68"/>
      <c r="O31" s="279"/>
      <c r="P31" s="279"/>
      <c r="Q31" s="279"/>
      <c r="R31" s="279"/>
      <c r="S31" s="277"/>
      <c r="T31" s="339"/>
      <c r="U31" s="380"/>
      <c r="V31" s="339"/>
      <c r="W31" s="381"/>
      <c r="X31" s="381"/>
      <c r="Y31" s="277"/>
      <c r="Z31" s="277"/>
      <c r="AA31" s="277"/>
      <c r="AB31" s="277"/>
      <c r="AC31" s="277"/>
      <c r="AD31" s="277"/>
      <c r="AE31" s="303"/>
      <c r="AF31" s="17"/>
    </row>
    <row r="32" spans="1:32" s="11" customFormat="1" ht="21" customHeight="1">
      <c r="A32" s="45"/>
      <c r="B32" s="46"/>
      <c r="C32" s="36" t="s">
        <v>9</v>
      </c>
      <c r="D32" s="153">
        <v>121355</v>
      </c>
      <c r="E32" s="108">
        <f>ROUND(AD32/1000,0)</f>
        <v>124492</v>
      </c>
      <c r="F32" s="108">
        <f>SUMIF($AB$33:$AB$39,"보조",$AD$33:$AD$39)/1000</f>
        <v>115062</v>
      </c>
      <c r="G32" s="108">
        <f>SUMIF($AB$33:$AB$39,"7종",$AD$33:$AD$39)/1000</f>
        <v>7883</v>
      </c>
      <c r="H32" s="108">
        <f>SUMIF($AB$33:$AB$39,"4종",$AD$33:$AD$39)/1000</f>
        <v>0</v>
      </c>
      <c r="I32" s="108">
        <f>SUMIF($AB$33:$AB$39,"후원",$AD$33:$AD$39)/1000</f>
        <v>1547</v>
      </c>
      <c r="J32" s="108">
        <f>SUMIF($AB$33:$AB$39,"입소",$AD$33:$AD$39)/1000</f>
        <v>0</v>
      </c>
      <c r="K32" s="108">
        <f>SUMIF($AB$33:$AB$39,"법인",$AD$33:$AD$39)/1000</f>
        <v>0</v>
      </c>
      <c r="L32" s="108">
        <f>SUMIF($AB$33:$AB$39,"잡수",$AD$33:$AD$39)/1000</f>
        <v>0</v>
      </c>
      <c r="M32" s="107">
        <f>E32-D32</f>
        <v>3137</v>
      </c>
      <c r="N32" s="115">
        <f>IF(D32=0,0,M32/D32)</f>
        <v>2.5849779572329118E-2</v>
      </c>
      <c r="O32" s="95" t="s">
        <v>35</v>
      </c>
      <c r="P32" s="168"/>
      <c r="Q32" s="147"/>
      <c r="R32" s="91"/>
      <c r="S32" s="91"/>
      <c r="T32" s="87"/>
      <c r="U32" s="87"/>
      <c r="V32" s="87"/>
      <c r="W32" s="274" t="s">
        <v>189</v>
      </c>
      <c r="X32" s="274"/>
      <c r="Y32" s="274"/>
      <c r="Z32" s="274"/>
      <c r="AA32" s="274"/>
      <c r="AB32" s="274"/>
      <c r="AC32" s="171" t="s">
        <v>190</v>
      </c>
      <c r="AD32" s="171">
        <f>SUM(AD33,AD35,AD37)</f>
        <v>124492000</v>
      </c>
      <c r="AE32" s="170" t="s">
        <v>191</v>
      </c>
      <c r="AF32" s="2"/>
    </row>
    <row r="33" spans="1:32" s="11" customFormat="1" ht="21" customHeight="1">
      <c r="A33" s="45"/>
      <c r="B33" s="46"/>
      <c r="C33" s="46"/>
      <c r="D33" s="154"/>
      <c r="E33" s="103"/>
      <c r="F33" s="103"/>
      <c r="G33" s="103"/>
      <c r="H33" s="103"/>
      <c r="I33" s="103"/>
      <c r="J33" s="103"/>
      <c r="K33" s="103"/>
      <c r="L33" s="103"/>
      <c r="M33" s="109"/>
      <c r="N33" s="68"/>
      <c r="O33" s="375" t="s">
        <v>586</v>
      </c>
      <c r="P33" s="279"/>
      <c r="Q33" s="279"/>
      <c r="R33" s="279"/>
      <c r="S33" s="279"/>
      <c r="T33" s="277"/>
      <c r="U33" s="277"/>
      <c r="V33" s="277"/>
      <c r="W33" s="358" t="s">
        <v>226</v>
      </c>
      <c r="X33" s="358"/>
      <c r="Y33" s="358"/>
      <c r="Z33" s="358"/>
      <c r="AA33" s="358"/>
      <c r="AB33" s="358"/>
      <c r="AC33" s="359"/>
      <c r="AD33" s="359">
        <f>ROUNDUP(AD34,-3)</f>
        <v>115062000</v>
      </c>
      <c r="AE33" s="360" t="s">
        <v>220</v>
      </c>
      <c r="AF33" s="2"/>
    </row>
    <row r="34" spans="1:32" s="11" customFormat="1" ht="21" customHeight="1">
      <c r="A34" s="45"/>
      <c r="B34" s="46"/>
      <c r="C34" s="46"/>
      <c r="D34" s="154"/>
      <c r="E34" s="103"/>
      <c r="F34" s="103"/>
      <c r="G34" s="103"/>
      <c r="H34" s="103"/>
      <c r="I34" s="103"/>
      <c r="J34" s="103"/>
      <c r="K34" s="103"/>
      <c r="L34" s="103"/>
      <c r="M34" s="109"/>
      <c r="N34" s="68"/>
      <c r="O34" s="279"/>
      <c r="P34" s="279"/>
      <c r="Q34" s="279"/>
      <c r="R34" s="279"/>
      <c r="S34" s="277">
        <f>SUM(AD9,AD20,AD24,AD28)</f>
        <v>1380737000</v>
      </c>
      <c r="T34" s="336" t="s">
        <v>220</v>
      </c>
      <c r="U34" s="336" t="s">
        <v>233</v>
      </c>
      <c r="V34" s="382">
        <v>12</v>
      </c>
      <c r="W34" s="333" t="s">
        <v>221</v>
      </c>
      <c r="X34" s="277"/>
      <c r="Y34" s="277"/>
      <c r="Z34" s="277"/>
      <c r="AA34" s="277" t="s">
        <v>224</v>
      </c>
      <c r="AB34" s="277" t="s">
        <v>565</v>
      </c>
      <c r="AC34" s="280"/>
      <c r="AD34" s="280">
        <f>ROUNDUP(S34/V34,-3)</f>
        <v>115062000</v>
      </c>
      <c r="AE34" s="303" t="s">
        <v>220</v>
      </c>
      <c r="AF34" s="2"/>
    </row>
    <row r="35" spans="1:32" s="11" customFormat="1" ht="21" customHeight="1">
      <c r="A35" s="45"/>
      <c r="B35" s="46"/>
      <c r="C35" s="46"/>
      <c r="D35" s="154"/>
      <c r="E35" s="103"/>
      <c r="F35" s="103"/>
      <c r="G35" s="103"/>
      <c r="H35" s="103"/>
      <c r="I35" s="103"/>
      <c r="J35" s="103"/>
      <c r="K35" s="103"/>
      <c r="L35" s="103"/>
      <c r="M35" s="109"/>
      <c r="N35" s="68"/>
      <c r="O35" s="375" t="s">
        <v>234</v>
      </c>
      <c r="P35" s="279"/>
      <c r="Q35" s="279"/>
      <c r="R35" s="279"/>
      <c r="S35" s="279"/>
      <c r="T35" s="277"/>
      <c r="U35" s="277"/>
      <c r="V35" s="277"/>
      <c r="W35" s="358" t="s">
        <v>226</v>
      </c>
      <c r="X35" s="358"/>
      <c r="Y35" s="358"/>
      <c r="Z35" s="358"/>
      <c r="AA35" s="358"/>
      <c r="AB35" s="358"/>
      <c r="AC35" s="359" t="s">
        <v>229</v>
      </c>
      <c r="AD35" s="359">
        <f>ROUND(AD36,-3)</f>
        <v>7883000</v>
      </c>
      <c r="AE35" s="360" t="s">
        <v>220</v>
      </c>
      <c r="AF35" s="2"/>
    </row>
    <row r="36" spans="1:32" s="11" customFormat="1" ht="21" customHeight="1">
      <c r="A36" s="45"/>
      <c r="B36" s="46"/>
      <c r="C36" s="46"/>
      <c r="D36" s="154"/>
      <c r="E36" s="103"/>
      <c r="F36" s="103"/>
      <c r="G36" s="103"/>
      <c r="H36" s="103"/>
      <c r="I36" s="103"/>
      <c r="J36" s="103"/>
      <c r="K36" s="103"/>
      <c r="L36" s="103"/>
      <c r="M36" s="109"/>
      <c r="N36" s="68"/>
      <c r="O36" s="279"/>
      <c r="P36" s="279"/>
      <c r="Q36" s="279"/>
      <c r="R36" s="279"/>
      <c r="S36" s="277">
        <f>SUM(AD11,AD21,AD25,AD29)</f>
        <v>94585000</v>
      </c>
      <c r="T36" s="336" t="s">
        <v>220</v>
      </c>
      <c r="U36" s="336" t="s">
        <v>233</v>
      </c>
      <c r="V36" s="382">
        <v>12</v>
      </c>
      <c r="W36" s="333" t="s">
        <v>221</v>
      </c>
      <c r="X36" s="277"/>
      <c r="Y36" s="277"/>
      <c r="Z36" s="277"/>
      <c r="AA36" s="277" t="s">
        <v>224</v>
      </c>
      <c r="AB36" s="277" t="s">
        <v>566</v>
      </c>
      <c r="AC36" s="280"/>
      <c r="AD36" s="280">
        <f>ROUNDUP(S36/V36,-3)</f>
        <v>7883000</v>
      </c>
      <c r="AE36" s="303" t="s">
        <v>220</v>
      </c>
      <c r="AF36" s="2"/>
    </row>
    <row r="37" spans="1:32" s="11" customFormat="1" ht="21" customHeight="1">
      <c r="A37" s="45"/>
      <c r="B37" s="46"/>
      <c r="C37" s="46"/>
      <c r="D37" s="154"/>
      <c r="E37" s="103"/>
      <c r="F37" s="103"/>
      <c r="G37" s="103"/>
      <c r="H37" s="103"/>
      <c r="I37" s="103"/>
      <c r="J37" s="103"/>
      <c r="K37" s="103"/>
      <c r="L37" s="103"/>
      <c r="M37" s="109"/>
      <c r="N37" s="68"/>
      <c r="O37" s="375" t="s">
        <v>235</v>
      </c>
      <c r="P37" s="279"/>
      <c r="Q37" s="279"/>
      <c r="R37" s="279"/>
      <c r="S37" s="279"/>
      <c r="T37" s="277"/>
      <c r="U37" s="277"/>
      <c r="V37" s="277"/>
      <c r="W37" s="358" t="s">
        <v>226</v>
      </c>
      <c r="X37" s="358"/>
      <c r="Y37" s="358"/>
      <c r="Z37" s="358"/>
      <c r="AA37" s="358"/>
      <c r="AB37" s="358"/>
      <c r="AC37" s="359" t="s">
        <v>229</v>
      </c>
      <c r="AD37" s="359">
        <f>SUM(AD38:AD38)</f>
        <v>1547000</v>
      </c>
      <c r="AE37" s="360" t="s">
        <v>220</v>
      </c>
      <c r="AF37" s="2"/>
    </row>
    <row r="38" spans="1:32" s="11" customFormat="1" ht="21" customHeight="1">
      <c r="A38" s="45"/>
      <c r="B38" s="46"/>
      <c r="C38" s="46"/>
      <c r="D38" s="154"/>
      <c r="E38" s="103"/>
      <c r="F38" s="103"/>
      <c r="G38" s="103"/>
      <c r="H38" s="103"/>
      <c r="I38" s="103"/>
      <c r="J38" s="103"/>
      <c r="K38" s="103"/>
      <c r="L38" s="103"/>
      <c r="M38" s="109"/>
      <c r="N38" s="68"/>
      <c r="O38" s="640" t="s">
        <v>839</v>
      </c>
      <c r="P38" s="599"/>
      <c r="Q38" s="599"/>
      <c r="R38" s="599"/>
      <c r="S38" s="598">
        <f>AD30</f>
        <v>18556000</v>
      </c>
      <c r="T38" s="568" t="s">
        <v>677</v>
      </c>
      <c r="U38" s="568" t="s">
        <v>697</v>
      </c>
      <c r="V38" s="605">
        <v>12</v>
      </c>
      <c r="W38" s="389" t="s">
        <v>686</v>
      </c>
      <c r="X38" s="598"/>
      <c r="Y38" s="598"/>
      <c r="Z38" s="598"/>
      <c r="AA38" s="598" t="s">
        <v>681</v>
      </c>
      <c r="AB38" s="666" t="s">
        <v>883</v>
      </c>
      <c r="AC38" s="130"/>
      <c r="AD38" s="130">
        <f>ROUNDUP(S38/V38,-3)</f>
        <v>1547000</v>
      </c>
      <c r="AE38" s="131" t="s">
        <v>677</v>
      </c>
      <c r="AF38" s="2"/>
    </row>
    <row r="39" spans="1:32" s="11" customFormat="1" ht="21" customHeight="1">
      <c r="A39" s="45"/>
      <c r="B39" s="46"/>
      <c r="C39" s="46"/>
      <c r="D39" s="155"/>
      <c r="E39" s="103"/>
      <c r="F39" s="103"/>
      <c r="G39" s="103"/>
      <c r="H39" s="103"/>
      <c r="I39" s="103"/>
      <c r="J39" s="103"/>
      <c r="K39" s="103"/>
      <c r="L39" s="103"/>
      <c r="M39" s="109"/>
      <c r="N39" s="68"/>
      <c r="O39" s="32"/>
      <c r="P39" s="32"/>
      <c r="Q39" s="32"/>
      <c r="R39" s="32"/>
      <c r="S39" s="32"/>
      <c r="T39" s="33"/>
      <c r="U39" s="33"/>
      <c r="V39" s="33"/>
      <c r="W39" s="33"/>
      <c r="X39" s="33"/>
      <c r="Y39" s="33"/>
      <c r="Z39" s="33"/>
      <c r="AA39" s="33"/>
      <c r="AB39" s="33"/>
      <c r="AC39" s="52"/>
      <c r="AD39" s="52"/>
      <c r="AE39" s="34"/>
      <c r="AF39" s="2"/>
    </row>
    <row r="40" spans="1:32" s="11" customFormat="1" ht="21" customHeight="1">
      <c r="A40" s="45"/>
      <c r="B40" s="46"/>
      <c r="C40" s="116" t="s">
        <v>71</v>
      </c>
      <c r="D40" s="153">
        <v>135914</v>
      </c>
      <c r="E40" s="108">
        <f>ROUND(AD40/1000,0)</f>
        <v>141604</v>
      </c>
      <c r="F40" s="108">
        <f>SUMIF($AB$41:$AB$61,"보조",$AD$41:$AD$61)/1000</f>
        <v>132522</v>
      </c>
      <c r="G40" s="108">
        <f>SUMIF($AB$41:$AB$61,"7종",$AD$41:$AD$61)/1000</f>
        <v>9082</v>
      </c>
      <c r="H40" s="108">
        <f>SUMIF($AB$41:$AB$61,"4종",$AD$41:$AD$61)/1000</f>
        <v>0</v>
      </c>
      <c r="I40" s="108">
        <f>SUMIF($AB$41:$AB$61,"후원",$AD$41:$AD$61)/1000</f>
        <v>0</v>
      </c>
      <c r="J40" s="108">
        <f>SUMIF($AB$41:$AB$61,"입소",$AD$41:$AD$61)/1000</f>
        <v>0</v>
      </c>
      <c r="K40" s="108">
        <f>SUMIF($AB$41:$AB$61,"법인",$AD$41:$AD$61)/1000</f>
        <v>0</v>
      </c>
      <c r="L40" s="108">
        <f>SUMIF($AB$41:$AB$61,"잡수",$AD$41:$AD$61)/1000</f>
        <v>0</v>
      </c>
      <c r="M40" s="117">
        <f>E40-D40</f>
        <v>5690</v>
      </c>
      <c r="N40" s="115">
        <f>IF(D40=0,0,M40/D40)</f>
        <v>4.1864708565710673E-2</v>
      </c>
      <c r="O40" s="95" t="s">
        <v>36</v>
      </c>
      <c r="P40" s="168"/>
      <c r="Q40" s="91"/>
      <c r="R40" s="91"/>
      <c r="S40" s="91"/>
      <c r="T40" s="87"/>
      <c r="U40" s="87"/>
      <c r="V40" s="87"/>
      <c r="W40" s="169" t="s">
        <v>125</v>
      </c>
      <c r="X40" s="169"/>
      <c r="Y40" s="169"/>
      <c r="Z40" s="169"/>
      <c r="AA40" s="169"/>
      <c r="AB40" s="169"/>
      <c r="AC40" s="171"/>
      <c r="AD40" s="171">
        <f>SUM(AD42,AD46,AD50,AD54,AD58)</f>
        <v>141604000</v>
      </c>
      <c r="AE40" s="170" t="s">
        <v>25</v>
      </c>
    </row>
    <row r="41" spans="1:32" s="11" customFormat="1" ht="21" customHeight="1">
      <c r="A41" s="45"/>
      <c r="B41" s="46"/>
      <c r="C41" s="46" t="s">
        <v>126</v>
      </c>
      <c r="D41" s="151"/>
      <c r="E41" s="103"/>
      <c r="F41" s="103"/>
      <c r="G41" s="103"/>
      <c r="H41" s="103"/>
      <c r="I41" s="103"/>
      <c r="J41" s="103"/>
      <c r="K41" s="103"/>
      <c r="L41" s="103"/>
      <c r="M41" s="103"/>
      <c r="N41" s="68"/>
      <c r="O41" s="150"/>
      <c r="P41" s="32"/>
      <c r="Q41" s="32"/>
      <c r="R41" s="32"/>
      <c r="S41" s="32"/>
      <c r="T41" s="33"/>
      <c r="U41" s="33"/>
      <c r="V41" s="33"/>
      <c r="W41" s="33"/>
      <c r="X41" s="33"/>
      <c r="Y41" s="33"/>
      <c r="Z41" s="33"/>
      <c r="AA41" s="33"/>
      <c r="AB41" s="33"/>
      <c r="AC41" s="52"/>
      <c r="AD41" s="52"/>
      <c r="AE41" s="34"/>
      <c r="AF41" s="2"/>
    </row>
    <row r="42" spans="1:32" s="11" customFormat="1" ht="21" customHeight="1">
      <c r="A42" s="45"/>
      <c r="B42" s="46"/>
      <c r="C42" s="46"/>
      <c r="D42" s="151"/>
      <c r="E42" s="103"/>
      <c r="F42" s="103"/>
      <c r="G42" s="103"/>
      <c r="H42" s="103"/>
      <c r="I42" s="103"/>
      <c r="J42" s="103"/>
      <c r="K42" s="103"/>
      <c r="L42" s="103"/>
      <c r="M42" s="103"/>
      <c r="N42" s="68"/>
      <c r="O42" s="375" t="s">
        <v>239</v>
      </c>
      <c r="P42" s="279"/>
      <c r="Q42" s="279"/>
      <c r="R42" s="279"/>
      <c r="S42" s="279"/>
      <c r="T42" s="277"/>
      <c r="U42" s="277"/>
      <c r="V42" s="277"/>
      <c r="W42" s="358" t="s">
        <v>226</v>
      </c>
      <c r="X42" s="358"/>
      <c r="Y42" s="358"/>
      <c r="Z42" s="358"/>
      <c r="AA42" s="358"/>
      <c r="AB42" s="358"/>
      <c r="AC42" s="359"/>
      <c r="AD42" s="359">
        <f>ROUND(SUM(AD43:AD44),-3)</f>
        <v>66391000</v>
      </c>
      <c r="AE42" s="360" t="s">
        <v>220</v>
      </c>
      <c r="AF42" s="2"/>
    </row>
    <row r="43" spans="1:32" s="11" customFormat="1" ht="21" customHeight="1">
      <c r="A43" s="45"/>
      <c r="B43" s="46"/>
      <c r="C43" s="46"/>
      <c r="D43" s="151"/>
      <c r="E43" s="103"/>
      <c r="F43" s="103"/>
      <c r="G43" s="103"/>
      <c r="H43" s="103"/>
      <c r="I43" s="103"/>
      <c r="J43" s="103"/>
      <c r="K43" s="103"/>
      <c r="L43" s="103"/>
      <c r="M43" s="103"/>
      <c r="N43" s="68"/>
      <c r="O43" s="279" t="s">
        <v>587</v>
      </c>
      <c r="P43" s="279"/>
      <c r="Q43" s="279"/>
      <c r="R43" s="279"/>
      <c r="S43" s="277">
        <f>S34</f>
        <v>1380737000</v>
      </c>
      <c r="T43" s="336" t="s">
        <v>220</v>
      </c>
      <c r="U43" s="333" t="s">
        <v>223</v>
      </c>
      <c r="V43" s="383">
        <v>0.09</v>
      </c>
      <c r="W43" s="336" t="s">
        <v>233</v>
      </c>
      <c r="X43" s="384">
        <v>2</v>
      </c>
      <c r="Y43" s="338"/>
      <c r="Z43" s="338"/>
      <c r="AA43" s="336" t="s">
        <v>224</v>
      </c>
      <c r="AB43" s="277" t="s">
        <v>565</v>
      </c>
      <c r="AC43" s="280"/>
      <c r="AD43" s="280">
        <f>ROUNDUP(S43*V43/X43,-3)</f>
        <v>62134000</v>
      </c>
      <c r="AE43" s="303" t="s">
        <v>220</v>
      </c>
      <c r="AF43" s="2"/>
    </row>
    <row r="44" spans="1:32" s="11" customFormat="1" ht="21" customHeight="1">
      <c r="A44" s="45"/>
      <c r="B44" s="46"/>
      <c r="C44" s="46"/>
      <c r="D44" s="151"/>
      <c r="E44" s="103"/>
      <c r="F44" s="103"/>
      <c r="G44" s="103"/>
      <c r="H44" s="103"/>
      <c r="I44" s="103"/>
      <c r="J44" s="103"/>
      <c r="K44" s="103"/>
      <c r="L44" s="103"/>
      <c r="M44" s="103"/>
      <c r="N44" s="68"/>
      <c r="O44" s="279" t="s">
        <v>240</v>
      </c>
      <c r="P44" s="279"/>
      <c r="Q44" s="279"/>
      <c r="R44" s="279"/>
      <c r="S44" s="277">
        <f>S36</f>
        <v>94585000</v>
      </c>
      <c r="T44" s="336" t="s">
        <v>220</v>
      </c>
      <c r="U44" s="333" t="s">
        <v>223</v>
      </c>
      <c r="V44" s="383">
        <v>0.09</v>
      </c>
      <c r="W44" s="336" t="s">
        <v>233</v>
      </c>
      <c r="X44" s="384">
        <v>2</v>
      </c>
      <c r="Y44" s="338"/>
      <c r="Z44" s="338"/>
      <c r="AA44" s="336" t="s">
        <v>224</v>
      </c>
      <c r="AB44" s="277" t="s">
        <v>566</v>
      </c>
      <c r="AC44" s="280"/>
      <c r="AD44" s="280">
        <f>ROUNDUP(S44*V44/X44,-3)</f>
        <v>4257000</v>
      </c>
      <c r="AE44" s="303" t="s">
        <v>220</v>
      </c>
      <c r="AF44" s="2"/>
    </row>
    <row r="45" spans="1:32" s="11" customFormat="1" ht="21" customHeight="1">
      <c r="A45" s="45"/>
      <c r="B45" s="46"/>
      <c r="C45" s="46"/>
      <c r="D45" s="151"/>
      <c r="E45" s="103"/>
      <c r="F45" s="103"/>
      <c r="G45" s="103"/>
      <c r="H45" s="103"/>
      <c r="I45" s="103"/>
      <c r="J45" s="103"/>
      <c r="K45" s="103"/>
      <c r="L45" s="103"/>
      <c r="M45" s="103"/>
      <c r="N45" s="68"/>
      <c r="O45" s="279"/>
      <c r="P45" s="279"/>
      <c r="Q45" s="279"/>
      <c r="R45" s="279"/>
      <c r="S45" s="279"/>
      <c r="T45" s="277"/>
      <c r="U45" s="277"/>
      <c r="V45" s="277"/>
      <c r="W45" s="277"/>
      <c r="X45" s="277"/>
      <c r="Y45" s="277"/>
      <c r="Z45" s="277"/>
      <c r="AA45" s="277"/>
      <c r="AB45" s="277"/>
      <c r="AC45" s="280"/>
      <c r="AD45" s="280"/>
      <c r="AE45" s="303"/>
      <c r="AF45" s="2"/>
    </row>
    <row r="46" spans="1:32" s="11" customFormat="1" ht="21" customHeight="1">
      <c r="A46" s="45"/>
      <c r="B46" s="46"/>
      <c r="C46" s="46"/>
      <c r="D46" s="151"/>
      <c r="E46" s="103"/>
      <c r="F46" s="103"/>
      <c r="G46" s="103"/>
      <c r="H46" s="103"/>
      <c r="I46" s="103"/>
      <c r="J46" s="103"/>
      <c r="K46" s="103"/>
      <c r="L46" s="103"/>
      <c r="M46" s="103"/>
      <c r="N46" s="68"/>
      <c r="O46" s="375" t="s">
        <v>242</v>
      </c>
      <c r="P46" s="279"/>
      <c r="Q46" s="279"/>
      <c r="R46" s="279"/>
      <c r="S46" s="279"/>
      <c r="T46" s="277"/>
      <c r="U46" s="277"/>
      <c r="V46" s="277"/>
      <c r="W46" s="358" t="s">
        <v>225</v>
      </c>
      <c r="X46" s="358"/>
      <c r="Y46" s="358"/>
      <c r="Z46" s="358"/>
      <c r="AA46" s="358"/>
      <c r="AB46" s="358"/>
      <c r="AC46" s="359" t="s">
        <v>238</v>
      </c>
      <c r="AD46" s="359">
        <f>ROUND(SUM(AD47:AD48),-3)</f>
        <v>47654000</v>
      </c>
      <c r="AE46" s="360" t="s">
        <v>222</v>
      </c>
      <c r="AF46" s="2"/>
    </row>
    <row r="47" spans="1:32" s="11" customFormat="1" ht="21" customHeight="1">
      <c r="A47" s="45"/>
      <c r="B47" s="46"/>
      <c r="C47" s="46"/>
      <c r="D47" s="151"/>
      <c r="E47" s="103"/>
      <c r="F47" s="103"/>
      <c r="G47" s="103"/>
      <c r="H47" s="103"/>
      <c r="I47" s="103"/>
      <c r="J47" s="103"/>
      <c r="K47" s="103"/>
      <c r="L47" s="103"/>
      <c r="M47" s="103"/>
      <c r="N47" s="68"/>
      <c r="O47" s="279" t="s">
        <v>587</v>
      </c>
      <c r="P47" s="279"/>
      <c r="Q47" s="279"/>
      <c r="R47" s="279"/>
      <c r="S47" s="277">
        <f>S43</f>
        <v>1380737000</v>
      </c>
      <c r="T47" s="336" t="s">
        <v>222</v>
      </c>
      <c r="U47" s="333" t="s">
        <v>241</v>
      </c>
      <c r="V47" s="385">
        <v>6.4600000000000005E-2</v>
      </c>
      <c r="W47" s="336" t="s">
        <v>236</v>
      </c>
      <c r="X47" s="386">
        <v>2</v>
      </c>
      <c r="Y47" s="338"/>
      <c r="Z47" s="338"/>
      <c r="AA47" s="336" t="s">
        <v>237</v>
      </c>
      <c r="AB47" s="277" t="s">
        <v>565</v>
      </c>
      <c r="AC47" s="280"/>
      <c r="AD47" s="280">
        <f>ROUND(S47*V47/X47,-3)</f>
        <v>44598000</v>
      </c>
      <c r="AE47" s="303" t="s">
        <v>222</v>
      </c>
      <c r="AF47" s="2"/>
    </row>
    <row r="48" spans="1:32" s="11" customFormat="1" ht="21" customHeight="1">
      <c r="A48" s="45"/>
      <c r="B48" s="46"/>
      <c r="C48" s="46"/>
      <c r="D48" s="151"/>
      <c r="E48" s="103"/>
      <c r="F48" s="103"/>
      <c r="G48" s="103"/>
      <c r="H48" s="103"/>
      <c r="I48" s="103"/>
      <c r="J48" s="103"/>
      <c r="K48" s="103"/>
      <c r="L48" s="103"/>
      <c r="M48" s="103"/>
      <c r="N48" s="68"/>
      <c r="O48" s="279" t="s">
        <v>243</v>
      </c>
      <c r="P48" s="279"/>
      <c r="Q48" s="279"/>
      <c r="R48" s="279"/>
      <c r="S48" s="277">
        <f>S44</f>
        <v>94585000</v>
      </c>
      <c r="T48" s="277" t="s">
        <v>25</v>
      </c>
      <c r="U48" s="336" t="s">
        <v>26</v>
      </c>
      <c r="V48" s="385">
        <v>6.4600000000000005E-2</v>
      </c>
      <c r="W48" s="277" t="s">
        <v>133</v>
      </c>
      <c r="X48" s="336">
        <v>2</v>
      </c>
      <c r="Y48" s="277"/>
      <c r="Z48" s="277"/>
      <c r="AA48" s="277" t="s">
        <v>27</v>
      </c>
      <c r="AB48" s="277" t="s">
        <v>566</v>
      </c>
      <c r="AC48" s="280"/>
      <c r="AD48" s="280">
        <f>ROUNDUP(S48*V48/X48,-3)</f>
        <v>3056000</v>
      </c>
      <c r="AE48" s="303" t="s">
        <v>222</v>
      </c>
      <c r="AF48" s="2"/>
    </row>
    <row r="49" spans="1:32" s="11" customFormat="1" ht="21" customHeight="1">
      <c r="A49" s="45"/>
      <c r="B49" s="46"/>
      <c r="C49" s="46"/>
      <c r="D49" s="151"/>
      <c r="E49" s="103"/>
      <c r="F49" s="103"/>
      <c r="G49" s="103"/>
      <c r="H49" s="103"/>
      <c r="I49" s="103"/>
      <c r="J49" s="103"/>
      <c r="K49" s="103"/>
      <c r="L49" s="103"/>
      <c r="M49" s="103"/>
      <c r="N49" s="68"/>
      <c r="O49" s="279"/>
      <c r="P49" s="279"/>
      <c r="Q49" s="279"/>
      <c r="R49" s="279"/>
      <c r="S49" s="279"/>
      <c r="T49" s="277"/>
      <c r="U49" s="277"/>
      <c r="V49" s="277"/>
      <c r="W49" s="277"/>
      <c r="X49" s="277"/>
      <c r="Y49" s="277"/>
      <c r="Z49" s="277"/>
      <c r="AA49" s="277"/>
      <c r="AB49" s="277"/>
      <c r="AC49" s="280"/>
      <c r="AD49" s="280"/>
      <c r="AE49" s="303"/>
      <c r="AF49" s="2"/>
    </row>
    <row r="50" spans="1:32" s="11" customFormat="1" ht="21" customHeight="1">
      <c r="A50" s="45"/>
      <c r="B50" s="46"/>
      <c r="C50" s="46"/>
      <c r="D50" s="151"/>
      <c r="E50" s="103"/>
      <c r="F50" s="103"/>
      <c r="G50" s="103"/>
      <c r="H50" s="103"/>
      <c r="I50" s="103"/>
      <c r="J50" s="103"/>
      <c r="K50" s="103"/>
      <c r="L50" s="103"/>
      <c r="M50" s="103"/>
      <c r="N50" s="68"/>
      <c r="O50" s="375" t="s">
        <v>244</v>
      </c>
      <c r="P50" s="279"/>
      <c r="Q50" s="279"/>
      <c r="R50" s="279"/>
      <c r="S50" s="279"/>
      <c r="T50" s="277"/>
      <c r="U50" s="277"/>
      <c r="V50" s="277"/>
      <c r="W50" s="358" t="s">
        <v>225</v>
      </c>
      <c r="X50" s="358"/>
      <c r="Y50" s="358"/>
      <c r="Z50" s="358"/>
      <c r="AA50" s="358"/>
      <c r="AB50" s="358"/>
      <c r="AC50" s="359" t="s">
        <v>238</v>
      </c>
      <c r="AD50" s="359">
        <f>ROUND(SUM(AD51:AD52),-3)</f>
        <v>4056000</v>
      </c>
      <c r="AE50" s="360" t="s">
        <v>222</v>
      </c>
      <c r="AF50" s="2"/>
    </row>
    <row r="51" spans="1:32" s="11" customFormat="1" ht="21" customHeight="1">
      <c r="A51" s="45"/>
      <c r="B51" s="46"/>
      <c r="C51" s="46"/>
      <c r="D51" s="151"/>
      <c r="E51" s="103"/>
      <c r="F51" s="103"/>
      <c r="G51" s="103"/>
      <c r="H51" s="103"/>
      <c r="I51" s="103"/>
      <c r="J51" s="103"/>
      <c r="K51" s="103"/>
      <c r="L51" s="103"/>
      <c r="M51" s="103"/>
      <c r="N51" s="68"/>
      <c r="O51" s="279" t="s">
        <v>301</v>
      </c>
      <c r="P51" s="279"/>
      <c r="Q51" s="279"/>
      <c r="R51" s="279"/>
      <c r="S51" s="387">
        <f>AD47</f>
        <v>44598000</v>
      </c>
      <c r="T51" s="336" t="s">
        <v>222</v>
      </c>
      <c r="U51" s="333" t="s">
        <v>241</v>
      </c>
      <c r="V51" s="385">
        <v>8.5099999999999995E-2</v>
      </c>
      <c r="W51" s="333"/>
      <c r="X51" s="337"/>
      <c r="Y51" s="338"/>
      <c r="Z51" s="338"/>
      <c r="AA51" s="336" t="s">
        <v>237</v>
      </c>
      <c r="AB51" s="277" t="s">
        <v>565</v>
      </c>
      <c r="AC51" s="280"/>
      <c r="AD51" s="280">
        <f>ROUND(S51*V51,-3)</f>
        <v>3795000</v>
      </c>
      <c r="AE51" s="303" t="s">
        <v>222</v>
      </c>
      <c r="AF51" s="2"/>
    </row>
    <row r="52" spans="1:32" s="11" customFormat="1" ht="21" customHeight="1">
      <c r="A52" s="45"/>
      <c r="B52" s="46"/>
      <c r="C52" s="46"/>
      <c r="D52" s="151"/>
      <c r="E52" s="103"/>
      <c r="F52" s="103"/>
      <c r="G52" s="103"/>
      <c r="H52" s="103"/>
      <c r="I52" s="103"/>
      <c r="J52" s="103"/>
      <c r="K52" s="103"/>
      <c r="L52" s="103"/>
      <c r="M52" s="103"/>
      <c r="N52" s="68"/>
      <c r="O52" s="279" t="s">
        <v>243</v>
      </c>
      <c r="P52" s="279"/>
      <c r="Q52" s="279"/>
      <c r="R52" s="279"/>
      <c r="S52" s="387">
        <f>AD48</f>
        <v>3056000</v>
      </c>
      <c r="T52" s="336" t="s">
        <v>222</v>
      </c>
      <c r="U52" s="333" t="s">
        <v>241</v>
      </c>
      <c r="V52" s="385">
        <v>8.5099999999999995E-2</v>
      </c>
      <c r="W52" s="333"/>
      <c r="X52" s="337"/>
      <c r="Y52" s="338"/>
      <c r="Z52" s="338"/>
      <c r="AA52" s="336" t="s">
        <v>237</v>
      </c>
      <c r="AB52" s="277" t="s">
        <v>566</v>
      </c>
      <c r="AC52" s="280"/>
      <c r="AD52" s="280">
        <f>ROUNDUP(S52*V52,-3)</f>
        <v>261000</v>
      </c>
      <c r="AE52" s="303" t="s">
        <v>222</v>
      </c>
      <c r="AF52" s="2"/>
    </row>
    <row r="53" spans="1:32" s="11" customFormat="1" ht="21" customHeight="1">
      <c r="A53" s="45"/>
      <c r="B53" s="46"/>
      <c r="C53" s="46"/>
      <c r="D53" s="151"/>
      <c r="E53" s="103"/>
      <c r="F53" s="103"/>
      <c r="G53" s="103"/>
      <c r="H53" s="103"/>
      <c r="I53" s="103"/>
      <c r="J53" s="103"/>
      <c r="K53" s="103"/>
      <c r="L53" s="103"/>
      <c r="M53" s="103"/>
      <c r="N53" s="68"/>
      <c r="O53" s="279"/>
      <c r="P53" s="279"/>
      <c r="Q53" s="279"/>
      <c r="R53" s="279"/>
      <c r="S53" s="279"/>
      <c r="T53" s="277"/>
      <c r="U53" s="277"/>
      <c r="V53" s="277"/>
      <c r="W53" s="277"/>
      <c r="X53" s="277"/>
      <c r="Y53" s="277"/>
      <c r="Z53" s="277"/>
      <c r="AA53" s="277"/>
      <c r="AB53" s="277"/>
      <c r="AC53" s="280"/>
      <c r="AD53" s="280"/>
      <c r="AE53" s="303"/>
      <c r="AF53" s="2"/>
    </row>
    <row r="54" spans="1:32" s="11" customFormat="1" ht="21" customHeight="1">
      <c r="A54" s="45"/>
      <c r="B54" s="46"/>
      <c r="C54" s="46"/>
      <c r="D54" s="151"/>
      <c r="E54" s="103"/>
      <c r="F54" s="103"/>
      <c r="G54" s="103"/>
      <c r="H54" s="103"/>
      <c r="I54" s="103"/>
      <c r="J54" s="103"/>
      <c r="K54" s="103"/>
      <c r="L54" s="103"/>
      <c r="M54" s="103"/>
      <c r="N54" s="68"/>
      <c r="O54" s="375" t="s">
        <v>245</v>
      </c>
      <c r="P54" s="279"/>
      <c r="Q54" s="279"/>
      <c r="R54" s="279"/>
      <c r="S54" s="279"/>
      <c r="T54" s="277"/>
      <c r="U54" s="277"/>
      <c r="V54" s="277"/>
      <c r="W54" s="358" t="s">
        <v>225</v>
      </c>
      <c r="X54" s="358"/>
      <c r="Y54" s="358"/>
      <c r="Z54" s="358"/>
      <c r="AA54" s="358"/>
      <c r="AB54" s="358"/>
      <c r="AC54" s="359" t="s">
        <v>238</v>
      </c>
      <c r="AD54" s="359">
        <f>ROUND(SUM(AD55:AD56),-3)</f>
        <v>13279000</v>
      </c>
      <c r="AE54" s="360" t="s">
        <v>222</v>
      </c>
      <c r="AF54" s="2"/>
    </row>
    <row r="55" spans="1:32" s="11" customFormat="1" ht="21" customHeight="1">
      <c r="A55" s="45"/>
      <c r="B55" s="46"/>
      <c r="C55" s="46"/>
      <c r="D55" s="151"/>
      <c r="E55" s="103"/>
      <c r="F55" s="103"/>
      <c r="G55" s="103"/>
      <c r="H55" s="103"/>
      <c r="I55" s="103"/>
      <c r="J55" s="103"/>
      <c r="K55" s="103"/>
      <c r="L55" s="103"/>
      <c r="M55" s="103"/>
      <c r="N55" s="68"/>
      <c r="O55" s="279" t="s">
        <v>301</v>
      </c>
      <c r="P55" s="279"/>
      <c r="Q55" s="279"/>
      <c r="R55" s="279"/>
      <c r="S55" s="277">
        <f>S47</f>
        <v>1380737000</v>
      </c>
      <c r="T55" s="336" t="s">
        <v>222</v>
      </c>
      <c r="U55" s="333" t="s">
        <v>241</v>
      </c>
      <c r="V55" s="385">
        <v>8.9999999999999993E-3</v>
      </c>
      <c r="W55" s="333"/>
      <c r="X55" s="337"/>
      <c r="Y55" s="338"/>
      <c r="Z55" s="338"/>
      <c r="AA55" s="336" t="s">
        <v>237</v>
      </c>
      <c r="AB55" s="277" t="s">
        <v>565</v>
      </c>
      <c r="AC55" s="280"/>
      <c r="AD55" s="280">
        <f>ROUNDUP(S55*V55,-3)</f>
        <v>12427000</v>
      </c>
      <c r="AE55" s="303" t="s">
        <v>222</v>
      </c>
      <c r="AF55" s="2"/>
    </row>
    <row r="56" spans="1:32" s="11" customFormat="1" ht="21" customHeight="1">
      <c r="A56" s="45"/>
      <c r="B56" s="46"/>
      <c r="C56" s="46"/>
      <c r="D56" s="151"/>
      <c r="E56" s="103"/>
      <c r="F56" s="103"/>
      <c r="G56" s="103"/>
      <c r="H56" s="103"/>
      <c r="I56" s="103"/>
      <c r="J56" s="103"/>
      <c r="K56" s="103"/>
      <c r="L56" s="103"/>
      <c r="M56" s="103"/>
      <c r="N56" s="68"/>
      <c r="O56" s="279" t="s">
        <v>243</v>
      </c>
      <c r="P56" s="279"/>
      <c r="Q56" s="279"/>
      <c r="R56" s="279"/>
      <c r="S56" s="277">
        <f>S48</f>
        <v>94585000</v>
      </c>
      <c r="T56" s="336" t="s">
        <v>222</v>
      </c>
      <c r="U56" s="333" t="s">
        <v>241</v>
      </c>
      <c r="V56" s="385">
        <v>8.9999999999999993E-3</v>
      </c>
      <c r="W56" s="333"/>
      <c r="X56" s="337"/>
      <c r="Y56" s="338"/>
      <c r="Z56" s="338"/>
      <c r="AA56" s="336" t="s">
        <v>237</v>
      </c>
      <c r="AB56" s="277" t="s">
        <v>566</v>
      </c>
      <c r="AC56" s="280"/>
      <c r="AD56" s="280">
        <f>ROUNDUP(S56*V56,-3)</f>
        <v>852000</v>
      </c>
      <c r="AE56" s="303" t="s">
        <v>222</v>
      </c>
      <c r="AF56" s="2"/>
    </row>
    <row r="57" spans="1:32" s="11" customFormat="1" ht="21" customHeight="1">
      <c r="A57" s="45"/>
      <c r="B57" s="46"/>
      <c r="C57" s="46"/>
      <c r="D57" s="151"/>
      <c r="E57" s="103"/>
      <c r="F57" s="103"/>
      <c r="G57" s="103"/>
      <c r="H57" s="103"/>
      <c r="I57" s="103"/>
      <c r="J57" s="103"/>
      <c r="K57" s="103"/>
      <c r="L57" s="103"/>
      <c r="M57" s="103"/>
      <c r="N57" s="68"/>
      <c r="O57" s="279"/>
      <c r="P57" s="279"/>
      <c r="Q57" s="279"/>
      <c r="R57" s="279"/>
      <c r="S57" s="279"/>
      <c r="T57" s="277"/>
      <c r="U57" s="277"/>
      <c r="V57" s="277"/>
      <c r="W57" s="277"/>
      <c r="X57" s="277"/>
      <c r="Y57" s="277"/>
      <c r="Z57" s="277"/>
      <c r="AA57" s="277"/>
      <c r="AB57" s="277"/>
      <c r="AC57" s="280"/>
      <c r="AD57" s="280"/>
      <c r="AE57" s="303"/>
      <c r="AF57" s="2"/>
    </row>
    <row r="58" spans="1:32" s="11" customFormat="1" ht="21" customHeight="1">
      <c r="A58" s="45"/>
      <c r="B58" s="46"/>
      <c r="C58" s="46"/>
      <c r="D58" s="151"/>
      <c r="E58" s="103"/>
      <c r="F58" s="103"/>
      <c r="G58" s="103"/>
      <c r="H58" s="103"/>
      <c r="I58" s="103"/>
      <c r="J58" s="103"/>
      <c r="K58" s="103"/>
      <c r="L58" s="103"/>
      <c r="M58" s="103"/>
      <c r="N58" s="68"/>
      <c r="O58" s="375" t="s">
        <v>246</v>
      </c>
      <c r="P58" s="279"/>
      <c r="Q58" s="279"/>
      <c r="R58" s="279"/>
      <c r="S58" s="279"/>
      <c r="T58" s="277"/>
      <c r="U58" s="277"/>
      <c r="V58" s="277"/>
      <c r="W58" s="358" t="s">
        <v>225</v>
      </c>
      <c r="X58" s="358"/>
      <c r="Y58" s="358"/>
      <c r="Z58" s="358"/>
      <c r="AA58" s="358"/>
      <c r="AB58" s="358"/>
      <c r="AC58" s="359" t="s">
        <v>238</v>
      </c>
      <c r="AD58" s="359">
        <f>ROUND(SUM(AD59:AD60),-3)</f>
        <v>10224000</v>
      </c>
      <c r="AE58" s="360" t="s">
        <v>222</v>
      </c>
      <c r="AF58" s="2"/>
    </row>
    <row r="59" spans="1:32" s="11" customFormat="1" ht="21" customHeight="1">
      <c r="A59" s="45"/>
      <c r="B59" s="46"/>
      <c r="C59" s="46"/>
      <c r="D59" s="151"/>
      <c r="E59" s="103"/>
      <c r="F59" s="103"/>
      <c r="G59" s="103"/>
      <c r="H59" s="103"/>
      <c r="I59" s="103"/>
      <c r="J59" s="103"/>
      <c r="K59" s="103"/>
      <c r="L59" s="103"/>
      <c r="M59" s="103"/>
      <c r="N59" s="68"/>
      <c r="O59" s="279" t="s">
        <v>301</v>
      </c>
      <c r="P59" s="279"/>
      <c r="Q59" s="279"/>
      <c r="R59" s="279"/>
      <c r="S59" s="277">
        <f>S55</f>
        <v>1380737000</v>
      </c>
      <c r="T59" s="336" t="s">
        <v>222</v>
      </c>
      <c r="U59" s="333" t="s">
        <v>241</v>
      </c>
      <c r="V59" s="388">
        <v>6.9300000000000004E-3</v>
      </c>
      <c r="W59" s="333"/>
      <c r="X59" s="337"/>
      <c r="Y59" s="338"/>
      <c r="Z59" s="338"/>
      <c r="AA59" s="336" t="s">
        <v>237</v>
      </c>
      <c r="AB59" s="277" t="s">
        <v>565</v>
      </c>
      <c r="AC59" s="280"/>
      <c r="AD59" s="280">
        <f>ROUNDDOWN(S59*V59,-3)</f>
        <v>9568000</v>
      </c>
      <c r="AE59" s="303" t="s">
        <v>222</v>
      </c>
      <c r="AF59" s="2"/>
    </row>
    <row r="60" spans="1:32" s="11" customFormat="1" ht="21" customHeight="1">
      <c r="A60" s="45"/>
      <c r="B60" s="46"/>
      <c r="C60" s="46"/>
      <c r="D60" s="151"/>
      <c r="E60" s="103"/>
      <c r="F60" s="103"/>
      <c r="G60" s="103"/>
      <c r="H60" s="103"/>
      <c r="I60" s="103"/>
      <c r="J60" s="103"/>
      <c r="K60" s="103"/>
      <c r="L60" s="103"/>
      <c r="M60" s="103"/>
      <c r="N60" s="68"/>
      <c r="O60" s="279" t="s">
        <v>243</v>
      </c>
      <c r="P60" s="279"/>
      <c r="Q60" s="279"/>
      <c r="R60" s="279"/>
      <c r="S60" s="277">
        <f>S56</f>
        <v>94585000</v>
      </c>
      <c r="T60" s="336" t="s">
        <v>222</v>
      </c>
      <c r="U60" s="333" t="s">
        <v>241</v>
      </c>
      <c r="V60" s="388">
        <v>6.9300000000000004E-3</v>
      </c>
      <c r="W60" s="333"/>
      <c r="X60" s="337"/>
      <c r="Y60" s="338"/>
      <c r="Z60" s="338"/>
      <c r="AA60" s="336" t="s">
        <v>237</v>
      </c>
      <c r="AB60" s="277" t="s">
        <v>566</v>
      </c>
      <c r="AC60" s="280"/>
      <c r="AD60" s="280">
        <f>ROUNDUP(S60*V60,-3)</f>
        <v>656000</v>
      </c>
      <c r="AE60" s="303" t="s">
        <v>222</v>
      </c>
      <c r="AF60" s="2"/>
    </row>
    <row r="61" spans="1:32" s="11" customFormat="1" ht="21" customHeight="1">
      <c r="A61" s="45"/>
      <c r="B61" s="46"/>
      <c r="C61" s="46"/>
      <c r="D61" s="151"/>
      <c r="E61" s="103"/>
      <c r="F61" s="103"/>
      <c r="G61" s="103"/>
      <c r="H61" s="103"/>
      <c r="I61" s="103"/>
      <c r="J61" s="103"/>
      <c r="K61" s="103"/>
      <c r="L61" s="103"/>
      <c r="M61" s="103"/>
      <c r="N61" s="68"/>
      <c r="O61" s="279"/>
      <c r="P61" s="279"/>
      <c r="Q61" s="279"/>
      <c r="R61" s="279"/>
      <c r="S61" s="279"/>
      <c r="T61" s="277"/>
      <c r="U61" s="277"/>
      <c r="V61" s="277"/>
      <c r="W61" s="277"/>
      <c r="X61" s="277"/>
      <c r="Y61" s="277"/>
      <c r="Z61" s="277"/>
      <c r="AA61" s="277"/>
      <c r="AB61" s="277"/>
      <c r="AC61" s="280"/>
      <c r="AD61" s="280"/>
      <c r="AE61" s="303"/>
      <c r="AF61" s="2"/>
    </row>
    <row r="62" spans="1:32" s="11" customFormat="1" ht="21" customHeight="1">
      <c r="A62" s="45"/>
      <c r="B62" s="46"/>
      <c r="C62" s="36" t="s">
        <v>72</v>
      </c>
      <c r="D62" s="153">
        <v>23367</v>
      </c>
      <c r="E62" s="108">
        <f>ROUND(AD62/1000,0)</f>
        <v>23876</v>
      </c>
      <c r="F62" s="108">
        <f>SUMIF($AB$63:$AB$76,"보조",$AD$63:$AD$76)/1000</f>
        <v>0</v>
      </c>
      <c r="G62" s="108">
        <f>SUMIF($AB$63:$AB$76,"7종",$AD$63:$AD$76)/1000</f>
        <v>6000</v>
      </c>
      <c r="H62" s="108">
        <f>SUMIF($AB$63:$AB$76,"4종",$AD$63:$AD$76)/1000</f>
        <v>0</v>
      </c>
      <c r="I62" s="108">
        <f>SUMIF($AB$63:$AB$76,"후원",$AD$63:$AD$76)/1000</f>
        <v>5356</v>
      </c>
      <c r="J62" s="108">
        <f>SUMIF($AB$63:$AB$76,"입소",$AD$63:$AD$76)/1000</f>
        <v>0</v>
      </c>
      <c r="K62" s="108">
        <f>SUMIF($AB$63:$AB$76,"법인",$AD$63:$AD$76)/1000</f>
        <v>9180</v>
      </c>
      <c r="L62" s="108">
        <f>SUMIF($AB$63:$AB$76,"잡수",$AD$63:$AD$76)/1000</f>
        <v>3340</v>
      </c>
      <c r="M62" s="107">
        <f>E62-D62</f>
        <v>509</v>
      </c>
      <c r="N62" s="115">
        <f>IF(D62=0,0,M62/D62)</f>
        <v>2.1782856164676682E-2</v>
      </c>
      <c r="O62" s="95" t="s">
        <v>73</v>
      </c>
      <c r="P62" s="168"/>
      <c r="Q62" s="91"/>
      <c r="R62" s="91"/>
      <c r="S62" s="91"/>
      <c r="T62" s="87"/>
      <c r="U62" s="87"/>
      <c r="V62" s="87"/>
      <c r="W62" s="169" t="s">
        <v>125</v>
      </c>
      <c r="X62" s="169"/>
      <c r="Y62" s="169"/>
      <c r="Z62" s="169"/>
      <c r="AA62" s="169"/>
      <c r="AB62" s="169"/>
      <c r="AC62" s="171"/>
      <c r="AD62" s="171">
        <f>SUM(AD63:AD76)</f>
        <v>23876000</v>
      </c>
      <c r="AE62" s="170" t="s">
        <v>25</v>
      </c>
      <c r="AF62" s="21"/>
    </row>
    <row r="63" spans="1:32" s="11" customFormat="1" ht="21" customHeight="1">
      <c r="A63" s="45"/>
      <c r="B63" s="46"/>
      <c r="C63" s="46" t="s">
        <v>128</v>
      </c>
      <c r="D63" s="151"/>
      <c r="E63" s="103"/>
      <c r="F63" s="103"/>
      <c r="G63" s="103"/>
      <c r="H63" s="103"/>
      <c r="I63" s="103"/>
      <c r="J63" s="103"/>
      <c r="K63" s="103"/>
      <c r="L63" s="103"/>
      <c r="M63" s="103"/>
      <c r="N63" s="68"/>
      <c r="O63" s="377" t="s">
        <v>247</v>
      </c>
      <c r="P63" s="377"/>
      <c r="Q63" s="376"/>
      <c r="R63" s="376"/>
      <c r="S63" s="376">
        <v>20000</v>
      </c>
      <c r="T63" s="376" t="s">
        <v>248</v>
      </c>
      <c r="U63" s="389" t="s">
        <v>249</v>
      </c>
      <c r="V63" s="376">
        <v>39</v>
      </c>
      <c r="W63" s="376" t="s">
        <v>250</v>
      </c>
      <c r="X63" s="376"/>
      <c r="Y63" s="376"/>
      <c r="Z63" s="376"/>
      <c r="AA63" s="376" t="s">
        <v>251</v>
      </c>
      <c r="AB63" s="376" t="s">
        <v>252</v>
      </c>
      <c r="AC63" s="130"/>
      <c r="AD63" s="130">
        <f>S63*V63</f>
        <v>780000</v>
      </c>
      <c r="AE63" s="131" t="s">
        <v>56</v>
      </c>
      <c r="AF63" s="614"/>
    </row>
    <row r="64" spans="1:32" s="11" customFormat="1" ht="21" customHeight="1">
      <c r="A64" s="45"/>
      <c r="B64" s="46"/>
      <c r="C64" s="46"/>
      <c r="D64" s="151"/>
      <c r="E64" s="103"/>
      <c r="F64" s="103"/>
      <c r="G64" s="103"/>
      <c r="H64" s="103"/>
      <c r="I64" s="103"/>
      <c r="J64" s="103"/>
      <c r="K64" s="103"/>
      <c r="L64" s="103"/>
      <c r="M64" s="103"/>
      <c r="N64" s="68"/>
      <c r="O64" s="599" t="s">
        <v>689</v>
      </c>
      <c r="P64" s="599"/>
      <c r="Q64" s="598"/>
      <c r="R64" s="598"/>
      <c r="S64" s="598">
        <v>30000</v>
      </c>
      <c r="T64" s="598" t="s">
        <v>56</v>
      </c>
      <c r="U64" s="389" t="s">
        <v>57</v>
      </c>
      <c r="V64" s="598">
        <v>39</v>
      </c>
      <c r="W64" s="598" t="s">
        <v>55</v>
      </c>
      <c r="X64" s="389" t="s">
        <v>57</v>
      </c>
      <c r="Y64" s="598">
        <v>2</v>
      </c>
      <c r="Z64" s="598" t="s">
        <v>66</v>
      </c>
      <c r="AA64" s="598" t="s">
        <v>53</v>
      </c>
      <c r="AB64" s="598" t="s">
        <v>698</v>
      </c>
      <c r="AC64" s="130"/>
      <c r="AD64" s="598">
        <f>S64*V64*Y64</f>
        <v>2340000</v>
      </c>
      <c r="AE64" s="131" t="s">
        <v>56</v>
      </c>
      <c r="AF64" s="614"/>
    </row>
    <row r="65" spans="1:32" s="11" customFormat="1" ht="21" customHeight="1">
      <c r="A65" s="45"/>
      <c r="B65" s="46"/>
      <c r="C65" s="46"/>
      <c r="D65" s="151"/>
      <c r="E65" s="103"/>
      <c r="F65" s="103"/>
      <c r="G65" s="103"/>
      <c r="H65" s="103"/>
      <c r="I65" s="103"/>
      <c r="J65" s="103"/>
      <c r="K65" s="103"/>
      <c r="L65" s="103"/>
      <c r="M65" s="103"/>
      <c r="N65" s="68"/>
      <c r="O65" s="439" t="s">
        <v>805</v>
      </c>
      <c r="P65" s="439"/>
      <c r="Q65" s="378"/>
      <c r="R65" s="378"/>
      <c r="S65" s="378">
        <v>80000</v>
      </c>
      <c r="T65" s="378" t="s">
        <v>806</v>
      </c>
      <c r="U65" s="540" t="s">
        <v>807</v>
      </c>
      <c r="V65" s="378">
        <v>39</v>
      </c>
      <c r="W65" s="378" t="s">
        <v>808</v>
      </c>
      <c r="X65" s="378"/>
      <c r="Y65" s="378"/>
      <c r="Z65" s="378"/>
      <c r="AA65" s="378" t="s">
        <v>809</v>
      </c>
      <c r="AB65" s="378" t="s">
        <v>810</v>
      </c>
      <c r="AC65" s="539"/>
      <c r="AD65" s="539">
        <f>S65*V65</f>
        <v>3120000</v>
      </c>
      <c r="AE65" s="628" t="s">
        <v>806</v>
      </c>
      <c r="AF65" s="614"/>
    </row>
    <row r="66" spans="1:32" s="11" customFormat="1" ht="21" customHeight="1">
      <c r="A66" s="45"/>
      <c r="B66" s="46"/>
      <c r="C66" s="46"/>
      <c r="D66" s="151"/>
      <c r="E66" s="103"/>
      <c r="F66" s="103"/>
      <c r="G66" s="103"/>
      <c r="H66" s="103"/>
      <c r="I66" s="103"/>
      <c r="J66" s="103"/>
      <c r="K66" s="103"/>
      <c r="L66" s="103"/>
      <c r="M66" s="103"/>
      <c r="N66" s="68"/>
      <c r="O66" s="377" t="s">
        <v>254</v>
      </c>
      <c r="P66" s="377"/>
      <c r="Q66" s="377"/>
      <c r="R66" s="377"/>
      <c r="S66" s="376">
        <v>20000</v>
      </c>
      <c r="T66" s="376" t="s">
        <v>248</v>
      </c>
      <c r="U66" s="389" t="s">
        <v>249</v>
      </c>
      <c r="V66" s="376">
        <v>39</v>
      </c>
      <c r="W66" s="376" t="s">
        <v>250</v>
      </c>
      <c r="X66" s="389" t="s">
        <v>249</v>
      </c>
      <c r="Y66" s="376">
        <v>3</v>
      </c>
      <c r="Z66" s="376" t="s">
        <v>253</v>
      </c>
      <c r="AA66" s="376" t="s">
        <v>251</v>
      </c>
      <c r="AB66" s="376" t="s">
        <v>255</v>
      </c>
      <c r="AC66" s="390"/>
      <c r="AD66" s="378">
        <f>ROUNDDOWN(S66*V66*Y66,-3)</f>
        <v>2340000</v>
      </c>
      <c r="AE66" s="634" t="s">
        <v>25</v>
      </c>
      <c r="AF66" s="614"/>
    </row>
    <row r="67" spans="1:32" s="11" customFormat="1" ht="21" customHeight="1">
      <c r="A67" s="45"/>
      <c r="B67" s="46"/>
      <c r="C67" s="46"/>
      <c r="D67" s="151"/>
      <c r="E67" s="103"/>
      <c r="F67" s="103"/>
      <c r="G67" s="103"/>
      <c r="H67" s="103"/>
      <c r="I67" s="103"/>
      <c r="J67" s="103"/>
      <c r="K67" s="103"/>
      <c r="L67" s="103"/>
      <c r="M67" s="103"/>
      <c r="N67" s="68"/>
      <c r="O67" s="431" t="s">
        <v>299</v>
      </c>
      <c r="P67" s="431"/>
      <c r="Q67" s="431"/>
      <c r="R67" s="431"/>
      <c r="S67" s="430"/>
      <c r="T67" s="430"/>
      <c r="U67" s="389"/>
      <c r="V67" s="430"/>
      <c r="W67" s="430"/>
      <c r="X67" s="389"/>
      <c r="Y67" s="430"/>
      <c r="Z67" s="430"/>
      <c r="AA67" s="430"/>
      <c r="AB67" s="432" t="s">
        <v>91</v>
      </c>
      <c r="AC67" s="390"/>
      <c r="AD67" s="378">
        <v>500000</v>
      </c>
      <c r="AE67" s="634" t="s">
        <v>812</v>
      </c>
      <c r="AF67" s="614"/>
    </row>
    <row r="68" spans="1:32" s="11" customFormat="1" ht="21" customHeight="1">
      <c r="A68" s="45"/>
      <c r="B68" s="46"/>
      <c r="C68" s="46"/>
      <c r="D68" s="151"/>
      <c r="E68" s="103"/>
      <c r="F68" s="103"/>
      <c r="G68" s="103"/>
      <c r="H68" s="103"/>
      <c r="I68" s="103"/>
      <c r="J68" s="103"/>
      <c r="K68" s="103"/>
      <c r="L68" s="103"/>
      <c r="M68" s="103"/>
      <c r="N68" s="68"/>
      <c r="O68" s="602" t="s">
        <v>749</v>
      </c>
      <c r="P68" s="377"/>
      <c r="Q68" s="377"/>
      <c r="R68" s="377"/>
      <c r="S68" s="376">
        <v>400000</v>
      </c>
      <c r="T68" s="376" t="s">
        <v>248</v>
      </c>
      <c r="U68" s="389" t="s">
        <v>249</v>
      </c>
      <c r="V68" s="376">
        <v>2</v>
      </c>
      <c r="W68" s="376" t="s">
        <v>250</v>
      </c>
      <c r="X68" s="376"/>
      <c r="Y68" s="376"/>
      <c r="Z68" s="376"/>
      <c r="AA68" s="376" t="s">
        <v>251</v>
      </c>
      <c r="AB68" s="376" t="s">
        <v>252</v>
      </c>
      <c r="AC68" s="130"/>
      <c r="AD68" s="130">
        <f>S68*V68</f>
        <v>800000</v>
      </c>
      <c r="AE68" s="131" t="s">
        <v>56</v>
      </c>
      <c r="AF68" s="614"/>
    </row>
    <row r="69" spans="1:32" s="11" customFormat="1" ht="21" customHeight="1">
      <c r="A69" s="45"/>
      <c r="B69" s="46"/>
      <c r="C69" s="46"/>
      <c r="D69" s="151"/>
      <c r="E69" s="103"/>
      <c r="F69" s="103"/>
      <c r="G69" s="103"/>
      <c r="H69" s="103"/>
      <c r="I69" s="103"/>
      <c r="J69" s="103"/>
      <c r="K69" s="103"/>
      <c r="L69" s="103"/>
      <c r="M69" s="103"/>
      <c r="N69" s="68"/>
      <c r="O69" s="599" t="s">
        <v>687</v>
      </c>
      <c r="P69" s="565"/>
      <c r="Q69" s="564"/>
      <c r="R69" s="564"/>
      <c r="S69" s="564">
        <v>50000</v>
      </c>
      <c r="T69" s="390" t="s">
        <v>611</v>
      </c>
      <c r="U69" s="389" t="s">
        <v>612</v>
      </c>
      <c r="V69" s="390">
        <v>10</v>
      </c>
      <c r="W69" s="598" t="s">
        <v>66</v>
      </c>
      <c r="X69" s="389"/>
      <c r="Y69" s="390"/>
      <c r="Z69" s="390"/>
      <c r="AA69" s="395" t="s">
        <v>613</v>
      </c>
      <c r="AB69" s="390" t="s">
        <v>614</v>
      </c>
      <c r="AC69" s="390"/>
      <c r="AD69" s="564">
        <f>S69*V69</f>
        <v>500000</v>
      </c>
      <c r="AE69" s="391" t="s">
        <v>56</v>
      </c>
      <c r="AF69" s="614"/>
    </row>
    <row r="70" spans="1:32" s="11" customFormat="1" ht="21" customHeight="1">
      <c r="A70" s="45"/>
      <c r="B70" s="46"/>
      <c r="C70" s="46"/>
      <c r="D70" s="151"/>
      <c r="E70" s="103"/>
      <c r="F70" s="103"/>
      <c r="G70" s="103"/>
      <c r="H70" s="103"/>
      <c r="I70" s="103"/>
      <c r="J70" s="103"/>
      <c r="K70" s="103"/>
      <c r="L70" s="103"/>
      <c r="M70" s="103"/>
      <c r="N70" s="68"/>
      <c r="O70" s="377" t="s">
        <v>256</v>
      </c>
      <c r="P70" s="377"/>
      <c r="Q70" s="377"/>
      <c r="R70" s="377"/>
      <c r="S70" s="376"/>
      <c r="T70" s="390"/>
      <c r="U70" s="390"/>
      <c r="V70" s="390"/>
      <c r="W70" s="376"/>
      <c r="X70" s="376"/>
      <c r="Y70" s="390"/>
      <c r="Z70" s="390"/>
      <c r="AA70" s="390"/>
      <c r="AB70" s="390" t="s">
        <v>252</v>
      </c>
      <c r="AC70" s="390"/>
      <c r="AD70" s="376">
        <v>860000</v>
      </c>
      <c r="AE70" s="391" t="s">
        <v>56</v>
      </c>
      <c r="AF70" s="614"/>
    </row>
    <row r="71" spans="1:32" s="11" customFormat="1" ht="21" customHeight="1">
      <c r="A71" s="45"/>
      <c r="B71" s="46"/>
      <c r="C71" s="46"/>
      <c r="D71" s="151"/>
      <c r="E71" s="103"/>
      <c r="F71" s="103"/>
      <c r="G71" s="103"/>
      <c r="H71" s="103"/>
      <c r="I71" s="103"/>
      <c r="J71" s="103"/>
      <c r="K71" s="103"/>
      <c r="L71" s="103"/>
      <c r="M71" s="103"/>
      <c r="N71" s="68"/>
      <c r="O71" s="570" t="s">
        <v>630</v>
      </c>
      <c r="P71" s="570"/>
      <c r="Q71" s="570"/>
      <c r="R71" s="570"/>
      <c r="S71" s="569">
        <v>300000</v>
      </c>
      <c r="T71" s="568" t="s">
        <v>627</v>
      </c>
      <c r="U71" s="389" t="s">
        <v>631</v>
      </c>
      <c r="V71" s="392">
        <v>20</v>
      </c>
      <c r="W71" s="389" t="s">
        <v>632</v>
      </c>
      <c r="X71" s="393"/>
      <c r="Y71" s="74"/>
      <c r="Z71" s="74"/>
      <c r="AA71" s="568" t="s">
        <v>633</v>
      </c>
      <c r="AB71" s="569" t="s">
        <v>626</v>
      </c>
      <c r="AC71" s="130"/>
      <c r="AD71" s="130">
        <f>ROUNDUP(S71*V71,-3)</f>
        <v>6000000</v>
      </c>
      <c r="AE71" s="131" t="s">
        <v>56</v>
      </c>
      <c r="AF71" s="614"/>
    </row>
    <row r="72" spans="1:32" s="11" customFormat="1" ht="21" customHeight="1">
      <c r="A72" s="45"/>
      <c r="B72" s="46"/>
      <c r="C72" s="46"/>
      <c r="D72" s="151"/>
      <c r="E72" s="103"/>
      <c r="F72" s="103"/>
      <c r="G72" s="103"/>
      <c r="H72" s="103"/>
      <c r="I72" s="103"/>
      <c r="J72" s="103"/>
      <c r="K72" s="103"/>
      <c r="L72" s="103"/>
      <c r="M72" s="103"/>
      <c r="N72" s="68"/>
      <c r="O72" s="535" t="s">
        <v>549</v>
      </c>
      <c r="P72" s="535"/>
      <c r="Q72" s="535"/>
      <c r="R72" s="535"/>
      <c r="S72" s="534"/>
      <c r="T72" s="533"/>
      <c r="U72" s="389"/>
      <c r="V72" s="392"/>
      <c r="W72" s="389"/>
      <c r="X72" s="393"/>
      <c r="Y72" s="74"/>
      <c r="Z72" s="74"/>
      <c r="AA72" s="533"/>
      <c r="AB72" s="534" t="s">
        <v>550</v>
      </c>
      <c r="AC72" s="130"/>
      <c r="AD72" s="130">
        <v>668000</v>
      </c>
      <c r="AE72" s="131" t="s">
        <v>56</v>
      </c>
      <c r="AF72" s="614"/>
    </row>
    <row r="73" spans="1:32" s="11" customFormat="1" ht="21" customHeight="1">
      <c r="A73" s="45"/>
      <c r="B73" s="46"/>
      <c r="C73" s="46"/>
      <c r="D73" s="151"/>
      <c r="E73" s="103"/>
      <c r="F73" s="103"/>
      <c r="G73" s="103"/>
      <c r="H73" s="103"/>
      <c r="I73" s="103"/>
      <c r="J73" s="103"/>
      <c r="K73" s="103"/>
      <c r="L73" s="103"/>
      <c r="M73" s="103"/>
      <c r="N73" s="68"/>
      <c r="O73" s="439" t="s">
        <v>811</v>
      </c>
      <c r="P73" s="439"/>
      <c r="Q73" s="439"/>
      <c r="R73" s="439"/>
      <c r="S73" s="378">
        <v>40000</v>
      </c>
      <c r="T73" s="538" t="s">
        <v>806</v>
      </c>
      <c r="U73" s="540" t="s">
        <v>807</v>
      </c>
      <c r="V73" s="561">
        <v>39</v>
      </c>
      <c r="W73" s="540" t="s">
        <v>808</v>
      </c>
      <c r="X73" s="562"/>
      <c r="Y73" s="563"/>
      <c r="Z73" s="563"/>
      <c r="AA73" s="538" t="s">
        <v>809</v>
      </c>
      <c r="AB73" s="633" t="s">
        <v>810</v>
      </c>
      <c r="AC73" s="633"/>
      <c r="AD73" s="539">
        <f>ROUNDUP(S73*V73,-3)</f>
        <v>1560000</v>
      </c>
      <c r="AE73" s="634" t="s">
        <v>806</v>
      </c>
      <c r="AF73" s="614"/>
    </row>
    <row r="74" spans="1:32" s="11" customFormat="1" ht="21" customHeight="1">
      <c r="A74" s="45"/>
      <c r="B74" s="46"/>
      <c r="C74" s="46"/>
      <c r="D74" s="151"/>
      <c r="E74" s="103"/>
      <c r="F74" s="103"/>
      <c r="G74" s="103"/>
      <c r="H74" s="103"/>
      <c r="I74" s="103"/>
      <c r="J74" s="103"/>
      <c r="K74" s="103"/>
      <c r="L74" s="103"/>
      <c r="M74" s="103"/>
      <c r="N74" s="68"/>
      <c r="O74" s="377" t="s">
        <v>258</v>
      </c>
      <c r="P74" s="377"/>
      <c r="Q74" s="377"/>
      <c r="R74" s="377"/>
      <c r="S74" s="376">
        <v>100000</v>
      </c>
      <c r="T74" s="291" t="s">
        <v>248</v>
      </c>
      <c r="U74" s="389" t="s">
        <v>249</v>
      </c>
      <c r="V74" s="392">
        <v>39</v>
      </c>
      <c r="W74" s="389" t="s">
        <v>250</v>
      </c>
      <c r="X74" s="393"/>
      <c r="Y74" s="74"/>
      <c r="Z74" s="74"/>
      <c r="AA74" s="291" t="s">
        <v>251</v>
      </c>
      <c r="AB74" s="390" t="s">
        <v>171</v>
      </c>
      <c r="AC74" s="390"/>
      <c r="AD74" s="130">
        <f>ROUNDUP(S74*V74,-3)</f>
        <v>3900000</v>
      </c>
      <c r="AE74" s="391" t="s">
        <v>56</v>
      </c>
      <c r="AF74" s="614"/>
    </row>
    <row r="75" spans="1:32" s="11" customFormat="1" ht="21" customHeight="1">
      <c r="A75" s="45"/>
      <c r="B75" s="46"/>
      <c r="C75" s="46"/>
      <c r="D75" s="151"/>
      <c r="E75" s="103"/>
      <c r="F75" s="103"/>
      <c r="G75" s="103"/>
      <c r="H75" s="103"/>
      <c r="I75" s="103"/>
      <c r="J75" s="103"/>
      <c r="K75" s="103"/>
      <c r="L75" s="103"/>
      <c r="M75" s="103"/>
      <c r="N75" s="68"/>
      <c r="O75" s="431" t="s">
        <v>298</v>
      </c>
      <c r="P75" s="377"/>
      <c r="Q75" s="376"/>
      <c r="R75" s="376"/>
      <c r="S75" s="376"/>
      <c r="T75" s="376"/>
      <c r="U75" s="376"/>
      <c r="V75" s="376"/>
      <c r="W75" s="376"/>
      <c r="X75" s="376"/>
      <c r="Y75" s="376"/>
      <c r="Z75" s="376"/>
      <c r="AA75" s="376"/>
      <c r="AB75" s="390" t="s">
        <v>817</v>
      </c>
      <c r="AC75" s="130"/>
      <c r="AD75" s="130">
        <v>500000</v>
      </c>
      <c r="AE75" s="131" t="s">
        <v>56</v>
      </c>
      <c r="AF75" s="614"/>
    </row>
    <row r="76" spans="1:32" s="11" customFormat="1" ht="21" customHeight="1">
      <c r="A76" s="45"/>
      <c r="B76" s="59"/>
      <c r="C76" s="59"/>
      <c r="D76" s="152"/>
      <c r="E76" s="105"/>
      <c r="F76" s="105"/>
      <c r="G76" s="105"/>
      <c r="H76" s="105"/>
      <c r="I76" s="105"/>
      <c r="J76" s="105"/>
      <c r="K76" s="105"/>
      <c r="L76" s="105"/>
      <c r="M76" s="105"/>
      <c r="N76" s="82"/>
      <c r="O76" s="623" t="s">
        <v>260</v>
      </c>
      <c r="P76" s="623"/>
      <c r="Q76" s="622"/>
      <c r="R76" s="622"/>
      <c r="S76" s="622"/>
      <c r="T76" s="622"/>
      <c r="U76" s="622"/>
      <c r="V76" s="622"/>
      <c r="W76" s="376"/>
      <c r="X76" s="376"/>
      <c r="Y76" s="376"/>
      <c r="Z76" s="376"/>
      <c r="AA76" s="376"/>
      <c r="AB76" s="390" t="s">
        <v>152</v>
      </c>
      <c r="AC76" s="130"/>
      <c r="AD76" s="130">
        <v>8000</v>
      </c>
      <c r="AE76" s="131" t="s">
        <v>56</v>
      </c>
      <c r="AF76" s="614"/>
    </row>
    <row r="77" spans="1:32" s="11" customFormat="1" ht="21" customHeight="1">
      <c r="A77" s="45"/>
      <c r="B77" s="36" t="s">
        <v>127</v>
      </c>
      <c r="C77" s="36" t="s">
        <v>5</v>
      </c>
      <c r="D77" s="107">
        <f>SUM(D78,D81,D83)</f>
        <v>1480</v>
      </c>
      <c r="E77" s="107">
        <f>SUM(E78,E81,E83)</f>
        <v>1480</v>
      </c>
      <c r="F77" s="107">
        <f t="shared" ref="F77:L77" si="3">SUM(F78,F81,F83)</f>
        <v>0</v>
      </c>
      <c r="G77" s="107">
        <f t="shared" si="3"/>
        <v>0</v>
      </c>
      <c r="H77" s="107">
        <f t="shared" si="3"/>
        <v>0</v>
      </c>
      <c r="I77" s="107">
        <f t="shared" si="3"/>
        <v>0</v>
      </c>
      <c r="J77" s="107">
        <f t="shared" si="3"/>
        <v>0</v>
      </c>
      <c r="K77" s="107">
        <f t="shared" si="3"/>
        <v>1480</v>
      </c>
      <c r="L77" s="107">
        <f t="shared" si="3"/>
        <v>0</v>
      </c>
      <c r="M77" s="107">
        <f>E77-D77</f>
        <v>0</v>
      </c>
      <c r="N77" s="115">
        <f>IF(D77=0,0,M77/D77)</f>
        <v>0</v>
      </c>
      <c r="O77" s="180" t="s">
        <v>135</v>
      </c>
      <c r="P77" s="180"/>
      <c r="Q77" s="180"/>
      <c r="R77" s="180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92"/>
      <c r="AD77" s="92">
        <f>SUM(AD78,AD81,AD83)</f>
        <v>1480000</v>
      </c>
      <c r="AE77" s="93" t="s">
        <v>25</v>
      </c>
      <c r="AF77" s="5"/>
    </row>
    <row r="78" spans="1:32" s="11" customFormat="1" ht="21" customHeight="1">
      <c r="A78" s="45"/>
      <c r="B78" s="46" t="s">
        <v>134</v>
      </c>
      <c r="C78" s="36" t="s">
        <v>10</v>
      </c>
      <c r="D78" s="153">
        <v>400</v>
      </c>
      <c r="E78" s="107">
        <f>AD78/1000</f>
        <v>400</v>
      </c>
      <c r="F78" s="108">
        <f>SUMIF($AB$79:$AB$80,"보조",$AD$79:$AD$80)/1000</f>
        <v>0</v>
      </c>
      <c r="G78" s="108">
        <f>SUMIF($AB$79:$AB$80,"7종",$AD$79:$AD$80)/1000</f>
        <v>0</v>
      </c>
      <c r="H78" s="108">
        <f>SUMIF($AB$79:$AB$80,"4종",$AD$79:$AD$80)/1000</f>
        <v>0</v>
      </c>
      <c r="I78" s="108">
        <f>SUMIF($AB$79:$AB$80,"후원",$AD$79:$AD$80)/1000</f>
        <v>0</v>
      </c>
      <c r="J78" s="108">
        <f>SUMIF($AB$79:$AB$80,"입소",$AD$79:$AD$80)/1000</f>
        <v>0</v>
      </c>
      <c r="K78" s="108">
        <f>SUMIF($AB$79:$AB$80,"법인",$AD$79:$AD$80)/1000</f>
        <v>400</v>
      </c>
      <c r="L78" s="108">
        <f>SUMIF($AB$79:$AB$80,"잡수",$AD$79:$AD$80)/1000</f>
        <v>0</v>
      </c>
      <c r="M78" s="107">
        <f>E78-D78</f>
        <v>0</v>
      </c>
      <c r="N78" s="115">
        <f>IF(D78=0,0,M78/D78)</f>
        <v>0</v>
      </c>
      <c r="O78" s="95" t="s">
        <v>37</v>
      </c>
      <c r="P78" s="142"/>
      <c r="Q78" s="157"/>
      <c r="R78" s="157"/>
      <c r="S78" s="157"/>
      <c r="T78" s="86"/>
      <c r="U78" s="86"/>
      <c r="V78" s="86"/>
      <c r="W78" s="86"/>
      <c r="X78" s="86"/>
      <c r="Y78" s="169" t="s">
        <v>137</v>
      </c>
      <c r="Z78" s="169"/>
      <c r="AA78" s="169"/>
      <c r="AB78" s="169"/>
      <c r="AC78" s="171"/>
      <c r="AD78" s="171">
        <f>AD79</f>
        <v>400000</v>
      </c>
      <c r="AE78" s="170" t="s">
        <v>25</v>
      </c>
    </row>
    <row r="79" spans="1:32" s="11" customFormat="1" ht="21" customHeight="1">
      <c r="A79" s="45"/>
      <c r="B79" s="46"/>
      <c r="C79" s="46"/>
      <c r="D79" s="151"/>
      <c r="E79" s="103"/>
      <c r="F79" s="103"/>
      <c r="G79" s="103"/>
      <c r="H79" s="103"/>
      <c r="I79" s="103"/>
      <c r="J79" s="103"/>
      <c r="K79" s="103"/>
      <c r="L79" s="103"/>
      <c r="M79" s="103"/>
      <c r="N79" s="68"/>
      <c r="O79" s="553" t="s">
        <v>579</v>
      </c>
      <c r="P79" s="377"/>
      <c r="Q79" s="377"/>
      <c r="R79" s="377"/>
      <c r="S79" s="376"/>
      <c r="T79" s="297"/>
      <c r="U79" s="297"/>
      <c r="V79" s="376"/>
      <c r="W79" s="377"/>
      <c r="X79" s="376"/>
      <c r="Y79" s="376"/>
      <c r="Z79" s="376"/>
      <c r="AA79" s="376"/>
      <c r="AB79" s="639" t="s">
        <v>840</v>
      </c>
      <c r="AC79" s="376"/>
      <c r="AD79" s="437">
        <v>400000</v>
      </c>
      <c r="AE79" s="131" t="s">
        <v>261</v>
      </c>
      <c r="AF79" s="2"/>
    </row>
    <row r="80" spans="1:32" s="11" customFormat="1" ht="21" customHeight="1">
      <c r="A80" s="45"/>
      <c r="B80" s="46"/>
      <c r="C80" s="59"/>
      <c r="D80" s="152"/>
      <c r="E80" s="105"/>
      <c r="F80" s="105"/>
      <c r="G80" s="105"/>
      <c r="H80" s="105"/>
      <c r="I80" s="105"/>
      <c r="J80" s="105"/>
      <c r="K80" s="105"/>
      <c r="L80" s="105"/>
      <c r="M80" s="105"/>
      <c r="N80" s="82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118"/>
      <c r="AF80" s="1"/>
    </row>
    <row r="81" spans="1:34" s="11" customFormat="1" ht="21" customHeight="1">
      <c r="A81" s="45"/>
      <c r="B81" s="46"/>
      <c r="C81" s="46" t="s">
        <v>11</v>
      </c>
      <c r="D81" s="151">
        <v>0</v>
      </c>
      <c r="E81" s="103">
        <f>AD81/1000</f>
        <v>0</v>
      </c>
      <c r="F81" s="108">
        <f>SUMIF($AB$82:$AB$82,"보조",$AD$82:$AD$82)/1000</f>
        <v>0</v>
      </c>
      <c r="G81" s="108">
        <f>SUMIF($AB$82:$AB$82,"7종",$AD$82:$AD$82)/1000</f>
        <v>0</v>
      </c>
      <c r="H81" s="108">
        <f>SUMIF($AB$82:$AB$82,"4종",$AD$82:$AD$82)/1000</f>
        <v>0</v>
      </c>
      <c r="I81" s="108">
        <f>SUMIF($AB$82:$AB$82,"후원",$AD$82:$AD$82)/1000</f>
        <v>0</v>
      </c>
      <c r="J81" s="108">
        <f>SUMIF($AB$82:$AB$82,"입소",$AD$82:$AD$82)/1000</f>
        <v>0</v>
      </c>
      <c r="K81" s="108">
        <f>SUMIF($AB$82:$AB$82,"법인",$AD$82:$AD$82)/1000</f>
        <v>0</v>
      </c>
      <c r="L81" s="108">
        <f>SUMIF($AB$82:$AB$82,"잡수",$AD$82:$AD$82)/1000</f>
        <v>0</v>
      </c>
      <c r="M81" s="103">
        <f>E81-D81</f>
        <v>0</v>
      </c>
      <c r="N81" s="68">
        <f>IF(D81=0,0,M81/D81)</f>
        <v>0</v>
      </c>
      <c r="O81" s="95" t="s">
        <v>136</v>
      </c>
      <c r="P81" s="168"/>
      <c r="Q81" s="32"/>
      <c r="R81" s="32"/>
      <c r="S81" s="32"/>
      <c r="T81" s="33"/>
      <c r="U81" s="33"/>
      <c r="V81" s="33"/>
      <c r="W81" s="33"/>
      <c r="X81" s="33"/>
      <c r="Y81" s="169" t="s">
        <v>137</v>
      </c>
      <c r="Z81" s="169"/>
      <c r="AA81" s="169"/>
      <c r="AB81" s="169"/>
      <c r="AC81" s="171"/>
      <c r="AD81" s="171">
        <v>0</v>
      </c>
      <c r="AE81" s="170" t="s">
        <v>25</v>
      </c>
      <c r="AF81" s="1"/>
    </row>
    <row r="82" spans="1:34" s="11" customFormat="1" ht="21" customHeight="1">
      <c r="A82" s="45"/>
      <c r="B82" s="46"/>
      <c r="C82" s="59"/>
      <c r="D82" s="152"/>
      <c r="E82" s="105"/>
      <c r="F82" s="105"/>
      <c r="G82" s="105"/>
      <c r="H82" s="105"/>
      <c r="I82" s="105"/>
      <c r="J82" s="105"/>
      <c r="K82" s="105"/>
      <c r="L82" s="105"/>
      <c r="M82" s="105"/>
      <c r="N82" s="82"/>
      <c r="O82" s="146"/>
      <c r="P82" s="79"/>
      <c r="Q82" s="79"/>
      <c r="R82" s="79"/>
      <c r="S82" s="78"/>
      <c r="T82" s="83"/>
      <c r="U82" s="83"/>
      <c r="V82" s="78"/>
      <c r="W82" s="79"/>
      <c r="X82" s="78"/>
      <c r="Y82" s="78"/>
      <c r="Z82" s="78"/>
      <c r="AA82" s="78"/>
      <c r="AB82" s="78"/>
      <c r="AC82" s="78"/>
      <c r="AD82" s="78"/>
      <c r="AE82" s="71"/>
      <c r="AF82" s="1"/>
    </row>
    <row r="83" spans="1:34" s="11" customFormat="1" ht="21" customHeight="1">
      <c r="A83" s="45"/>
      <c r="B83" s="46"/>
      <c r="C83" s="46" t="s">
        <v>74</v>
      </c>
      <c r="D83" s="151">
        <v>1080</v>
      </c>
      <c r="E83" s="103">
        <f>AD83/1000</f>
        <v>1080</v>
      </c>
      <c r="F83" s="108">
        <f>SUMIF($AB$84:$AB$86,"보조",$AD$84:$AD$86)/1000</f>
        <v>0</v>
      </c>
      <c r="G83" s="108">
        <f>SUMIF($AB$84:$AB$86,"7종",$AD$84:$AD$86)/1000</f>
        <v>0</v>
      </c>
      <c r="H83" s="108">
        <f>SUMIF($AB$84:$AB$86,"4종",$AD$84:$AD$86)/1000</f>
        <v>0</v>
      </c>
      <c r="I83" s="108">
        <f>SUMIF($AB$84:$AB$86,"후원",$AD$84:$AD$86)/1000</f>
        <v>0</v>
      </c>
      <c r="J83" s="108">
        <f>SUMIF($AB$84:$AB$86,"입소",$AD$84:$AD$86)/1000</f>
        <v>0</v>
      </c>
      <c r="K83" s="108">
        <f>SUMIF($AB$84:$AB$86,"법인",$AD$84:$AD$86)/1000</f>
        <v>1080</v>
      </c>
      <c r="L83" s="108">
        <f>SUMIF($AB$84:$AB$86,"잡수",$AD$84:$AD$86)/1000</f>
        <v>0</v>
      </c>
      <c r="M83" s="103">
        <f>E83-D83</f>
        <v>0</v>
      </c>
      <c r="N83" s="68">
        <f>IF(D83=0,0,M83/D83)</f>
        <v>0</v>
      </c>
      <c r="O83" s="110" t="s">
        <v>38</v>
      </c>
      <c r="P83" s="32"/>
      <c r="Q83" s="32"/>
      <c r="R83" s="32"/>
      <c r="S83" s="32"/>
      <c r="T83" s="33"/>
      <c r="U83" s="33"/>
      <c r="V83" s="33"/>
      <c r="W83" s="33"/>
      <c r="X83" s="33"/>
      <c r="Y83" s="169" t="s">
        <v>137</v>
      </c>
      <c r="Z83" s="169"/>
      <c r="AA83" s="169"/>
      <c r="AB83" s="169"/>
      <c r="AC83" s="171"/>
      <c r="AD83" s="171">
        <f>SUM(AD84:AD86)</f>
        <v>1080000</v>
      </c>
      <c r="AE83" s="170" t="s">
        <v>25</v>
      </c>
      <c r="AF83" s="1"/>
    </row>
    <row r="84" spans="1:34" s="14" customFormat="1" ht="21" customHeight="1">
      <c r="A84" s="45"/>
      <c r="B84" s="46"/>
      <c r="C84" s="46"/>
      <c r="D84" s="151"/>
      <c r="E84" s="103"/>
      <c r="F84" s="103"/>
      <c r="G84" s="103"/>
      <c r="H84" s="103"/>
      <c r="I84" s="103"/>
      <c r="J84" s="103"/>
      <c r="K84" s="103"/>
      <c r="L84" s="103"/>
      <c r="M84" s="103"/>
      <c r="N84" s="68"/>
      <c r="O84" s="279" t="s">
        <v>207</v>
      </c>
      <c r="P84" s="279"/>
      <c r="Q84" s="279"/>
      <c r="R84" s="279"/>
      <c r="S84" s="277"/>
      <c r="T84" s="339"/>
      <c r="U84" s="339"/>
      <c r="V84" s="277"/>
      <c r="W84" s="279"/>
      <c r="X84" s="277"/>
      <c r="Y84" s="277"/>
      <c r="Z84" s="277"/>
      <c r="AA84" s="277"/>
      <c r="AB84" s="598" t="s">
        <v>698</v>
      </c>
      <c r="AC84" s="598"/>
      <c r="AD84" s="598">
        <v>280000</v>
      </c>
      <c r="AE84" s="131" t="s">
        <v>677</v>
      </c>
      <c r="AF84" s="4"/>
    </row>
    <row r="85" spans="1:34" s="14" customFormat="1" ht="21" customHeight="1">
      <c r="A85" s="45"/>
      <c r="B85" s="46"/>
      <c r="C85" s="46"/>
      <c r="D85" s="151"/>
      <c r="E85" s="103"/>
      <c r="F85" s="103"/>
      <c r="G85" s="103"/>
      <c r="H85" s="103"/>
      <c r="I85" s="103"/>
      <c r="J85" s="103"/>
      <c r="K85" s="103"/>
      <c r="L85" s="103"/>
      <c r="M85" s="103"/>
      <c r="N85" s="68"/>
      <c r="O85" s="377" t="s">
        <v>262</v>
      </c>
      <c r="P85" s="377"/>
      <c r="Q85" s="377"/>
      <c r="R85" s="377"/>
      <c r="S85" s="376">
        <v>50000</v>
      </c>
      <c r="T85" s="376" t="s">
        <v>261</v>
      </c>
      <c r="U85" s="377" t="s">
        <v>263</v>
      </c>
      <c r="V85" s="376">
        <v>4</v>
      </c>
      <c r="W85" s="376" t="s">
        <v>264</v>
      </c>
      <c r="X85" s="377" t="s">
        <v>263</v>
      </c>
      <c r="Y85" s="298">
        <v>4</v>
      </c>
      <c r="Z85" s="542" t="s">
        <v>558</v>
      </c>
      <c r="AA85" s="291" t="s">
        <v>266</v>
      </c>
      <c r="AB85" s="568" t="s">
        <v>698</v>
      </c>
      <c r="AC85" s="599"/>
      <c r="AD85" s="598">
        <f>S85*V85*Y85</f>
        <v>800000</v>
      </c>
      <c r="AE85" s="131" t="s">
        <v>677</v>
      </c>
      <c r="AF85" s="4"/>
    </row>
    <row r="86" spans="1:34" s="14" customFormat="1" ht="21" customHeight="1">
      <c r="A86" s="45"/>
      <c r="B86" s="46"/>
      <c r="C86" s="46"/>
      <c r="D86" s="151"/>
      <c r="E86" s="103"/>
      <c r="F86" s="103"/>
      <c r="G86" s="103"/>
      <c r="H86" s="103"/>
      <c r="I86" s="103"/>
      <c r="J86" s="103"/>
      <c r="K86" s="103"/>
      <c r="L86" s="103"/>
      <c r="M86" s="103"/>
      <c r="N86" s="68"/>
      <c r="O86" s="377"/>
      <c r="P86" s="377"/>
      <c r="Q86" s="377"/>
      <c r="R86" s="377"/>
      <c r="S86" s="376"/>
      <c r="T86" s="297"/>
      <c r="U86" s="297"/>
      <c r="V86" s="376"/>
      <c r="W86" s="377"/>
      <c r="X86" s="376"/>
      <c r="Y86" s="376"/>
      <c r="Z86" s="376"/>
      <c r="AA86" s="376"/>
      <c r="AB86" s="598"/>
      <c r="AC86" s="598"/>
      <c r="AD86" s="598"/>
      <c r="AE86" s="131" t="s">
        <v>677</v>
      </c>
      <c r="AF86" s="4"/>
    </row>
    <row r="87" spans="1:34" s="11" customFormat="1" ht="21" customHeight="1">
      <c r="A87" s="45"/>
      <c r="B87" s="36" t="s">
        <v>12</v>
      </c>
      <c r="C87" s="165" t="s">
        <v>5</v>
      </c>
      <c r="D87" s="166">
        <f t="shared" ref="D87:L87" si="4">SUM(D88,D91,D114,D123,D138,D144)</f>
        <v>80274</v>
      </c>
      <c r="E87" s="166">
        <f t="shared" si="4"/>
        <v>91420</v>
      </c>
      <c r="F87" s="166">
        <f t="shared" si="4"/>
        <v>58182</v>
      </c>
      <c r="G87" s="166">
        <f t="shared" si="4"/>
        <v>3600</v>
      </c>
      <c r="H87" s="166">
        <f t="shared" si="4"/>
        <v>0</v>
      </c>
      <c r="I87" s="166">
        <f t="shared" si="4"/>
        <v>14502</v>
      </c>
      <c r="J87" s="166">
        <f t="shared" si="4"/>
        <v>0</v>
      </c>
      <c r="K87" s="166">
        <f t="shared" si="4"/>
        <v>10800</v>
      </c>
      <c r="L87" s="166">
        <f t="shared" si="4"/>
        <v>4336</v>
      </c>
      <c r="M87" s="166">
        <f>E87-D87</f>
        <v>11146</v>
      </c>
      <c r="N87" s="167">
        <f>IF(D87=0,0,M87/D87)</f>
        <v>0.13884944066571991</v>
      </c>
      <c r="O87" s="168" t="s">
        <v>138</v>
      </c>
      <c r="P87" s="168"/>
      <c r="Q87" s="168"/>
      <c r="R87" s="168"/>
      <c r="S87" s="169"/>
      <c r="T87" s="181"/>
      <c r="U87" s="169"/>
      <c r="V87" s="722"/>
      <c r="W87" s="723"/>
      <c r="X87" s="169"/>
      <c r="Y87" s="169"/>
      <c r="Z87" s="169"/>
      <c r="AA87" s="169"/>
      <c r="AB87" s="169"/>
      <c r="AC87" s="169"/>
      <c r="AD87" s="169">
        <f>SUM(AD88,AD91,AD114,AD123,AD138,AD144)</f>
        <v>91420000</v>
      </c>
      <c r="AE87" s="170" t="s">
        <v>25</v>
      </c>
      <c r="AF87" s="1"/>
    </row>
    <row r="88" spans="1:34" s="11" customFormat="1" ht="21" customHeight="1">
      <c r="A88" s="45"/>
      <c r="B88" s="46"/>
      <c r="C88" s="46" t="s">
        <v>75</v>
      </c>
      <c r="D88" s="151">
        <v>1000</v>
      </c>
      <c r="E88" s="103">
        <f>AD88/1000</f>
        <v>1000</v>
      </c>
      <c r="F88" s="108">
        <f>SUMIF($AB$89:$AB$90,"보조",$AD$89:$AD$90)/1000</f>
        <v>0</v>
      </c>
      <c r="G88" s="108">
        <f>SUMIF($AB$89:$AB$90,"7종",$AD$89:$AD$90)/1000</f>
        <v>0</v>
      </c>
      <c r="H88" s="108">
        <f>SUMIF($AB$89:$AB$90,"4종",$AD$89:$AD$90)/1000</f>
        <v>0</v>
      </c>
      <c r="I88" s="108">
        <f>SUMIF($AB$89:$AB$90,"후원",$AD$89:$AD$90)/1000</f>
        <v>1000</v>
      </c>
      <c r="J88" s="108">
        <f>SUMIF($AB$89:$AB$90,"입소",$AD$89:$AD$90)/1000</f>
        <v>0</v>
      </c>
      <c r="K88" s="108">
        <f>SUMIF($AB$89:$AB$90,"법인",$AD$89:$AD$90)/1000</f>
        <v>0</v>
      </c>
      <c r="L88" s="108">
        <f>SUMIF($AB$89:$AB$90,"잡수",$AD$89:$AD$90)/1000</f>
        <v>0</v>
      </c>
      <c r="M88" s="103">
        <f>E88-D88</f>
        <v>0</v>
      </c>
      <c r="N88" s="68">
        <f>IF(D88=0,0,M88/D88)</f>
        <v>0</v>
      </c>
      <c r="O88" s="110" t="s">
        <v>40</v>
      </c>
      <c r="P88" s="32"/>
      <c r="Q88" s="32"/>
      <c r="R88" s="32"/>
      <c r="S88" s="32"/>
      <c r="T88" s="33"/>
      <c r="U88" s="33"/>
      <c r="V88" s="33"/>
      <c r="W88" s="33"/>
      <c r="X88" s="33"/>
      <c r="Y88" s="362" t="s">
        <v>137</v>
      </c>
      <c r="Z88" s="362"/>
      <c r="AA88" s="362"/>
      <c r="AB88" s="362"/>
      <c r="AC88" s="171"/>
      <c r="AD88" s="171">
        <f>SUM(AD89:AD89)</f>
        <v>1000000</v>
      </c>
      <c r="AE88" s="170" t="s">
        <v>25</v>
      </c>
      <c r="AF88" s="20"/>
      <c r="AG88" s="19"/>
      <c r="AH88" s="19"/>
    </row>
    <row r="89" spans="1:34" s="11" customFormat="1" ht="21" customHeight="1">
      <c r="A89" s="45"/>
      <c r="B89" s="46"/>
      <c r="C89" s="46"/>
      <c r="D89" s="151"/>
      <c r="E89" s="103"/>
      <c r="F89" s="103"/>
      <c r="G89" s="103"/>
      <c r="H89" s="103"/>
      <c r="I89" s="103"/>
      <c r="J89" s="103"/>
      <c r="K89" s="103"/>
      <c r="L89" s="103"/>
      <c r="M89" s="103"/>
      <c r="N89" s="68"/>
      <c r="O89" s="279" t="s">
        <v>219</v>
      </c>
      <c r="P89" s="279"/>
      <c r="Q89" s="279"/>
      <c r="R89" s="279"/>
      <c r="S89" s="598">
        <v>20000</v>
      </c>
      <c r="T89" s="297" t="s">
        <v>25</v>
      </c>
      <c r="U89" s="297" t="s">
        <v>26</v>
      </c>
      <c r="V89" s="598">
        <v>25</v>
      </c>
      <c r="W89" s="297" t="s">
        <v>139</v>
      </c>
      <c r="X89" s="598" t="s">
        <v>26</v>
      </c>
      <c r="Y89" s="650">
        <v>2</v>
      </c>
      <c r="Z89" s="598" t="s">
        <v>680</v>
      </c>
      <c r="AA89" s="598" t="s">
        <v>27</v>
      </c>
      <c r="AB89" s="598" t="s">
        <v>704</v>
      </c>
      <c r="AC89" s="598"/>
      <c r="AD89" s="598">
        <f>S89*V89*Y89</f>
        <v>1000000</v>
      </c>
      <c r="AE89" s="131" t="s">
        <v>677</v>
      </c>
      <c r="AF89" s="2"/>
    </row>
    <row r="90" spans="1:34" s="11" customFormat="1" ht="21" customHeight="1">
      <c r="A90" s="45"/>
      <c r="B90" s="46"/>
      <c r="C90" s="46"/>
      <c r="D90" s="151"/>
      <c r="E90" s="103"/>
      <c r="F90" s="103"/>
      <c r="G90" s="103"/>
      <c r="H90" s="103"/>
      <c r="I90" s="103"/>
      <c r="J90" s="103"/>
      <c r="K90" s="103"/>
      <c r="L90" s="103"/>
      <c r="M90" s="103"/>
      <c r="N90" s="68"/>
      <c r="O90" s="178"/>
      <c r="P90" s="50"/>
      <c r="Q90" s="50"/>
      <c r="R90" s="50"/>
      <c r="S90" s="51"/>
      <c r="T90" s="55"/>
      <c r="U90" s="55"/>
      <c r="V90" s="51"/>
      <c r="W90" s="55"/>
      <c r="X90" s="51"/>
      <c r="Y90" s="51"/>
      <c r="Z90" s="177"/>
      <c r="AA90" s="51"/>
      <c r="AB90" s="177"/>
      <c r="AC90" s="51"/>
      <c r="AD90" s="51"/>
      <c r="AE90" s="57" t="s">
        <v>62</v>
      </c>
      <c r="AF90" s="2"/>
    </row>
    <row r="91" spans="1:34" s="11" customFormat="1" ht="21" customHeight="1">
      <c r="A91" s="45"/>
      <c r="B91" s="46"/>
      <c r="C91" s="36" t="s">
        <v>41</v>
      </c>
      <c r="D91" s="153">
        <v>21534</v>
      </c>
      <c r="E91" s="107">
        <f>ROUND(AD91/1000,0)</f>
        <v>23635</v>
      </c>
      <c r="F91" s="108">
        <f>SUMIF($AB$92:$AB$110,"보조",$AD$92:$AD$110)/1000</f>
        <v>19107</v>
      </c>
      <c r="G91" s="108">
        <f>SUMIF($AB$92:$AB$110,"7종",$AD$92:$AD$110)/1000</f>
        <v>0</v>
      </c>
      <c r="H91" s="108">
        <f>SUMIF($AB$92:$AB$110,"4종",$AD$92:$AD$110)/1000</f>
        <v>0</v>
      </c>
      <c r="I91" s="108">
        <f>SUMIF($AB$92:$AB$110,"후원",$AD$92:$AD$110)/1000</f>
        <v>3164</v>
      </c>
      <c r="J91" s="108">
        <f>SUMIF($AB$92:$AB$110,"입소",$AD$92:$AD$110)/1000</f>
        <v>0</v>
      </c>
      <c r="K91" s="108">
        <f>SUMIF($AB$92:$AB$110,"법인",$AD$92:$AD$110)/1000</f>
        <v>400</v>
      </c>
      <c r="L91" s="108">
        <f>SUMIF($AB$92:$AB$110,"잡수",$AD$92:$AD$110)/1000</f>
        <v>964</v>
      </c>
      <c r="M91" s="107">
        <f>E91-D91</f>
        <v>2101</v>
      </c>
      <c r="N91" s="115">
        <f>IF(D91=0,0,M91/D91)</f>
        <v>9.7566638803752201E-2</v>
      </c>
      <c r="O91" s="304" t="s">
        <v>42</v>
      </c>
      <c r="P91" s="305"/>
      <c r="Q91" s="305"/>
      <c r="R91" s="305"/>
      <c r="S91" s="305"/>
      <c r="T91" s="306"/>
      <c r="U91" s="306"/>
      <c r="V91" s="306"/>
      <c r="W91" s="306"/>
      <c r="X91" s="306"/>
      <c r="Y91" s="307" t="s">
        <v>28</v>
      </c>
      <c r="Z91" s="307"/>
      <c r="AA91" s="307"/>
      <c r="AB91" s="307"/>
      <c r="AC91" s="308"/>
      <c r="AD91" s="308">
        <f>SUM(AD92:AD110)</f>
        <v>23635000</v>
      </c>
      <c r="AE91" s="170" t="s">
        <v>25</v>
      </c>
      <c r="AF91" s="1"/>
    </row>
    <row r="92" spans="1:34" s="11" customFormat="1" ht="21" customHeight="1">
      <c r="A92" s="45"/>
      <c r="B92" s="46"/>
      <c r="C92" s="46" t="s">
        <v>143</v>
      </c>
      <c r="D92" s="151"/>
      <c r="E92" s="103"/>
      <c r="F92" s="103"/>
      <c r="G92" s="103"/>
      <c r="H92" s="103"/>
      <c r="I92" s="103"/>
      <c r="J92" s="103"/>
      <c r="K92" s="103"/>
      <c r="L92" s="103"/>
      <c r="M92" s="103"/>
      <c r="N92" s="68"/>
      <c r="O92" s="309" t="s">
        <v>268</v>
      </c>
      <c r="P92" s="377"/>
      <c r="Q92" s="377"/>
      <c r="R92" s="377"/>
      <c r="S92" s="376"/>
      <c r="T92" s="297"/>
      <c r="U92" s="376"/>
      <c r="V92" s="310">
        <v>205000</v>
      </c>
      <c r="W92" s="311" t="s">
        <v>56</v>
      </c>
      <c r="X92" s="311" t="s">
        <v>26</v>
      </c>
      <c r="Y92" s="310">
        <v>8</v>
      </c>
      <c r="Z92" s="312" t="s">
        <v>29</v>
      </c>
      <c r="AA92" s="310" t="s">
        <v>27</v>
      </c>
      <c r="AB92" s="293" t="s">
        <v>269</v>
      </c>
      <c r="AC92" s="293"/>
      <c r="AD92" s="435">
        <f t="shared" ref="AD92:AD99" si="5">V92*Y92</f>
        <v>1640000</v>
      </c>
      <c r="AE92" s="397" t="s">
        <v>25</v>
      </c>
      <c r="AF92" s="1"/>
    </row>
    <row r="93" spans="1:34" s="11" customFormat="1" ht="21" customHeight="1">
      <c r="A93" s="45"/>
      <c r="B93" s="46"/>
      <c r="C93" s="46"/>
      <c r="D93" s="151"/>
      <c r="E93" s="103"/>
      <c r="F93" s="103"/>
      <c r="G93" s="103"/>
      <c r="H93" s="103"/>
      <c r="I93" s="103"/>
      <c r="J93" s="103"/>
      <c r="K93" s="103"/>
      <c r="L93" s="103"/>
      <c r="M93" s="103"/>
      <c r="N93" s="68"/>
      <c r="O93" s="377" t="s">
        <v>270</v>
      </c>
      <c r="P93" s="377"/>
      <c r="Q93" s="377"/>
      <c r="R93" s="377"/>
      <c r="S93" s="376"/>
      <c r="T93" s="297"/>
      <c r="U93" s="297"/>
      <c r="V93" s="310">
        <v>218000</v>
      </c>
      <c r="W93" s="311" t="s">
        <v>56</v>
      </c>
      <c r="X93" s="311" t="s">
        <v>26</v>
      </c>
      <c r="Y93" s="310">
        <v>8</v>
      </c>
      <c r="Z93" s="312" t="s">
        <v>29</v>
      </c>
      <c r="AA93" s="310" t="s">
        <v>27</v>
      </c>
      <c r="AB93" s="435" t="s">
        <v>302</v>
      </c>
      <c r="AC93" s="435"/>
      <c r="AD93" s="631">
        <f t="shared" si="5"/>
        <v>1744000</v>
      </c>
      <c r="AE93" s="131" t="s">
        <v>812</v>
      </c>
      <c r="AF93" s="20"/>
    </row>
    <row r="94" spans="1:34" s="11" customFormat="1" ht="21" customHeight="1">
      <c r="A94" s="45"/>
      <c r="B94" s="46"/>
      <c r="C94" s="46"/>
      <c r="D94" s="151"/>
      <c r="E94" s="103"/>
      <c r="F94" s="103"/>
      <c r="G94" s="103"/>
      <c r="H94" s="103"/>
      <c r="I94" s="103"/>
      <c r="J94" s="103"/>
      <c r="K94" s="103"/>
      <c r="L94" s="103"/>
      <c r="M94" s="103"/>
      <c r="N94" s="68"/>
      <c r="O94" s="445" t="s">
        <v>342</v>
      </c>
      <c r="P94" s="445"/>
      <c r="Q94" s="445"/>
      <c r="R94" s="445"/>
      <c r="S94" s="444"/>
      <c r="T94" s="297"/>
      <c r="U94" s="297"/>
      <c r="V94" s="310">
        <v>170000</v>
      </c>
      <c r="W94" s="311" t="s">
        <v>56</v>
      </c>
      <c r="X94" s="311" t="s">
        <v>26</v>
      </c>
      <c r="Y94" s="310">
        <v>12</v>
      </c>
      <c r="Z94" s="312" t="s">
        <v>29</v>
      </c>
      <c r="AA94" s="310" t="s">
        <v>27</v>
      </c>
      <c r="AB94" s="444" t="s">
        <v>76</v>
      </c>
      <c r="AC94" s="444"/>
      <c r="AD94" s="631">
        <f t="shared" ref="AD94:AD95" si="6">V94*Y94</f>
        <v>2040000</v>
      </c>
      <c r="AE94" s="131" t="s">
        <v>812</v>
      </c>
      <c r="AF94" s="20"/>
    </row>
    <row r="95" spans="1:34" s="11" customFormat="1" ht="21" customHeight="1">
      <c r="A95" s="45"/>
      <c r="B95" s="46"/>
      <c r="C95" s="46"/>
      <c r="D95" s="151"/>
      <c r="E95" s="103"/>
      <c r="F95" s="103"/>
      <c r="G95" s="103"/>
      <c r="H95" s="103"/>
      <c r="I95" s="103"/>
      <c r="J95" s="103"/>
      <c r="K95" s="103"/>
      <c r="L95" s="103"/>
      <c r="M95" s="103"/>
      <c r="N95" s="68"/>
      <c r="O95" s="557" t="s">
        <v>600</v>
      </c>
      <c r="P95" s="557"/>
      <c r="Q95" s="557"/>
      <c r="R95" s="557"/>
      <c r="S95" s="556"/>
      <c r="T95" s="297"/>
      <c r="U95" s="297"/>
      <c r="V95" s="310">
        <v>50000</v>
      </c>
      <c r="W95" s="311" t="s">
        <v>588</v>
      </c>
      <c r="X95" s="311" t="s">
        <v>26</v>
      </c>
      <c r="Y95" s="310">
        <v>12</v>
      </c>
      <c r="Z95" s="312" t="s">
        <v>29</v>
      </c>
      <c r="AA95" s="310" t="s">
        <v>27</v>
      </c>
      <c r="AB95" s="556" t="s">
        <v>595</v>
      </c>
      <c r="AC95" s="556"/>
      <c r="AD95" s="631">
        <f t="shared" si="6"/>
        <v>600000</v>
      </c>
      <c r="AE95" s="131" t="s">
        <v>812</v>
      </c>
      <c r="AF95" s="20"/>
    </row>
    <row r="96" spans="1:34" s="11" customFormat="1" ht="21" customHeight="1">
      <c r="A96" s="45"/>
      <c r="B96" s="46"/>
      <c r="C96" s="46"/>
      <c r="D96" s="151"/>
      <c r="E96" s="103"/>
      <c r="F96" s="103"/>
      <c r="G96" s="103"/>
      <c r="H96" s="103"/>
      <c r="I96" s="103"/>
      <c r="J96" s="103"/>
      <c r="K96" s="103"/>
      <c r="L96" s="103"/>
      <c r="M96" s="103"/>
      <c r="N96" s="68"/>
      <c r="O96" s="445" t="s">
        <v>343</v>
      </c>
      <c r="P96" s="377"/>
      <c r="Q96" s="377"/>
      <c r="R96" s="377"/>
      <c r="S96" s="376"/>
      <c r="T96" s="297"/>
      <c r="U96" s="297"/>
      <c r="V96" s="310">
        <v>200000</v>
      </c>
      <c r="W96" s="311" t="s">
        <v>56</v>
      </c>
      <c r="X96" s="311" t="s">
        <v>26</v>
      </c>
      <c r="Y96" s="310">
        <v>6</v>
      </c>
      <c r="Z96" s="312" t="s">
        <v>29</v>
      </c>
      <c r="AA96" s="310" t="s">
        <v>27</v>
      </c>
      <c r="AB96" s="376" t="s">
        <v>269</v>
      </c>
      <c r="AC96" s="376"/>
      <c r="AD96" s="631">
        <f t="shared" si="5"/>
        <v>1200000</v>
      </c>
      <c r="AE96" s="131" t="s">
        <v>812</v>
      </c>
      <c r="AF96" s="20"/>
    </row>
    <row r="97" spans="1:32" s="11" customFormat="1" ht="21" customHeight="1">
      <c r="A97" s="45"/>
      <c r="B97" s="46"/>
      <c r="C97" s="46"/>
      <c r="D97" s="151"/>
      <c r="E97" s="103"/>
      <c r="F97" s="103"/>
      <c r="G97" s="103"/>
      <c r="H97" s="103"/>
      <c r="I97" s="103"/>
      <c r="J97" s="103"/>
      <c r="K97" s="103"/>
      <c r="L97" s="103"/>
      <c r="M97" s="103"/>
      <c r="N97" s="68"/>
      <c r="O97" s="669"/>
      <c r="P97" s="669"/>
      <c r="Q97" s="669"/>
      <c r="R97" s="669"/>
      <c r="S97" s="668"/>
      <c r="T97" s="297"/>
      <c r="U97" s="297"/>
      <c r="V97" s="310"/>
      <c r="W97" s="311"/>
      <c r="X97" s="311"/>
      <c r="Y97" s="310"/>
      <c r="Z97" s="312"/>
      <c r="AA97" s="310"/>
      <c r="AB97" s="668" t="s">
        <v>885</v>
      </c>
      <c r="AC97" s="668"/>
      <c r="AD97" s="668">
        <v>380000</v>
      </c>
      <c r="AE97" s="131" t="s">
        <v>886</v>
      </c>
      <c r="AF97" s="20"/>
    </row>
    <row r="98" spans="1:32" s="11" customFormat="1" ht="21" customHeight="1">
      <c r="A98" s="45"/>
      <c r="B98" s="46"/>
      <c r="C98" s="46"/>
      <c r="D98" s="151"/>
      <c r="E98" s="103"/>
      <c r="F98" s="103"/>
      <c r="G98" s="103"/>
      <c r="H98" s="103"/>
      <c r="I98" s="103"/>
      <c r="J98" s="103"/>
      <c r="K98" s="103"/>
      <c r="L98" s="103"/>
      <c r="M98" s="103"/>
      <c r="N98" s="68"/>
      <c r="O98" s="651"/>
      <c r="P98" s="651"/>
      <c r="Q98" s="651"/>
      <c r="R98" s="651"/>
      <c r="S98" s="650"/>
      <c r="T98" s="297"/>
      <c r="U98" s="297"/>
      <c r="V98" s="310"/>
      <c r="W98" s="311"/>
      <c r="X98" s="311"/>
      <c r="Y98" s="310"/>
      <c r="Z98" s="312"/>
      <c r="AA98" s="310"/>
      <c r="AB98" s="668" t="s">
        <v>887</v>
      </c>
      <c r="AC98" s="650"/>
      <c r="AD98" s="650">
        <v>400000</v>
      </c>
      <c r="AE98" s="131" t="s">
        <v>873</v>
      </c>
      <c r="AF98" s="20"/>
    </row>
    <row r="99" spans="1:32" s="11" customFormat="1" ht="21" customHeight="1">
      <c r="A99" s="45"/>
      <c r="B99" s="46"/>
      <c r="C99" s="46"/>
      <c r="D99" s="151"/>
      <c r="E99" s="103"/>
      <c r="F99" s="103"/>
      <c r="G99" s="103"/>
      <c r="H99" s="103"/>
      <c r="I99" s="103"/>
      <c r="J99" s="103"/>
      <c r="K99" s="103"/>
      <c r="L99" s="103"/>
      <c r="M99" s="103"/>
      <c r="N99" s="68"/>
      <c r="O99" s="445" t="s">
        <v>344</v>
      </c>
      <c r="P99" s="377"/>
      <c r="Q99" s="377"/>
      <c r="R99" s="377"/>
      <c r="S99" s="376"/>
      <c r="T99" s="297"/>
      <c r="U99" s="297"/>
      <c r="V99" s="310">
        <v>101000</v>
      </c>
      <c r="W99" s="311" t="s">
        <v>56</v>
      </c>
      <c r="X99" s="311" t="s">
        <v>26</v>
      </c>
      <c r="Y99" s="310">
        <v>12</v>
      </c>
      <c r="Z99" s="312" t="s">
        <v>29</v>
      </c>
      <c r="AA99" s="310" t="s">
        <v>27</v>
      </c>
      <c r="AB99" s="435" t="s">
        <v>76</v>
      </c>
      <c r="AC99" s="435"/>
      <c r="AD99" s="631">
        <f t="shared" si="5"/>
        <v>1212000</v>
      </c>
      <c r="AE99" s="131" t="s">
        <v>812</v>
      </c>
      <c r="AF99" s="20"/>
    </row>
    <row r="100" spans="1:32" s="11" customFormat="1" ht="21" customHeight="1">
      <c r="A100" s="45"/>
      <c r="B100" s="46"/>
      <c r="C100" s="46"/>
      <c r="D100" s="151"/>
      <c r="E100" s="103"/>
      <c r="F100" s="103"/>
      <c r="G100" s="103"/>
      <c r="H100" s="103"/>
      <c r="I100" s="103"/>
      <c r="J100" s="103"/>
      <c r="K100" s="103"/>
      <c r="L100" s="103"/>
      <c r="M100" s="103"/>
      <c r="N100" s="68"/>
      <c r="O100" s="445" t="s">
        <v>345</v>
      </c>
      <c r="P100" s="377"/>
      <c r="Q100" s="377"/>
      <c r="R100" s="377"/>
      <c r="S100" s="376"/>
      <c r="T100" s="297"/>
      <c r="U100" s="297"/>
      <c r="V100" s="310">
        <v>170000</v>
      </c>
      <c r="W100" s="311" t="s">
        <v>56</v>
      </c>
      <c r="X100" s="311" t="s">
        <v>26</v>
      </c>
      <c r="Y100" s="310">
        <v>12</v>
      </c>
      <c r="Z100" s="312" t="s">
        <v>29</v>
      </c>
      <c r="AA100" s="310" t="s">
        <v>27</v>
      </c>
      <c r="AB100" s="435" t="s">
        <v>76</v>
      </c>
      <c r="AC100" s="435"/>
      <c r="AD100" s="631">
        <f>V100*Y100</f>
        <v>2040000</v>
      </c>
      <c r="AE100" s="131" t="s">
        <v>812</v>
      </c>
      <c r="AF100" s="20"/>
    </row>
    <row r="101" spans="1:32" s="11" customFormat="1" ht="21" customHeight="1">
      <c r="A101" s="45"/>
      <c r="B101" s="46"/>
      <c r="C101" s="46"/>
      <c r="D101" s="151"/>
      <c r="E101" s="103"/>
      <c r="F101" s="103"/>
      <c r="G101" s="103"/>
      <c r="H101" s="103"/>
      <c r="I101" s="103"/>
      <c r="J101" s="103"/>
      <c r="K101" s="103"/>
      <c r="L101" s="103"/>
      <c r="M101" s="103"/>
      <c r="N101" s="68"/>
      <c r="O101" s="445" t="s">
        <v>346</v>
      </c>
      <c r="P101" s="436"/>
      <c r="Q101" s="436"/>
      <c r="R101" s="436"/>
      <c r="S101" s="435"/>
      <c r="T101" s="297"/>
      <c r="U101" s="297"/>
      <c r="V101" s="310"/>
      <c r="W101" s="311" t="s">
        <v>56</v>
      </c>
      <c r="X101" s="311" t="s">
        <v>26</v>
      </c>
      <c r="Y101" s="310"/>
      <c r="Z101" s="312" t="s">
        <v>29</v>
      </c>
      <c r="AA101" s="310" t="s">
        <v>27</v>
      </c>
      <c r="AB101" s="435" t="s">
        <v>76</v>
      </c>
      <c r="AC101" s="435"/>
      <c r="AD101" s="435">
        <v>1980000</v>
      </c>
      <c r="AE101" s="131" t="s">
        <v>56</v>
      </c>
      <c r="AF101" s="20"/>
    </row>
    <row r="102" spans="1:32" s="11" customFormat="1" ht="21" customHeight="1">
      <c r="A102" s="45"/>
      <c r="B102" s="46"/>
      <c r="C102" s="46"/>
      <c r="D102" s="151"/>
      <c r="E102" s="103"/>
      <c r="F102" s="103"/>
      <c r="G102" s="103"/>
      <c r="H102" s="103"/>
      <c r="I102" s="103"/>
      <c r="J102" s="103"/>
      <c r="K102" s="103"/>
      <c r="L102" s="103"/>
      <c r="M102" s="103"/>
      <c r="N102" s="68"/>
      <c r="O102" s="537" t="s">
        <v>551</v>
      </c>
      <c r="P102" s="537"/>
      <c r="Q102" s="537"/>
      <c r="R102" s="537"/>
      <c r="S102" s="536"/>
      <c r="T102" s="297"/>
      <c r="U102" s="536"/>
      <c r="V102" s="732"/>
      <c r="W102" s="733"/>
      <c r="X102" s="536"/>
      <c r="Y102" s="536"/>
      <c r="Z102" s="536"/>
      <c r="AA102" s="536"/>
      <c r="AB102" s="536" t="s">
        <v>76</v>
      </c>
      <c r="AC102" s="536"/>
      <c r="AD102" s="536">
        <v>2837000</v>
      </c>
      <c r="AE102" s="131" t="s">
        <v>25</v>
      </c>
      <c r="AF102" s="20"/>
    </row>
    <row r="103" spans="1:32" s="11" customFormat="1" ht="21" customHeight="1">
      <c r="A103" s="45"/>
      <c r="B103" s="46"/>
      <c r="C103" s="46"/>
      <c r="D103" s="151"/>
      <c r="E103" s="103"/>
      <c r="F103" s="103"/>
      <c r="G103" s="103"/>
      <c r="H103" s="103"/>
      <c r="I103" s="103"/>
      <c r="J103" s="103"/>
      <c r="K103" s="103"/>
      <c r="L103" s="103"/>
      <c r="M103" s="103"/>
      <c r="N103" s="68"/>
      <c r="O103" s="557"/>
      <c r="P103" s="557"/>
      <c r="Q103" s="557"/>
      <c r="R103" s="557"/>
      <c r="S103" s="556"/>
      <c r="T103" s="297"/>
      <c r="U103" s="556"/>
      <c r="V103" s="556"/>
      <c r="W103" s="557"/>
      <c r="X103" s="556"/>
      <c r="Y103" s="556"/>
      <c r="Z103" s="556"/>
      <c r="AA103" s="556"/>
      <c r="AB103" s="556" t="s">
        <v>152</v>
      </c>
      <c r="AC103" s="556"/>
      <c r="AD103" s="556">
        <v>1500000</v>
      </c>
      <c r="AE103" s="131" t="s">
        <v>589</v>
      </c>
      <c r="AF103" s="20"/>
    </row>
    <row r="104" spans="1:32" s="11" customFormat="1" ht="21" customHeight="1">
      <c r="A104" s="45"/>
      <c r="B104" s="46"/>
      <c r="C104" s="46"/>
      <c r="D104" s="151"/>
      <c r="E104" s="103"/>
      <c r="F104" s="103"/>
      <c r="G104" s="103"/>
      <c r="H104" s="103"/>
      <c r="I104" s="103"/>
      <c r="J104" s="103"/>
      <c r="K104" s="103"/>
      <c r="L104" s="103"/>
      <c r="M104" s="103"/>
      <c r="N104" s="68"/>
      <c r="O104" s="537" t="s">
        <v>552</v>
      </c>
      <c r="P104" s="537"/>
      <c r="Q104" s="537"/>
      <c r="R104" s="537"/>
      <c r="S104" s="536"/>
      <c r="T104" s="297"/>
      <c r="U104" s="297"/>
      <c r="V104" s="536"/>
      <c r="W104" s="537"/>
      <c r="X104" s="536"/>
      <c r="Y104" s="536"/>
      <c r="Z104" s="536"/>
      <c r="AA104" s="536"/>
      <c r="AB104" s="536" t="s">
        <v>76</v>
      </c>
      <c r="AC104" s="536"/>
      <c r="AD104" s="536">
        <v>430000</v>
      </c>
      <c r="AE104" s="131" t="s">
        <v>25</v>
      </c>
      <c r="AF104" s="20"/>
    </row>
    <row r="105" spans="1:32" s="11" customFormat="1" ht="21" customHeight="1">
      <c r="A105" s="45"/>
      <c r="B105" s="46"/>
      <c r="C105" s="46"/>
      <c r="D105" s="151"/>
      <c r="E105" s="103"/>
      <c r="F105" s="103"/>
      <c r="G105" s="103"/>
      <c r="H105" s="103"/>
      <c r="I105" s="103"/>
      <c r="J105" s="103"/>
      <c r="K105" s="103"/>
      <c r="L105" s="103"/>
      <c r="M105" s="103"/>
      <c r="N105" s="68"/>
      <c r="O105" s="557" t="s">
        <v>601</v>
      </c>
      <c r="P105" s="557"/>
      <c r="Q105" s="557"/>
      <c r="R105" s="557"/>
      <c r="S105" s="556"/>
      <c r="T105" s="297"/>
      <c r="U105" s="297"/>
      <c r="V105" s="310">
        <v>282000</v>
      </c>
      <c r="W105" s="311" t="s">
        <v>588</v>
      </c>
      <c r="X105" s="311" t="s">
        <v>26</v>
      </c>
      <c r="Y105" s="310">
        <v>12</v>
      </c>
      <c r="Z105" s="312" t="s">
        <v>29</v>
      </c>
      <c r="AA105" s="310" t="s">
        <v>27</v>
      </c>
      <c r="AB105" s="556" t="s">
        <v>595</v>
      </c>
      <c r="AC105" s="556"/>
      <c r="AD105" s="556">
        <f>V105*Y105</f>
        <v>3384000</v>
      </c>
      <c r="AE105" s="131" t="s">
        <v>775</v>
      </c>
      <c r="AF105" s="20"/>
    </row>
    <row r="106" spans="1:32" s="11" customFormat="1" ht="21" customHeight="1">
      <c r="A106" s="45"/>
      <c r="B106" s="46"/>
      <c r="C106" s="46"/>
      <c r="D106" s="151"/>
      <c r="E106" s="103"/>
      <c r="F106" s="103"/>
      <c r="G106" s="103"/>
      <c r="H106" s="103"/>
      <c r="I106" s="103"/>
      <c r="J106" s="103"/>
      <c r="K106" s="103"/>
      <c r="L106" s="103"/>
      <c r="M106" s="103"/>
      <c r="N106" s="68"/>
      <c r="O106" s="557"/>
      <c r="P106" s="557"/>
      <c r="Q106" s="557"/>
      <c r="R106" s="557"/>
      <c r="S106" s="556"/>
      <c r="T106" s="297"/>
      <c r="U106" s="297"/>
      <c r="V106" s="556"/>
      <c r="W106" s="556"/>
      <c r="X106" s="556"/>
      <c r="Y106" s="556"/>
      <c r="Z106" s="556"/>
      <c r="AA106" s="556"/>
      <c r="AB106" s="556" t="s">
        <v>594</v>
      </c>
      <c r="AC106" s="556"/>
      <c r="AD106" s="378">
        <v>326000</v>
      </c>
      <c r="AE106" s="628" t="s">
        <v>812</v>
      </c>
      <c r="AF106" s="20"/>
    </row>
    <row r="107" spans="1:32" s="11" customFormat="1" ht="21" customHeight="1">
      <c r="A107" s="45"/>
      <c r="B107" s="46"/>
      <c r="C107" s="46"/>
      <c r="D107" s="151"/>
      <c r="E107" s="103"/>
      <c r="F107" s="103"/>
      <c r="G107" s="103"/>
      <c r="H107" s="103"/>
      <c r="I107" s="103"/>
      <c r="J107" s="103"/>
      <c r="K107" s="103"/>
      <c r="L107" s="103"/>
      <c r="M107" s="103"/>
      <c r="N107" s="68"/>
      <c r="O107" s="602" t="s">
        <v>764</v>
      </c>
      <c r="P107" s="557"/>
      <c r="Q107" s="557"/>
      <c r="R107" s="557"/>
      <c r="S107" s="556"/>
      <c r="T107" s="297"/>
      <c r="U107" s="297"/>
      <c r="V107" s="556"/>
      <c r="W107" s="556"/>
      <c r="X107" s="556"/>
      <c r="Y107" s="556"/>
      <c r="Z107" s="556"/>
      <c r="AA107" s="556"/>
      <c r="AB107" s="378" t="s">
        <v>849</v>
      </c>
      <c r="AC107" s="556"/>
      <c r="AD107" s="556">
        <v>584000</v>
      </c>
      <c r="AE107" s="131" t="s">
        <v>775</v>
      </c>
      <c r="AF107" s="20"/>
    </row>
    <row r="108" spans="1:32" s="11" customFormat="1" ht="21" customHeight="1">
      <c r="A108" s="45"/>
      <c r="B108" s="46"/>
      <c r="C108" s="46"/>
      <c r="D108" s="151"/>
      <c r="E108" s="103"/>
      <c r="F108" s="103"/>
      <c r="G108" s="103"/>
      <c r="H108" s="103"/>
      <c r="I108" s="103"/>
      <c r="J108" s="103"/>
      <c r="K108" s="103"/>
      <c r="L108" s="103"/>
      <c r="M108" s="103"/>
      <c r="N108" s="68"/>
      <c r="O108" s="570" t="s">
        <v>634</v>
      </c>
      <c r="P108" s="570"/>
      <c r="Q108" s="570"/>
      <c r="R108" s="570"/>
      <c r="S108" s="569">
        <v>150000</v>
      </c>
      <c r="T108" s="297" t="s">
        <v>619</v>
      </c>
      <c r="U108" s="297" t="s">
        <v>26</v>
      </c>
      <c r="V108" s="569">
        <v>6</v>
      </c>
      <c r="W108" s="569" t="s">
        <v>623</v>
      </c>
      <c r="X108" s="568" t="s">
        <v>27</v>
      </c>
      <c r="Y108" s="569"/>
      <c r="Z108" s="569"/>
      <c r="AA108" s="568"/>
      <c r="AB108" s="569" t="s">
        <v>629</v>
      </c>
      <c r="AC108" s="569"/>
      <c r="AD108" s="569">
        <v>300000</v>
      </c>
      <c r="AE108" s="405" t="s">
        <v>775</v>
      </c>
      <c r="AF108" s="20"/>
    </row>
    <row r="109" spans="1:32" s="11" customFormat="1" ht="21" customHeight="1">
      <c r="A109" s="45"/>
      <c r="B109" s="46"/>
      <c r="C109" s="46"/>
      <c r="D109" s="151"/>
      <c r="E109" s="103"/>
      <c r="F109" s="103"/>
      <c r="G109" s="103"/>
      <c r="H109" s="103"/>
      <c r="I109" s="103"/>
      <c r="J109" s="103"/>
      <c r="K109" s="103"/>
      <c r="L109" s="103"/>
      <c r="M109" s="103"/>
      <c r="N109" s="68"/>
      <c r="O109" s="602" t="s">
        <v>765</v>
      </c>
      <c r="P109" s="377"/>
      <c r="Q109" s="377"/>
      <c r="R109" s="377"/>
      <c r="S109" s="376"/>
      <c r="T109" s="297"/>
      <c r="U109" s="297"/>
      <c r="V109" s="376"/>
      <c r="W109" s="377"/>
      <c r="X109" s="376"/>
      <c r="Y109" s="376"/>
      <c r="Z109" s="376"/>
      <c r="AA109" s="376"/>
      <c r="AB109" s="437" t="s">
        <v>152</v>
      </c>
      <c r="AC109" s="376"/>
      <c r="AD109" s="376">
        <v>0</v>
      </c>
      <c r="AE109" s="131" t="s">
        <v>775</v>
      </c>
      <c r="AF109" s="20"/>
    </row>
    <row r="110" spans="1:32" s="11" customFormat="1" ht="21" customHeight="1">
      <c r="A110" s="45"/>
      <c r="B110" s="46"/>
      <c r="C110" s="46"/>
      <c r="D110" s="151"/>
      <c r="E110" s="103"/>
      <c r="F110" s="103"/>
      <c r="G110" s="103"/>
      <c r="H110" s="103"/>
      <c r="I110" s="103"/>
      <c r="J110" s="103"/>
      <c r="K110" s="103"/>
      <c r="L110" s="103"/>
      <c r="M110" s="103"/>
      <c r="N110" s="68"/>
      <c r="O110" s="550" t="s">
        <v>559</v>
      </c>
      <c r="P110" s="377"/>
      <c r="Q110" s="377"/>
      <c r="R110" s="377"/>
      <c r="S110" s="376"/>
      <c r="T110" s="297"/>
      <c r="U110" s="376"/>
      <c r="V110" s="376"/>
      <c r="W110" s="377"/>
      <c r="X110" s="376"/>
      <c r="Y110" s="376"/>
      <c r="Z110" s="376"/>
      <c r="AA110" s="376"/>
      <c r="AB110" s="376" t="s">
        <v>152</v>
      </c>
      <c r="AC110" s="376"/>
      <c r="AD110" s="376">
        <f>SUM(AD111:AD113)</f>
        <v>1038000</v>
      </c>
      <c r="AE110" s="131" t="s">
        <v>248</v>
      </c>
      <c r="AF110" s="1"/>
    </row>
    <row r="111" spans="1:32" s="11" customFormat="1" ht="21" customHeight="1">
      <c r="A111" s="45"/>
      <c r="B111" s="46"/>
      <c r="C111" s="46"/>
      <c r="D111" s="151"/>
      <c r="E111" s="103"/>
      <c r="F111" s="103"/>
      <c r="G111" s="103"/>
      <c r="H111" s="103"/>
      <c r="I111" s="103"/>
      <c r="J111" s="103"/>
      <c r="K111" s="103"/>
      <c r="L111" s="103"/>
      <c r="M111" s="103"/>
      <c r="N111" s="68"/>
      <c r="O111" s="312" t="s">
        <v>635</v>
      </c>
      <c r="P111" s="312"/>
      <c r="Q111" s="312"/>
      <c r="R111" s="312"/>
      <c r="S111" s="310">
        <v>44000</v>
      </c>
      <c r="T111" s="311" t="s">
        <v>627</v>
      </c>
      <c r="U111" s="311" t="s">
        <v>26</v>
      </c>
      <c r="V111" s="310">
        <v>12</v>
      </c>
      <c r="W111" s="312" t="s">
        <v>29</v>
      </c>
      <c r="X111" s="310" t="s">
        <v>27</v>
      </c>
      <c r="Y111" s="310"/>
      <c r="Z111" s="310"/>
      <c r="AA111" s="310"/>
      <c r="AB111" s="310"/>
      <c r="AC111" s="310"/>
      <c r="AD111" s="569">
        <f>S111*V111</f>
        <v>528000</v>
      </c>
      <c r="AE111" s="405" t="s">
        <v>627</v>
      </c>
      <c r="AF111" s="1"/>
    </row>
    <row r="112" spans="1:32" s="11" customFormat="1" ht="21" customHeight="1">
      <c r="A112" s="45"/>
      <c r="B112" s="46"/>
      <c r="C112" s="46"/>
      <c r="D112" s="151"/>
      <c r="E112" s="103"/>
      <c r="F112" s="103"/>
      <c r="G112" s="103"/>
      <c r="H112" s="103"/>
      <c r="I112" s="103"/>
      <c r="J112" s="103"/>
      <c r="K112" s="103"/>
      <c r="L112" s="103"/>
      <c r="M112" s="103"/>
      <c r="N112" s="68"/>
      <c r="O112" s="312" t="s">
        <v>636</v>
      </c>
      <c r="P112" s="312"/>
      <c r="Q112" s="312"/>
      <c r="R112" s="312"/>
      <c r="S112" s="310">
        <v>40000</v>
      </c>
      <c r="T112" s="311" t="s">
        <v>627</v>
      </c>
      <c r="U112" s="311" t="s">
        <v>26</v>
      </c>
      <c r="V112" s="310">
        <v>12</v>
      </c>
      <c r="W112" s="312" t="s">
        <v>29</v>
      </c>
      <c r="X112" s="310" t="s">
        <v>27</v>
      </c>
      <c r="Y112" s="310"/>
      <c r="Z112" s="310"/>
      <c r="AA112" s="310"/>
      <c r="AB112" s="310"/>
      <c r="AC112" s="310"/>
      <c r="AD112" s="569">
        <f>S112*V112</f>
        <v>480000</v>
      </c>
      <c r="AE112" s="405" t="s">
        <v>627</v>
      </c>
      <c r="AF112" s="1"/>
    </row>
    <row r="113" spans="1:32" s="11" customFormat="1" ht="21" customHeight="1">
      <c r="A113" s="45"/>
      <c r="B113" s="46"/>
      <c r="C113" s="59"/>
      <c r="D113" s="152"/>
      <c r="E113" s="105"/>
      <c r="F113" s="105"/>
      <c r="G113" s="105"/>
      <c r="H113" s="105"/>
      <c r="I113" s="105"/>
      <c r="J113" s="105"/>
      <c r="K113" s="105"/>
      <c r="L113" s="105"/>
      <c r="M113" s="105"/>
      <c r="N113" s="82"/>
      <c r="O113" s="574" t="s">
        <v>637</v>
      </c>
      <c r="P113" s="574"/>
      <c r="Q113" s="574"/>
      <c r="R113" s="574"/>
      <c r="S113" s="574"/>
      <c r="T113" s="574"/>
      <c r="U113" s="574"/>
      <c r="V113" s="574"/>
      <c r="W113" s="574"/>
      <c r="X113" s="574"/>
      <c r="Y113" s="574"/>
      <c r="Z113" s="574"/>
      <c r="AA113" s="574"/>
      <c r="AB113" s="574"/>
      <c r="AC113" s="574"/>
      <c r="AD113" s="575">
        <v>30000</v>
      </c>
      <c r="AE113" s="576" t="s">
        <v>627</v>
      </c>
      <c r="AF113" s="1"/>
    </row>
    <row r="114" spans="1:32" s="11" customFormat="1" ht="21" customHeight="1">
      <c r="A114" s="45"/>
      <c r="B114" s="46"/>
      <c r="C114" s="46" t="s">
        <v>39</v>
      </c>
      <c r="D114" s="151">
        <v>29850</v>
      </c>
      <c r="E114" s="103">
        <f>ROUND(AD114/1000,0)</f>
        <v>31477</v>
      </c>
      <c r="F114" s="108">
        <f>SUMIF($AB$115:$AB$122,"보조",$AD$115:$AD$122)/1000</f>
        <v>29195</v>
      </c>
      <c r="G114" s="108">
        <f>SUMIF($AB$115:$AB$122,"7종",$AD$115:$AD$122)/1000</f>
        <v>0</v>
      </c>
      <c r="H114" s="108">
        <f>SUMIF($AB$115:$AB$122,"4종",$AD$115:$AD$122)/1000</f>
        <v>0</v>
      </c>
      <c r="I114" s="108">
        <f>SUMIF($AB$115:$AB$122,"후원",$AD$115:$AD$122)/1000</f>
        <v>640</v>
      </c>
      <c r="J114" s="108">
        <f>SUMIF($AB$115:$AB$122,"입소",$AD$115:$AD$122)/1000</f>
        <v>0</v>
      </c>
      <c r="K114" s="108">
        <f>SUMIF($AB$115:$AB$122,"법인",$AD$115:$AD$122)/1000</f>
        <v>0</v>
      </c>
      <c r="L114" s="108">
        <f>SUMIF($AB$115:$AB$122,"잡수",$AD$115:$AD$122)/1000</f>
        <v>1642</v>
      </c>
      <c r="M114" s="103">
        <f>E114-D114</f>
        <v>1627</v>
      </c>
      <c r="N114" s="68">
        <f>IF(D114=0,0,M114/D114)</f>
        <v>5.4505862646566164E-2</v>
      </c>
      <c r="O114" s="340" t="s">
        <v>43</v>
      </c>
      <c r="P114" s="341"/>
      <c r="Q114" s="341"/>
      <c r="R114" s="341"/>
      <c r="S114" s="341"/>
      <c r="T114" s="342"/>
      <c r="U114" s="342"/>
      <c r="V114" s="342"/>
      <c r="W114" s="342"/>
      <c r="X114" s="342"/>
      <c r="Y114" s="343" t="s">
        <v>208</v>
      </c>
      <c r="Z114" s="343"/>
      <c r="AA114" s="343"/>
      <c r="AB114" s="343"/>
      <c r="AC114" s="344"/>
      <c r="AD114" s="344">
        <f>ROUND(SUM(AD115:AD121),-3)</f>
        <v>31477000</v>
      </c>
      <c r="AE114" s="345" t="s">
        <v>25</v>
      </c>
      <c r="AF114" s="1"/>
    </row>
    <row r="115" spans="1:32" s="11" customFormat="1" ht="21" customHeight="1">
      <c r="A115" s="45"/>
      <c r="B115" s="46"/>
      <c r="C115" s="46"/>
      <c r="D115" s="151"/>
      <c r="E115" s="103"/>
      <c r="F115" s="103"/>
      <c r="G115" s="103"/>
      <c r="H115" s="103"/>
      <c r="I115" s="103"/>
      <c r="J115" s="103"/>
      <c r="K115" s="103"/>
      <c r="L115" s="103"/>
      <c r="M115" s="103"/>
      <c r="N115" s="68"/>
      <c r="O115" s="346" t="s">
        <v>304</v>
      </c>
      <c r="P115" s="279"/>
      <c r="Q115" s="279"/>
      <c r="R115" s="279"/>
      <c r="S115" s="277">
        <v>100000</v>
      </c>
      <c r="T115" s="348" t="s">
        <v>25</v>
      </c>
      <c r="U115" s="348" t="s">
        <v>26</v>
      </c>
      <c r="V115" s="347">
        <v>12</v>
      </c>
      <c r="W115" s="349" t="s">
        <v>29</v>
      </c>
      <c r="X115" s="347" t="s">
        <v>27</v>
      </c>
      <c r="Y115" s="277"/>
      <c r="Z115" s="277"/>
      <c r="AA115" s="277"/>
      <c r="AB115" s="277" t="s">
        <v>215</v>
      </c>
      <c r="AC115" s="277"/>
      <c r="AD115" s="277">
        <f t="shared" ref="AD115:AD117" si="7">S115*V115</f>
        <v>1200000</v>
      </c>
      <c r="AE115" s="303" t="s">
        <v>25</v>
      </c>
      <c r="AF115" s="1"/>
    </row>
    <row r="116" spans="1:32" s="11" customFormat="1" ht="21" customHeight="1">
      <c r="A116" s="45"/>
      <c r="B116" s="46"/>
      <c r="C116" s="46"/>
      <c r="D116" s="151"/>
      <c r="E116" s="103"/>
      <c r="F116" s="103"/>
      <c r="G116" s="103"/>
      <c r="H116" s="103"/>
      <c r="I116" s="103"/>
      <c r="J116" s="103"/>
      <c r="K116" s="103"/>
      <c r="L116" s="103"/>
      <c r="M116" s="103"/>
      <c r="N116" s="68"/>
      <c r="O116" s="279" t="s">
        <v>303</v>
      </c>
      <c r="P116" s="279"/>
      <c r="Q116" s="279"/>
      <c r="R116" s="279"/>
      <c r="S116" s="277">
        <v>1250000</v>
      </c>
      <c r="T116" s="339" t="s">
        <v>200</v>
      </c>
      <c r="U116" s="339" t="s">
        <v>26</v>
      </c>
      <c r="V116" s="277">
        <v>12</v>
      </c>
      <c r="W116" s="279" t="s">
        <v>205</v>
      </c>
      <c r="X116" s="277" t="s">
        <v>27</v>
      </c>
      <c r="Y116" s="277"/>
      <c r="Z116" s="277"/>
      <c r="AA116" s="277"/>
      <c r="AB116" s="277" t="s">
        <v>215</v>
      </c>
      <c r="AC116" s="277"/>
      <c r="AD116" s="277">
        <f t="shared" si="7"/>
        <v>15000000</v>
      </c>
      <c r="AE116" s="303" t="s">
        <v>25</v>
      </c>
      <c r="AF116" s="1"/>
    </row>
    <row r="117" spans="1:32" s="14" customFormat="1" ht="21" customHeight="1">
      <c r="A117" s="45"/>
      <c r="B117" s="46"/>
      <c r="C117" s="46"/>
      <c r="D117" s="151"/>
      <c r="E117" s="103"/>
      <c r="F117" s="103"/>
      <c r="G117" s="103"/>
      <c r="H117" s="103"/>
      <c r="I117" s="103"/>
      <c r="J117" s="103"/>
      <c r="K117" s="103"/>
      <c r="L117" s="103"/>
      <c r="M117" s="103"/>
      <c r="N117" s="68"/>
      <c r="O117" s="279" t="s">
        <v>297</v>
      </c>
      <c r="P117" s="279"/>
      <c r="Q117" s="279"/>
      <c r="R117" s="279"/>
      <c r="S117" s="277">
        <v>750000</v>
      </c>
      <c r="T117" s="339" t="s">
        <v>200</v>
      </c>
      <c r="U117" s="339" t="s">
        <v>26</v>
      </c>
      <c r="V117" s="277">
        <v>12</v>
      </c>
      <c r="W117" s="279" t="s">
        <v>205</v>
      </c>
      <c r="X117" s="277" t="s">
        <v>27</v>
      </c>
      <c r="Y117" s="277"/>
      <c r="Z117" s="277"/>
      <c r="AA117" s="277"/>
      <c r="AB117" s="277" t="s">
        <v>215</v>
      </c>
      <c r="AC117" s="277"/>
      <c r="AD117" s="277">
        <f t="shared" si="7"/>
        <v>9000000</v>
      </c>
      <c r="AE117" s="303" t="s">
        <v>25</v>
      </c>
      <c r="AF117" s="4"/>
    </row>
    <row r="118" spans="1:32" s="14" customFormat="1" ht="21" customHeight="1">
      <c r="A118" s="45"/>
      <c r="B118" s="46"/>
      <c r="C118" s="46"/>
      <c r="D118" s="151"/>
      <c r="E118" s="103"/>
      <c r="F118" s="103"/>
      <c r="G118" s="103"/>
      <c r="H118" s="103"/>
      <c r="I118" s="103"/>
      <c r="J118" s="103"/>
      <c r="K118" s="103"/>
      <c r="L118" s="103"/>
      <c r="M118" s="103"/>
      <c r="N118" s="68"/>
      <c r="O118" s="279" t="s">
        <v>305</v>
      </c>
      <c r="P118" s="377"/>
      <c r="Q118" s="377"/>
      <c r="R118" s="377"/>
      <c r="S118" s="277">
        <v>63000</v>
      </c>
      <c r="T118" s="339" t="s">
        <v>56</v>
      </c>
      <c r="U118" s="339" t="s">
        <v>26</v>
      </c>
      <c r="V118" s="277">
        <v>12</v>
      </c>
      <c r="W118" s="279" t="s">
        <v>157</v>
      </c>
      <c r="X118" s="277" t="s">
        <v>27</v>
      </c>
      <c r="Y118" s="277"/>
      <c r="Z118" s="277"/>
      <c r="AA118" s="277"/>
      <c r="AB118" s="277" t="s">
        <v>76</v>
      </c>
      <c r="AC118" s="277"/>
      <c r="AD118" s="277">
        <f>S118*V118-1000</f>
        <v>755000</v>
      </c>
      <c r="AE118" s="303" t="s">
        <v>25</v>
      </c>
      <c r="AF118" s="4"/>
    </row>
    <row r="119" spans="1:32" s="14" customFormat="1" ht="21" customHeight="1">
      <c r="A119" s="45"/>
      <c r="B119" s="46"/>
      <c r="C119" s="46"/>
      <c r="D119" s="151"/>
      <c r="E119" s="103"/>
      <c r="F119" s="103"/>
      <c r="G119" s="103"/>
      <c r="H119" s="103"/>
      <c r="I119" s="103"/>
      <c r="J119" s="103"/>
      <c r="K119" s="103"/>
      <c r="L119" s="103"/>
      <c r="M119" s="103"/>
      <c r="N119" s="68"/>
      <c r="O119" s="557" t="s">
        <v>596</v>
      </c>
      <c r="P119" s="557"/>
      <c r="Q119" s="557"/>
      <c r="R119" s="557"/>
      <c r="S119" s="310">
        <v>270000</v>
      </c>
      <c r="T119" s="311" t="s">
        <v>597</v>
      </c>
      <c r="U119" s="311" t="s">
        <v>26</v>
      </c>
      <c r="V119" s="310">
        <v>12</v>
      </c>
      <c r="W119" s="312" t="s">
        <v>29</v>
      </c>
      <c r="X119" s="310" t="s">
        <v>27</v>
      </c>
      <c r="Y119" s="310"/>
      <c r="Z119" s="312"/>
      <c r="AA119" s="310"/>
      <c r="AB119" s="556" t="s">
        <v>598</v>
      </c>
      <c r="AC119" s="556"/>
      <c r="AD119" s="556">
        <f>S119*V119</f>
        <v>3240000</v>
      </c>
      <c r="AE119" s="131" t="s">
        <v>597</v>
      </c>
      <c r="AF119" s="4"/>
    </row>
    <row r="120" spans="1:32" s="14" customFormat="1" ht="21" customHeight="1">
      <c r="A120" s="45"/>
      <c r="B120" s="46"/>
      <c r="C120" s="46"/>
      <c r="D120" s="151"/>
      <c r="E120" s="103"/>
      <c r="F120" s="103"/>
      <c r="G120" s="103"/>
      <c r="H120" s="103"/>
      <c r="I120" s="103"/>
      <c r="J120" s="103"/>
      <c r="K120" s="103"/>
      <c r="L120" s="103"/>
      <c r="M120" s="103"/>
      <c r="N120" s="68"/>
      <c r="O120" s="585" t="s">
        <v>649</v>
      </c>
      <c r="P120" s="585"/>
      <c r="Q120" s="585"/>
      <c r="R120" s="585"/>
      <c r="S120" s="310"/>
      <c r="T120" s="311"/>
      <c r="U120" s="311"/>
      <c r="V120" s="310"/>
      <c r="W120" s="312"/>
      <c r="X120" s="310"/>
      <c r="Y120" s="310"/>
      <c r="Z120" s="312"/>
      <c r="AA120" s="310"/>
      <c r="AB120" s="378" t="s">
        <v>849</v>
      </c>
      <c r="AC120" s="584"/>
      <c r="AD120" s="378">
        <v>1642000</v>
      </c>
      <c r="AE120" s="628" t="s">
        <v>812</v>
      </c>
      <c r="AF120" s="4"/>
    </row>
    <row r="121" spans="1:32" s="14" customFormat="1" ht="21" customHeight="1">
      <c r="A121" s="45"/>
      <c r="B121" s="46"/>
      <c r="C121" s="46"/>
      <c r="D121" s="151"/>
      <c r="E121" s="103"/>
      <c r="F121" s="103"/>
      <c r="G121" s="103"/>
      <c r="H121" s="103"/>
      <c r="I121" s="103"/>
      <c r="J121" s="103"/>
      <c r="K121" s="103"/>
      <c r="L121" s="103"/>
      <c r="M121" s="103"/>
      <c r="N121" s="68"/>
      <c r="O121" s="279" t="s">
        <v>599</v>
      </c>
      <c r="P121" s="279"/>
      <c r="Q121" s="279"/>
      <c r="R121" s="279"/>
      <c r="S121" s="277"/>
      <c r="T121" s="339"/>
      <c r="U121" s="339"/>
      <c r="V121" s="277"/>
      <c r="W121" s="279"/>
      <c r="X121" s="277"/>
      <c r="Y121" s="277"/>
      <c r="Z121" s="277"/>
      <c r="AA121" s="277"/>
      <c r="AB121" s="277" t="s">
        <v>308</v>
      </c>
      <c r="AC121" s="277"/>
      <c r="AD121" s="277">
        <v>640000</v>
      </c>
      <c r="AE121" s="303" t="s">
        <v>56</v>
      </c>
      <c r="AF121" s="4"/>
    </row>
    <row r="122" spans="1:32" s="14" customFormat="1" ht="21" customHeight="1">
      <c r="A122" s="45"/>
      <c r="B122" s="46"/>
      <c r="C122" s="46"/>
      <c r="D122" s="151"/>
      <c r="E122" s="103"/>
      <c r="F122" s="103"/>
      <c r="G122" s="103"/>
      <c r="H122" s="103"/>
      <c r="I122" s="103"/>
      <c r="J122" s="103"/>
      <c r="K122" s="103"/>
      <c r="L122" s="103"/>
      <c r="M122" s="103"/>
      <c r="N122" s="68"/>
      <c r="O122" s="114"/>
      <c r="P122" s="50"/>
      <c r="Q122" s="50"/>
      <c r="R122" s="50"/>
      <c r="S122" s="51"/>
      <c r="T122" s="55"/>
      <c r="U122" s="55"/>
      <c r="V122" s="51"/>
      <c r="W122" s="50"/>
      <c r="X122" s="51"/>
      <c r="Y122" s="51"/>
      <c r="Z122" s="51"/>
      <c r="AA122" s="51"/>
      <c r="AB122" s="136"/>
      <c r="AC122" s="51"/>
      <c r="AD122" s="51"/>
      <c r="AE122" s="57"/>
      <c r="AF122" s="4"/>
    </row>
    <row r="123" spans="1:32" ht="21" customHeight="1">
      <c r="A123" s="45"/>
      <c r="B123" s="46"/>
      <c r="C123" s="36" t="s">
        <v>15</v>
      </c>
      <c r="D123" s="153">
        <v>8060</v>
      </c>
      <c r="E123" s="107">
        <f>ROUND(AD123/1000,0)</f>
        <v>8060</v>
      </c>
      <c r="F123" s="108">
        <f>SUMIF($AB$124:$AB$137,"보조",$AD$124:$AD$137)/1000</f>
        <v>7280</v>
      </c>
      <c r="G123" s="108">
        <f>SUMIF($AB$124:$AB$137,"7종",$AD$124:$AD$137)/1000</f>
        <v>0</v>
      </c>
      <c r="H123" s="108">
        <f>SUMIF($AB$124:$AB$137,"4종",$AD$124:$AD$137)/1000</f>
        <v>0</v>
      </c>
      <c r="I123" s="108">
        <f>SUMIF($AB$124:$AB$137,"후원",$AD$124:$AD$137)/1000</f>
        <v>780</v>
      </c>
      <c r="J123" s="108">
        <f>SUMIF($AB$124:$AB$137,"입소",$AD$124:$AD$137)/1000</f>
        <v>0</v>
      </c>
      <c r="K123" s="108">
        <f>SUMIF($AB$124:$AB$137,"법인",$AD$124:$AD$137)/1000</f>
        <v>0</v>
      </c>
      <c r="L123" s="108">
        <f>SUMIF($AB$124:$AB$137,"잡수",$AD$124:$AD$137)/1000</f>
        <v>0</v>
      </c>
      <c r="M123" s="182">
        <f>E123-D123</f>
        <v>0</v>
      </c>
      <c r="N123" s="115">
        <f>IF(D123=0,0,M123/D123)</f>
        <v>0</v>
      </c>
      <c r="O123" s="350" t="s">
        <v>44</v>
      </c>
      <c r="P123" s="351"/>
      <c r="Q123" s="351"/>
      <c r="R123" s="351"/>
      <c r="S123" s="351"/>
      <c r="T123" s="352"/>
      <c r="U123" s="352"/>
      <c r="V123" s="352"/>
      <c r="W123" s="352"/>
      <c r="X123" s="352"/>
      <c r="Y123" s="343" t="s">
        <v>208</v>
      </c>
      <c r="Z123" s="343"/>
      <c r="AA123" s="343"/>
      <c r="AB123" s="343"/>
      <c r="AC123" s="344"/>
      <c r="AD123" s="344">
        <f>SUM(AD125:AD136)</f>
        <v>8060000</v>
      </c>
      <c r="AE123" s="345" t="s">
        <v>25</v>
      </c>
    </row>
    <row r="124" spans="1:32" s="11" customFormat="1" ht="21" customHeight="1">
      <c r="A124" s="45"/>
      <c r="B124" s="46"/>
      <c r="C124" s="46"/>
      <c r="D124" s="151"/>
      <c r="E124" s="103"/>
      <c r="F124" s="103"/>
      <c r="G124" s="103"/>
      <c r="H124" s="103"/>
      <c r="I124" s="103"/>
      <c r="J124" s="103"/>
      <c r="K124" s="103"/>
      <c r="L124" s="103"/>
      <c r="M124" s="103"/>
      <c r="N124" s="68"/>
      <c r="O124" s="279" t="s">
        <v>209</v>
      </c>
      <c r="P124" s="279"/>
      <c r="Q124" s="279"/>
      <c r="R124" s="279"/>
      <c r="S124" s="279"/>
      <c r="T124" s="277"/>
      <c r="U124" s="277"/>
      <c r="V124" s="277"/>
      <c r="W124" s="277"/>
      <c r="X124" s="277"/>
      <c r="Y124" s="277"/>
      <c r="Z124" s="277"/>
      <c r="AA124" s="277"/>
      <c r="AB124" s="277"/>
      <c r="AC124" s="280"/>
      <c r="AD124" s="280"/>
      <c r="AE124" s="303"/>
      <c r="AF124" s="1"/>
    </row>
    <row r="125" spans="1:32" s="11" customFormat="1" ht="21" customHeight="1">
      <c r="A125" s="45"/>
      <c r="B125" s="46"/>
      <c r="C125" s="46"/>
      <c r="D125" s="151"/>
      <c r="E125" s="103"/>
      <c r="F125" s="103"/>
      <c r="G125" s="103"/>
      <c r="H125" s="103"/>
      <c r="I125" s="103"/>
      <c r="J125" s="103"/>
      <c r="K125" s="103"/>
      <c r="L125" s="103"/>
      <c r="M125" s="103"/>
      <c r="N125" s="68"/>
      <c r="O125" s="279" t="s">
        <v>210</v>
      </c>
      <c r="P125" s="353"/>
      <c r="Q125" s="353"/>
      <c r="R125" s="353"/>
      <c r="S125" s="277">
        <v>120000</v>
      </c>
      <c r="T125" s="339" t="s">
        <v>200</v>
      </c>
      <c r="U125" s="339" t="s">
        <v>26</v>
      </c>
      <c r="V125" s="277">
        <v>12</v>
      </c>
      <c r="W125" s="279" t="s">
        <v>205</v>
      </c>
      <c r="X125" s="277" t="s">
        <v>27</v>
      </c>
      <c r="Y125" s="277"/>
      <c r="Z125" s="277"/>
      <c r="AA125" s="277"/>
      <c r="AB125" s="277" t="s">
        <v>302</v>
      </c>
      <c r="AC125" s="277"/>
      <c r="AD125" s="277">
        <f>S125*V125</f>
        <v>1440000</v>
      </c>
      <c r="AE125" s="131" t="s">
        <v>25</v>
      </c>
      <c r="AF125" s="1"/>
    </row>
    <row r="126" spans="1:32" s="11" customFormat="1" ht="21" customHeight="1">
      <c r="A126" s="45"/>
      <c r="B126" s="46"/>
      <c r="C126" s="46"/>
      <c r="D126" s="151"/>
      <c r="E126" s="103"/>
      <c r="F126" s="103"/>
      <c r="G126" s="103"/>
      <c r="H126" s="103"/>
      <c r="I126" s="103"/>
      <c r="J126" s="103"/>
      <c r="K126" s="103"/>
      <c r="L126" s="103"/>
      <c r="M126" s="103"/>
      <c r="N126" s="68"/>
      <c r="O126" s="279" t="s">
        <v>211</v>
      </c>
      <c r="P126" s="353"/>
      <c r="Q126" s="353"/>
      <c r="R126" s="353"/>
      <c r="S126" s="277">
        <v>120000</v>
      </c>
      <c r="T126" s="339" t="s">
        <v>56</v>
      </c>
      <c r="U126" s="339" t="s">
        <v>26</v>
      </c>
      <c r="V126" s="277">
        <v>12</v>
      </c>
      <c r="W126" s="279" t="s">
        <v>157</v>
      </c>
      <c r="X126" s="277" t="s">
        <v>27</v>
      </c>
      <c r="Y126" s="277"/>
      <c r="Z126" s="277"/>
      <c r="AA126" s="277"/>
      <c r="AB126" s="277" t="s">
        <v>302</v>
      </c>
      <c r="AC126" s="277"/>
      <c r="AD126" s="277">
        <f>S126*V126</f>
        <v>1440000</v>
      </c>
      <c r="AE126" s="131" t="s">
        <v>25</v>
      </c>
      <c r="AF126" s="1"/>
    </row>
    <row r="127" spans="1:32" s="11" customFormat="1" ht="21" customHeight="1">
      <c r="A127" s="45"/>
      <c r="B127" s="46"/>
      <c r="C127" s="46"/>
      <c r="D127" s="151"/>
      <c r="E127" s="103"/>
      <c r="F127" s="103"/>
      <c r="G127" s="103"/>
      <c r="H127" s="103"/>
      <c r="I127" s="103"/>
      <c r="J127" s="103"/>
      <c r="K127" s="103"/>
      <c r="L127" s="103"/>
      <c r="M127" s="103"/>
      <c r="N127" s="68"/>
      <c r="O127" s="279" t="s">
        <v>306</v>
      </c>
      <c r="P127" s="353"/>
      <c r="Q127" s="353"/>
      <c r="R127" s="353"/>
      <c r="S127" s="277">
        <v>100000</v>
      </c>
      <c r="T127" s="339" t="s">
        <v>200</v>
      </c>
      <c r="U127" s="339" t="s">
        <v>26</v>
      </c>
      <c r="V127" s="277">
        <v>1</v>
      </c>
      <c r="W127" s="279" t="s">
        <v>205</v>
      </c>
      <c r="X127" s="277" t="s">
        <v>27</v>
      </c>
      <c r="Y127" s="277"/>
      <c r="Z127" s="277"/>
      <c r="AA127" s="277"/>
      <c r="AB127" s="277" t="s">
        <v>76</v>
      </c>
      <c r="AC127" s="277"/>
      <c r="AD127" s="435">
        <f>S127*V127</f>
        <v>100000</v>
      </c>
      <c r="AE127" s="131" t="s">
        <v>25</v>
      </c>
      <c r="AF127" s="1"/>
    </row>
    <row r="128" spans="1:32" s="11" customFormat="1" ht="21" customHeight="1">
      <c r="A128" s="45"/>
      <c r="B128" s="46"/>
      <c r="C128" s="46"/>
      <c r="D128" s="151"/>
      <c r="E128" s="103"/>
      <c r="F128" s="103"/>
      <c r="G128" s="103"/>
      <c r="H128" s="103"/>
      <c r="I128" s="103"/>
      <c r="J128" s="103"/>
      <c r="K128" s="103"/>
      <c r="L128" s="103"/>
      <c r="M128" s="103"/>
      <c r="N128" s="68"/>
      <c r="O128" s="279"/>
      <c r="P128" s="353"/>
      <c r="Q128" s="353"/>
      <c r="R128" s="353"/>
      <c r="S128" s="353"/>
      <c r="T128" s="280"/>
      <c r="U128" s="354"/>
      <c r="V128" s="279"/>
      <c r="W128" s="339"/>
      <c r="X128" s="277"/>
      <c r="Y128" s="277"/>
      <c r="Z128" s="277"/>
      <c r="AA128" s="279"/>
      <c r="AB128" s="279"/>
      <c r="AC128" s="277"/>
      <c r="AD128" s="277"/>
      <c r="AE128" s="131"/>
      <c r="AF128" s="1"/>
    </row>
    <row r="129" spans="1:32" s="11" customFormat="1" ht="21" customHeight="1">
      <c r="A129" s="45"/>
      <c r="B129" s="46"/>
      <c r="C129" s="46"/>
      <c r="D129" s="151"/>
      <c r="E129" s="103"/>
      <c r="F129" s="103"/>
      <c r="G129" s="103"/>
      <c r="H129" s="103"/>
      <c r="I129" s="103"/>
      <c r="J129" s="103"/>
      <c r="K129" s="103"/>
      <c r="L129" s="103"/>
      <c r="M129" s="103"/>
      <c r="N129" s="68"/>
      <c r="O129" s="724" t="s">
        <v>212</v>
      </c>
      <c r="P129" s="724"/>
      <c r="Q129" s="724"/>
      <c r="R129" s="724"/>
      <c r="S129" s="724"/>
      <c r="T129" s="279"/>
      <c r="U129" s="277"/>
      <c r="V129" s="279"/>
      <c r="W129" s="339"/>
      <c r="X129" s="277"/>
      <c r="Y129" s="277"/>
      <c r="Z129" s="277"/>
      <c r="AA129" s="279"/>
      <c r="AB129" s="279"/>
      <c r="AC129" s="277"/>
      <c r="AD129" s="277"/>
      <c r="AE129" s="131"/>
      <c r="AF129" s="1"/>
    </row>
    <row r="130" spans="1:32" s="11" customFormat="1" ht="21" customHeight="1">
      <c r="A130" s="45"/>
      <c r="B130" s="46"/>
      <c r="C130" s="46"/>
      <c r="D130" s="151"/>
      <c r="E130" s="103"/>
      <c r="F130" s="103"/>
      <c r="G130" s="103"/>
      <c r="H130" s="103"/>
      <c r="I130" s="103"/>
      <c r="J130" s="103"/>
      <c r="K130" s="103"/>
      <c r="L130" s="103"/>
      <c r="M130" s="103"/>
      <c r="N130" s="68"/>
      <c r="O130" s="570" t="s">
        <v>638</v>
      </c>
      <c r="P130" s="398"/>
      <c r="Q130" s="398"/>
      <c r="R130" s="398"/>
      <c r="S130" s="570"/>
      <c r="T130" s="130"/>
      <c r="U130" s="399"/>
      <c r="V130" s="570"/>
      <c r="W130" s="297"/>
      <c r="X130" s="569"/>
      <c r="Y130" s="569"/>
      <c r="Z130" s="569"/>
      <c r="AA130" s="570"/>
      <c r="AB130" s="570" t="s">
        <v>639</v>
      </c>
      <c r="AC130" s="569"/>
      <c r="AD130" s="569">
        <v>3600000</v>
      </c>
      <c r="AE130" s="131" t="s">
        <v>25</v>
      </c>
      <c r="AF130" s="1"/>
    </row>
    <row r="131" spans="1:32" s="11" customFormat="1" ht="21" customHeight="1">
      <c r="A131" s="45"/>
      <c r="B131" s="46"/>
      <c r="C131" s="46"/>
      <c r="D131" s="151"/>
      <c r="E131" s="103"/>
      <c r="F131" s="103"/>
      <c r="G131" s="103"/>
      <c r="H131" s="103"/>
      <c r="I131" s="103"/>
      <c r="J131" s="103"/>
      <c r="K131" s="103"/>
      <c r="L131" s="103"/>
      <c r="M131" s="103"/>
      <c r="N131" s="68"/>
      <c r="O131" s="570" t="s">
        <v>640</v>
      </c>
      <c r="P131" s="577"/>
      <c r="Q131" s="577"/>
      <c r="R131" s="577"/>
      <c r="S131" s="577"/>
      <c r="T131" s="577"/>
      <c r="U131" s="577"/>
      <c r="V131" s="577"/>
      <c r="W131" s="577"/>
      <c r="X131" s="577"/>
      <c r="Y131" s="569"/>
      <c r="Z131" s="569"/>
      <c r="AA131" s="570"/>
      <c r="AB131" s="570" t="s">
        <v>639</v>
      </c>
      <c r="AC131" s="569"/>
      <c r="AD131" s="569">
        <v>700000</v>
      </c>
      <c r="AE131" s="131" t="s">
        <v>25</v>
      </c>
      <c r="AF131" s="1"/>
    </row>
    <row r="132" spans="1:32" s="11" customFormat="1" ht="21" customHeight="1">
      <c r="A132" s="45"/>
      <c r="B132" s="46"/>
      <c r="C132" s="46"/>
      <c r="D132" s="151"/>
      <c r="E132" s="103"/>
      <c r="F132" s="103"/>
      <c r="G132" s="103"/>
      <c r="H132" s="103"/>
      <c r="I132" s="103"/>
      <c r="J132" s="103"/>
      <c r="K132" s="103"/>
      <c r="L132" s="103"/>
      <c r="M132" s="103"/>
      <c r="N132" s="68"/>
      <c r="O132" s="599" t="s">
        <v>705</v>
      </c>
      <c r="P132" s="398"/>
      <c r="Q132" s="398"/>
      <c r="R132" s="398"/>
      <c r="S132" s="599"/>
      <c r="T132" s="130"/>
      <c r="U132" s="399"/>
      <c r="V132" s="599"/>
      <c r="W132" s="297"/>
      <c r="X132" s="598"/>
      <c r="Y132" s="598"/>
      <c r="Z132" s="598"/>
      <c r="AA132" s="599"/>
      <c r="AB132" s="599" t="s">
        <v>704</v>
      </c>
      <c r="AC132" s="598"/>
      <c r="AD132" s="598">
        <v>0</v>
      </c>
      <c r="AE132" s="131" t="s">
        <v>775</v>
      </c>
      <c r="AF132" s="1"/>
    </row>
    <row r="133" spans="1:32" s="11" customFormat="1" ht="21" customHeight="1">
      <c r="A133" s="45"/>
      <c r="B133" s="46"/>
      <c r="C133" s="46"/>
      <c r="D133" s="151"/>
      <c r="E133" s="103"/>
      <c r="F133" s="103"/>
      <c r="G133" s="103"/>
      <c r="H133" s="103"/>
      <c r="I133" s="103"/>
      <c r="J133" s="103"/>
      <c r="K133" s="103"/>
      <c r="L133" s="103"/>
      <c r="M133" s="103"/>
      <c r="N133" s="68"/>
      <c r="O133" s="599" t="s">
        <v>706</v>
      </c>
      <c r="P133" s="398"/>
      <c r="Q133" s="398"/>
      <c r="R133" s="398"/>
      <c r="S133" s="599"/>
      <c r="T133" s="130"/>
      <c r="U133" s="399"/>
      <c r="V133" s="599"/>
      <c r="W133" s="297"/>
      <c r="X133" s="598"/>
      <c r="Y133" s="598"/>
      <c r="Z133" s="598"/>
      <c r="AA133" s="599"/>
      <c r="AB133" s="599" t="s">
        <v>704</v>
      </c>
      <c r="AC133" s="598"/>
      <c r="AD133" s="378">
        <v>300000</v>
      </c>
      <c r="AE133" s="628" t="s">
        <v>25</v>
      </c>
      <c r="AF133" s="1"/>
    </row>
    <row r="134" spans="1:32" s="11" customFormat="1" ht="21" customHeight="1">
      <c r="A134" s="45"/>
      <c r="B134" s="46"/>
      <c r="C134" s="46"/>
      <c r="D134" s="151"/>
      <c r="E134" s="103"/>
      <c r="F134" s="103"/>
      <c r="G134" s="103"/>
      <c r="H134" s="103"/>
      <c r="I134" s="103"/>
      <c r="J134" s="103"/>
      <c r="K134" s="103"/>
      <c r="L134" s="103"/>
      <c r="M134" s="103"/>
      <c r="N134" s="68"/>
      <c r="O134" s="599" t="s">
        <v>707</v>
      </c>
      <c r="P134" s="398"/>
      <c r="Q134" s="398"/>
      <c r="R134" s="398"/>
      <c r="S134" s="599"/>
      <c r="T134" s="130"/>
      <c r="U134" s="399"/>
      <c r="V134" s="599"/>
      <c r="W134" s="297"/>
      <c r="X134" s="598"/>
      <c r="Y134" s="598"/>
      <c r="Z134" s="598"/>
      <c r="AA134" s="599"/>
      <c r="AB134" s="599" t="s">
        <v>704</v>
      </c>
      <c r="AC134" s="598"/>
      <c r="AD134" s="598"/>
      <c r="AE134" s="131" t="s">
        <v>25</v>
      </c>
      <c r="AF134" s="1"/>
    </row>
    <row r="135" spans="1:32" s="11" customFormat="1" ht="21" customHeight="1">
      <c r="A135" s="45"/>
      <c r="B135" s="46"/>
      <c r="C135" s="46"/>
      <c r="D135" s="151"/>
      <c r="E135" s="103"/>
      <c r="F135" s="103"/>
      <c r="G135" s="103"/>
      <c r="H135" s="103"/>
      <c r="I135" s="103"/>
      <c r="J135" s="103"/>
      <c r="K135" s="103"/>
      <c r="L135" s="103"/>
      <c r="M135" s="103"/>
      <c r="N135" s="68"/>
      <c r="O135" s="599"/>
      <c r="P135" s="398"/>
      <c r="Q135" s="398"/>
      <c r="R135" s="398"/>
      <c r="S135" s="599"/>
      <c r="T135" s="130"/>
      <c r="U135" s="399"/>
      <c r="V135" s="599"/>
      <c r="W135" s="297"/>
      <c r="X135" s="598"/>
      <c r="Y135" s="598"/>
      <c r="Z135" s="598"/>
      <c r="AA135" s="599"/>
      <c r="AB135" s="599"/>
      <c r="AC135" s="598"/>
      <c r="AD135" s="598"/>
      <c r="AE135" s="131"/>
      <c r="AF135" s="1"/>
    </row>
    <row r="136" spans="1:32" s="11" customFormat="1" ht="21" customHeight="1">
      <c r="A136" s="45"/>
      <c r="B136" s="46"/>
      <c r="C136" s="46"/>
      <c r="D136" s="151"/>
      <c r="E136" s="103"/>
      <c r="F136" s="103"/>
      <c r="G136" s="103"/>
      <c r="H136" s="103"/>
      <c r="I136" s="103"/>
      <c r="J136" s="103"/>
      <c r="K136" s="103"/>
      <c r="L136" s="103"/>
      <c r="M136" s="103"/>
      <c r="N136" s="68"/>
      <c r="O136" s="599" t="s">
        <v>708</v>
      </c>
      <c r="P136" s="398"/>
      <c r="Q136" s="398"/>
      <c r="R136" s="398"/>
      <c r="S136" s="599"/>
      <c r="T136" s="130"/>
      <c r="U136" s="399"/>
      <c r="V136" s="599"/>
      <c r="W136" s="297"/>
      <c r="X136" s="598"/>
      <c r="Y136" s="598"/>
      <c r="Z136" s="598"/>
      <c r="AA136" s="599"/>
      <c r="AB136" s="599" t="s">
        <v>704</v>
      </c>
      <c r="AC136" s="598"/>
      <c r="AD136" s="598">
        <v>480000</v>
      </c>
      <c r="AE136" s="131" t="s">
        <v>677</v>
      </c>
      <c r="AF136" s="1"/>
    </row>
    <row r="137" spans="1:32" s="11" customFormat="1" ht="21" customHeight="1">
      <c r="A137" s="45"/>
      <c r="B137" s="46"/>
      <c r="C137" s="46"/>
      <c r="D137" s="151"/>
      <c r="E137" s="103"/>
      <c r="F137" s="103"/>
      <c r="G137" s="103"/>
      <c r="H137" s="103"/>
      <c r="I137" s="103"/>
      <c r="J137" s="103"/>
      <c r="K137" s="103"/>
      <c r="L137" s="103"/>
      <c r="M137" s="103"/>
      <c r="N137" s="68"/>
      <c r="O137" s="120"/>
      <c r="P137" s="121"/>
      <c r="Q137" s="121"/>
      <c r="R137" s="121"/>
      <c r="S137" s="121"/>
      <c r="T137" s="121"/>
      <c r="U137" s="121"/>
      <c r="V137" s="121"/>
      <c r="W137" s="121"/>
      <c r="X137" s="121"/>
      <c r="Y137" s="73"/>
      <c r="Z137" s="73"/>
      <c r="AA137" s="73"/>
      <c r="AB137" s="73"/>
      <c r="AC137" s="73"/>
      <c r="AD137" s="51"/>
      <c r="AE137" s="57"/>
      <c r="AF137" s="1"/>
    </row>
    <row r="138" spans="1:32" s="11" customFormat="1" ht="21" customHeight="1">
      <c r="A138" s="45"/>
      <c r="B138" s="46"/>
      <c r="C138" s="36" t="s">
        <v>45</v>
      </c>
      <c r="D138" s="153">
        <v>7772</v>
      </c>
      <c r="E138" s="107">
        <f>ROUND(AD138/1000,0)</f>
        <v>6460</v>
      </c>
      <c r="F138" s="108">
        <f>SUMIF($AB$139:$AB$143,"보조",$AD$139:$AD$143)/1000</f>
        <v>1800</v>
      </c>
      <c r="G138" s="108">
        <f>SUMIF($AB$139:$AB$143,"7종",$AD$139:$AD$143)/1000</f>
        <v>3600</v>
      </c>
      <c r="H138" s="108">
        <f>SUMIF($AB$139:$AB$143,"4종",$AD$139:$AD$143)/1000</f>
        <v>0</v>
      </c>
      <c r="I138" s="108">
        <f>SUMIF($AB$139:$AB$143,"후원",$AD$139:$AD$143)/1000</f>
        <v>1060</v>
      </c>
      <c r="J138" s="108">
        <f>SUMIF($AB$139:$AB$143,"입소",$AD$139:$AD$143)/1000</f>
        <v>0</v>
      </c>
      <c r="K138" s="108">
        <f>SUMIF($AB$139:$AB$143,"법인",$AD$139:$AD$143)/1000</f>
        <v>0</v>
      </c>
      <c r="L138" s="108">
        <f>SUMIF($AB$139:$AB$143,"잡수",$AD$139:$AD$143)/1000</f>
        <v>0</v>
      </c>
      <c r="M138" s="107">
        <f>E138-D138</f>
        <v>-1312</v>
      </c>
      <c r="N138" s="115">
        <f>IF(D138=0,0,M138/D138)</f>
        <v>-0.16881111682964489</v>
      </c>
      <c r="O138" s="95" t="s">
        <v>46</v>
      </c>
      <c r="P138" s="91"/>
      <c r="Q138" s="91"/>
      <c r="R138" s="91"/>
      <c r="S138" s="91"/>
      <c r="T138" s="87"/>
      <c r="U138" s="87"/>
      <c r="V138" s="87"/>
      <c r="W138" s="87"/>
      <c r="X138" s="87"/>
      <c r="Y138" s="169" t="s">
        <v>137</v>
      </c>
      <c r="Z138" s="169"/>
      <c r="AA138" s="169"/>
      <c r="AB138" s="169"/>
      <c r="AC138" s="171"/>
      <c r="AD138" s="171">
        <f>SUM(AD139:AD142)</f>
        <v>6460000</v>
      </c>
      <c r="AE138" s="170" t="s">
        <v>25</v>
      </c>
      <c r="AF138" s="1"/>
    </row>
    <row r="139" spans="1:32" s="11" customFormat="1" ht="21" customHeight="1">
      <c r="A139" s="45"/>
      <c r="B139" s="46"/>
      <c r="C139" s="46"/>
      <c r="D139" s="104"/>
      <c r="E139" s="103"/>
      <c r="F139" s="103"/>
      <c r="G139" s="103"/>
      <c r="H139" s="103"/>
      <c r="I139" s="103"/>
      <c r="J139" s="103"/>
      <c r="K139" s="103"/>
      <c r="L139" s="103"/>
      <c r="M139" s="103"/>
      <c r="N139" s="68"/>
      <c r="O139" s="599" t="s">
        <v>709</v>
      </c>
      <c r="P139" s="377"/>
      <c r="Q139" s="377"/>
      <c r="R139" s="377"/>
      <c r="S139" s="376">
        <v>150000</v>
      </c>
      <c r="T139" s="297" t="s">
        <v>261</v>
      </c>
      <c r="U139" s="297" t="s">
        <v>26</v>
      </c>
      <c r="V139" s="376">
        <v>12</v>
      </c>
      <c r="W139" s="377" t="s">
        <v>265</v>
      </c>
      <c r="X139" s="376" t="s">
        <v>27</v>
      </c>
      <c r="Y139" s="376"/>
      <c r="Z139" s="376"/>
      <c r="AA139" s="376"/>
      <c r="AB139" s="376" t="s">
        <v>269</v>
      </c>
      <c r="AC139" s="376"/>
      <c r="AD139" s="376">
        <f>S139*V139</f>
        <v>1800000</v>
      </c>
      <c r="AE139" s="131" t="s">
        <v>25</v>
      </c>
      <c r="AF139" s="1"/>
    </row>
    <row r="140" spans="1:32" s="11" customFormat="1" ht="21" customHeight="1">
      <c r="A140" s="45"/>
      <c r="B140" s="46"/>
      <c r="C140" s="46"/>
      <c r="D140" s="104"/>
      <c r="E140" s="103"/>
      <c r="F140" s="103"/>
      <c r="G140" s="103"/>
      <c r="H140" s="103"/>
      <c r="I140" s="103"/>
      <c r="J140" s="103"/>
      <c r="K140" s="103"/>
      <c r="L140" s="103"/>
      <c r="M140" s="103"/>
      <c r="N140" s="68"/>
      <c r="O140" s="565" t="s">
        <v>617</v>
      </c>
      <c r="P140" s="565"/>
      <c r="Q140" s="565"/>
      <c r="R140" s="565"/>
      <c r="S140" s="564">
        <v>300000</v>
      </c>
      <c r="T140" s="297" t="s">
        <v>611</v>
      </c>
      <c r="U140" s="297" t="s">
        <v>26</v>
      </c>
      <c r="V140" s="564">
        <v>12</v>
      </c>
      <c r="W140" s="565" t="s">
        <v>618</v>
      </c>
      <c r="X140" s="564" t="s">
        <v>27</v>
      </c>
      <c r="Y140" s="564"/>
      <c r="Z140" s="564"/>
      <c r="AA140" s="564"/>
      <c r="AB140" s="564" t="s">
        <v>615</v>
      </c>
      <c r="AC140" s="564"/>
      <c r="AD140" s="564">
        <f>S140*V140</f>
        <v>3600000</v>
      </c>
      <c r="AE140" s="131" t="s">
        <v>25</v>
      </c>
      <c r="AF140" s="1"/>
    </row>
    <row r="141" spans="1:32" s="11" customFormat="1" ht="21" customHeight="1">
      <c r="A141" s="45"/>
      <c r="B141" s="46"/>
      <c r="C141" s="46"/>
      <c r="D141" s="104"/>
      <c r="E141" s="103"/>
      <c r="F141" s="103"/>
      <c r="G141" s="103"/>
      <c r="H141" s="103"/>
      <c r="I141" s="103"/>
      <c r="J141" s="103"/>
      <c r="K141" s="103"/>
      <c r="L141" s="103"/>
      <c r="M141" s="103"/>
      <c r="N141" s="68"/>
      <c r="O141" s="377" t="s">
        <v>271</v>
      </c>
      <c r="P141" s="377"/>
      <c r="Q141" s="377"/>
      <c r="R141" s="377"/>
      <c r="S141" s="376">
        <v>100000</v>
      </c>
      <c r="T141" s="297" t="s">
        <v>248</v>
      </c>
      <c r="U141" s="297" t="s">
        <v>26</v>
      </c>
      <c r="V141" s="376">
        <v>10</v>
      </c>
      <c r="W141" s="377" t="s">
        <v>272</v>
      </c>
      <c r="X141" s="376" t="s">
        <v>27</v>
      </c>
      <c r="Y141" s="376"/>
      <c r="Z141" s="376"/>
      <c r="AA141" s="376"/>
      <c r="AB141" s="549" t="s">
        <v>561</v>
      </c>
      <c r="AC141" s="376"/>
      <c r="AD141" s="639">
        <f>S141*V141</f>
        <v>1000000</v>
      </c>
      <c r="AE141" s="131" t="s">
        <v>25</v>
      </c>
      <c r="AF141" s="1"/>
    </row>
    <row r="142" spans="1:32" ht="21" customHeight="1">
      <c r="A142" s="45"/>
      <c r="B142" s="46"/>
      <c r="C142" s="46"/>
      <c r="D142" s="151"/>
      <c r="E142" s="103"/>
      <c r="F142" s="103"/>
      <c r="G142" s="103"/>
      <c r="H142" s="103"/>
      <c r="I142" s="103"/>
      <c r="J142" s="103"/>
      <c r="K142" s="103"/>
      <c r="L142" s="103"/>
      <c r="M142" s="103"/>
      <c r="N142" s="68"/>
      <c r="O142" s="550" t="s">
        <v>560</v>
      </c>
      <c r="P142" s="377"/>
      <c r="Q142" s="377"/>
      <c r="R142" s="377"/>
      <c r="S142" s="376"/>
      <c r="T142" s="297"/>
      <c r="U142" s="297"/>
      <c r="V142" s="376"/>
      <c r="W142" s="377"/>
      <c r="X142" s="376"/>
      <c r="Y142" s="376"/>
      <c r="Z142" s="376"/>
      <c r="AA142" s="376"/>
      <c r="AB142" s="437" t="s">
        <v>308</v>
      </c>
      <c r="AC142" s="376"/>
      <c r="AD142" s="376">
        <v>60000</v>
      </c>
      <c r="AE142" s="131" t="s">
        <v>25</v>
      </c>
    </row>
    <row r="143" spans="1:32" s="11" customFormat="1" ht="21" customHeight="1">
      <c r="A143" s="45"/>
      <c r="B143" s="46"/>
      <c r="C143" s="59"/>
      <c r="D143" s="122"/>
      <c r="E143" s="105"/>
      <c r="F143" s="105"/>
      <c r="G143" s="105"/>
      <c r="H143" s="105"/>
      <c r="I143" s="105"/>
      <c r="J143" s="105"/>
      <c r="K143" s="105"/>
      <c r="L143" s="105"/>
      <c r="M143" s="105"/>
      <c r="N143" s="82"/>
      <c r="O143" s="289"/>
      <c r="P143" s="289"/>
      <c r="Q143" s="289"/>
      <c r="R143" s="289"/>
      <c r="S143" s="396"/>
      <c r="T143" s="400"/>
      <c r="U143" s="396"/>
      <c r="V143" s="720"/>
      <c r="W143" s="721"/>
      <c r="X143" s="396"/>
      <c r="Y143" s="396"/>
      <c r="Z143" s="396"/>
      <c r="AA143" s="396"/>
      <c r="AB143" s="396"/>
      <c r="AC143" s="396"/>
      <c r="AD143" s="396"/>
      <c r="AE143" s="401"/>
      <c r="AF143" s="1"/>
    </row>
    <row r="144" spans="1:32" s="11" customFormat="1" ht="21" customHeight="1">
      <c r="A144" s="45"/>
      <c r="B144" s="46"/>
      <c r="C144" s="36" t="s">
        <v>77</v>
      </c>
      <c r="D144" s="123">
        <v>12058</v>
      </c>
      <c r="E144" s="107">
        <f>ROUND(AD144/1000,0)</f>
        <v>20788</v>
      </c>
      <c r="F144" s="108">
        <f>SUMIF($AB$146:$AB$167,"보조",$AD$146:$AD$167)/1000</f>
        <v>800</v>
      </c>
      <c r="G144" s="108">
        <f>SUMIF($AB$146:$AB$167,"7종",$AD$146:$AD$167)/1000</f>
        <v>0</v>
      </c>
      <c r="H144" s="108">
        <f>SUMIF($AB$146:$AB$167,"4종",$AD$146:$AD$167)/1000</f>
        <v>0</v>
      </c>
      <c r="I144" s="108">
        <f>SUMIF($AB$146:$AB$167,"후원",$AD$146:$AD$167)/1000</f>
        <v>7858</v>
      </c>
      <c r="J144" s="108">
        <f>SUMIF($AB$146:$AB$167,"입소",$AD$146:$AD$167)/1000</f>
        <v>0</v>
      </c>
      <c r="K144" s="108">
        <f>SUMIF($AB$146:$AB$167,"법인",$AD$146:$AD$167)/1000</f>
        <v>10400</v>
      </c>
      <c r="L144" s="108">
        <f>SUMIF($AB$146:$AB$167,"잡수",$AD$146:$AD$167)/1000</f>
        <v>1730</v>
      </c>
      <c r="M144" s="117">
        <f>E144-D144</f>
        <v>8730</v>
      </c>
      <c r="N144" s="115">
        <f>IF(D144=0,0,M144/D144)</f>
        <v>0.72400066345994363</v>
      </c>
      <c r="O144" s="110" t="s">
        <v>825</v>
      </c>
      <c r="P144" s="91"/>
      <c r="Q144" s="91"/>
      <c r="R144" s="91"/>
      <c r="S144" s="91"/>
      <c r="T144" s="87"/>
      <c r="U144" s="87"/>
      <c r="V144" s="87"/>
      <c r="W144" s="87"/>
      <c r="X144" s="87"/>
      <c r="Y144" s="630" t="s">
        <v>826</v>
      </c>
      <c r="Z144" s="169"/>
      <c r="AA144" s="169"/>
      <c r="AB144" s="169"/>
      <c r="AC144" s="171"/>
      <c r="AD144" s="171">
        <f>SUM(AD145,AD163)</f>
        <v>20788000</v>
      </c>
      <c r="AE144" s="170" t="s">
        <v>25</v>
      </c>
      <c r="AF144" s="1"/>
    </row>
    <row r="145" spans="1:32" s="11" customFormat="1" ht="21" customHeight="1">
      <c r="A145" s="45"/>
      <c r="B145" s="46"/>
      <c r="C145" s="46"/>
      <c r="D145" s="124"/>
      <c r="E145" s="103"/>
      <c r="F145" s="641"/>
      <c r="G145" s="641"/>
      <c r="H145" s="641"/>
      <c r="I145" s="641"/>
      <c r="J145" s="641"/>
      <c r="K145" s="641"/>
      <c r="L145" s="641"/>
      <c r="M145" s="103"/>
      <c r="N145" s="68"/>
      <c r="O145" s="110" t="s">
        <v>78</v>
      </c>
      <c r="P145" s="176"/>
      <c r="Q145" s="176"/>
      <c r="R145" s="176"/>
      <c r="S145" s="176"/>
      <c r="T145" s="149"/>
      <c r="U145" s="149"/>
      <c r="V145" s="149"/>
      <c r="W145" s="149"/>
      <c r="X145" s="149"/>
      <c r="Y145" s="630" t="s">
        <v>137</v>
      </c>
      <c r="Z145" s="630"/>
      <c r="AA145" s="630"/>
      <c r="AB145" s="630"/>
      <c r="AC145" s="171"/>
      <c r="AD145" s="171">
        <f>SUM(AD147:AD162)</f>
        <v>19058000</v>
      </c>
      <c r="AE145" s="170" t="s">
        <v>25</v>
      </c>
      <c r="AF145" s="1"/>
    </row>
    <row r="146" spans="1:32" s="11" customFormat="1" ht="20.25" customHeight="1">
      <c r="A146" s="45"/>
      <c r="B146" s="46"/>
      <c r="C146" s="46"/>
      <c r="D146" s="124"/>
      <c r="E146" s="103"/>
      <c r="F146" s="103"/>
      <c r="G146" s="103"/>
      <c r="H146" s="103"/>
      <c r="I146" s="103"/>
      <c r="J146" s="103"/>
      <c r="K146" s="103"/>
      <c r="L146" s="103"/>
      <c r="M146" s="103"/>
      <c r="N146" s="68"/>
      <c r="O146" s="148" t="s">
        <v>92</v>
      </c>
      <c r="P146" s="120"/>
      <c r="Q146" s="120"/>
      <c r="R146" s="120"/>
      <c r="S146" s="111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66"/>
      <c r="AD146" s="66"/>
      <c r="AE146" s="57"/>
      <c r="AF146" s="2"/>
    </row>
    <row r="147" spans="1:32" s="11" customFormat="1" ht="20.25" customHeight="1">
      <c r="A147" s="45"/>
      <c r="B147" s="46"/>
      <c r="C147" s="46"/>
      <c r="D147" s="124"/>
      <c r="E147" s="103"/>
      <c r="F147" s="103"/>
      <c r="G147" s="103"/>
      <c r="H147" s="103"/>
      <c r="I147" s="103"/>
      <c r="J147" s="103"/>
      <c r="K147" s="103"/>
      <c r="L147" s="103"/>
      <c r="M147" s="103"/>
      <c r="N147" s="68"/>
      <c r="O147" s="279" t="s">
        <v>710</v>
      </c>
      <c r="P147" s="279"/>
      <c r="Q147" s="279"/>
      <c r="R147" s="279"/>
      <c r="S147" s="712">
        <v>100000</v>
      </c>
      <c r="T147" s="710" t="s">
        <v>677</v>
      </c>
      <c r="U147" s="711" t="s">
        <v>57</v>
      </c>
      <c r="V147" s="712">
        <v>39</v>
      </c>
      <c r="W147" s="710" t="s">
        <v>679</v>
      </c>
      <c r="X147" s="389"/>
      <c r="Y147" s="598"/>
      <c r="Z147" s="598"/>
      <c r="AA147" s="598" t="s">
        <v>681</v>
      </c>
      <c r="AB147" s="598" t="s">
        <v>703</v>
      </c>
      <c r="AC147" s="130"/>
      <c r="AD147" s="130">
        <v>800000</v>
      </c>
      <c r="AE147" s="131" t="s">
        <v>775</v>
      </c>
      <c r="AF147" s="2"/>
    </row>
    <row r="148" spans="1:32" s="11" customFormat="1" ht="20.25" customHeight="1">
      <c r="A148" s="45"/>
      <c r="B148" s="46"/>
      <c r="C148" s="46"/>
      <c r="D148" s="124"/>
      <c r="E148" s="103"/>
      <c r="F148" s="103"/>
      <c r="G148" s="103"/>
      <c r="H148" s="103"/>
      <c r="I148" s="103"/>
      <c r="J148" s="103"/>
      <c r="K148" s="103"/>
      <c r="L148" s="103"/>
      <c r="M148" s="103"/>
      <c r="N148" s="68"/>
      <c r="O148" s="279"/>
      <c r="P148" s="279"/>
      <c r="Q148" s="279"/>
      <c r="R148" s="279"/>
      <c r="S148" s="712"/>
      <c r="T148" s="710"/>
      <c r="U148" s="711"/>
      <c r="V148" s="712"/>
      <c r="W148" s="710"/>
      <c r="X148" s="333"/>
      <c r="Y148" s="277" t="s">
        <v>569</v>
      </c>
      <c r="Z148" s="277"/>
      <c r="AA148" s="277"/>
      <c r="AB148" s="277" t="s">
        <v>152</v>
      </c>
      <c r="AC148" s="280"/>
      <c r="AD148" s="130">
        <v>3100000</v>
      </c>
      <c r="AE148" s="131" t="s">
        <v>775</v>
      </c>
      <c r="AF148" s="2"/>
    </row>
    <row r="149" spans="1:32" s="11" customFormat="1" ht="20.25" customHeight="1">
      <c r="A149" s="45"/>
      <c r="B149" s="46"/>
      <c r="C149" s="46"/>
      <c r="D149" s="124"/>
      <c r="E149" s="103"/>
      <c r="F149" s="103"/>
      <c r="G149" s="103"/>
      <c r="H149" s="103"/>
      <c r="I149" s="103"/>
      <c r="J149" s="103"/>
      <c r="K149" s="103"/>
      <c r="L149" s="103"/>
      <c r="M149" s="103"/>
      <c r="N149" s="68"/>
      <c r="O149" s="279" t="s">
        <v>711</v>
      </c>
      <c r="P149" s="279"/>
      <c r="Q149" s="279"/>
      <c r="R149" s="279"/>
      <c r="S149" s="277">
        <v>100000</v>
      </c>
      <c r="T149" s="277" t="s">
        <v>56</v>
      </c>
      <c r="U149" s="333" t="s">
        <v>57</v>
      </c>
      <c r="V149" s="277">
        <v>10</v>
      </c>
      <c r="W149" s="277" t="s">
        <v>55</v>
      </c>
      <c r="X149" s="333"/>
      <c r="Y149" s="277"/>
      <c r="Z149" s="277"/>
      <c r="AA149" s="277" t="s">
        <v>53</v>
      </c>
      <c r="AB149" s="277" t="s">
        <v>152</v>
      </c>
      <c r="AC149" s="280"/>
      <c r="AD149" s="130">
        <f>S149*V149</f>
        <v>1000000</v>
      </c>
      <c r="AE149" s="131" t="s">
        <v>775</v>
      </c>
      <c r="AF149" s="2"/>
    </row>
    <row r="150" spans="1:32" s="11" customFormat="1" ht="20.25" customHeight="1">
      <c r="A150" s="45"/>
      <c r="B150" s="46"/>
      <c r="C150" s="46"/>
      <c r="D150" s="124"/>
      <c r="E150" s="103"/>
      <c r="F150" s="103"/>
      <c r="G150" s="103"/>
      <c r="H150" s="103"/>
      <c r="I150" s="103"/>
      <c r="J150" s="103"/>
      <c r="K150" s="103"/>
      <c r="L150" s="103"/>
      <c r="M150" s="103"/>
      <c r="N150" s="68"/>
      <c r="O150" s="279" t="s">
        <v>712</v>
      </c>
      <c r="P150" s="279"/>
      <c r="Q150" s="279"/>
      <c r="R150" s="279"/>
      <c r="S150" s="277">
        <v>100000</v>
      </c>
      <c r="T150" s="277" t="s">
        <v>56</v>
      </c>
      <c r="U150" s="333" t="s">
        <v>57</v>
      </c>
      <c r="V150" s="277">
        <v>15</v>
      </c>
      <c r="W150" s="277" t="s">
        <v>55</v>
      </c>
      <c r="X150" s="333"/>
      <c r="Y150" s="277"/>
      <c r="Z150" s="277"/>
      <c r="AA150" s="277" t="s">
        <v>53</v>
      </c>
      <c r="AB150" s="277" t="s">
        <v>152</v>
      </c>
      <c r="AC150" s="280"/>
      <c r="AD150" s="636">
        <f>S150*V150</f>
        <v>1500000</v>
      </c>
      <c r="AE150" s="131" t="s">
        <v>775</v>
      </c>
      <c r="AF150" s="2"/>
    </row>
    <row r="151" spans="1:32" s="11" customFormat="1" ht="20.25" customHeight="1">
      <c r="A151" s="45"/>
      <c r="B151" s="46"/>
      <c r="C151" s="46"/>
      <c r="D151" s="124"/>
      <c r="E151" s="103"/>
      <c r="F151" s="103"/>
      <c r="G151" s="103"/>
      <c r="H151" s="103"/>
      <c r="I151" s="103"/>
      <c r="J151" s="103"/>
      <c r="K151" s="103"/>
      <c r="L151" s="103"/>
      <c r="M151" s="103"/>
      <c r="N151" s="68"/>
      <c r="O151" s="279"/>
      <c r="P151" s="279"/>
      <c r="Q151" s="279"/>
      <c r="R151" s="279"/>
      <c r="S151" s="355"/>
      <c r="T151" s="277"/>
      <c r="U151" s="277"/>
      <c r="V151" s="277"/>
      <c r="W151" s="277"/>
      <c r="X151" s="277"/>
      <c r="Y151" s="277"/>
      <c r="Z151" s="277"/>
      <c r="AA151" s="277"/>
      <c r="AB151" s="277"/>
      <c r="AC151" s="280"/>
      <c r="AD151" s="280"/>
      <c r="AE151" s="303"/>
      <c r="AF151" s="2"/>
    </row>
    <row r="152" spans="1:32" s="11" customFormat="1" ht="20.25" customHeight="1">
      <c r="A152" s="45"/>
      <c r="B152" s="46"/>
      <c r="C152" s="46"/>
      <c r="D152" s="124"/>
      <c r="E152" s="103"/>
      <c r="F152" s="103"/>
      <c r="G152" s="103"/>
      <c r="H152" s="103"/>
      <c r="I152" s="103"/>
      <c r="J152" s="103"/>
      <c r="K152" s="103"/>
      <c r="L152" s="103"/>
      <c r="M152" s="103"/>
      <c r="N152" s="68"/>
      <c r="O152" s="279" t="s">
        <v>715</v>
      </c>
      <c r="P152" s="279"/>
      <c r="Q152" s="279"/>
      <c r="R152" s="279"/>
      <c r="S152" s="355"/>
      <c r="T152" s="277"/>
      <c r="U152" s="277"/>
      <c r="V152" s="277"/>
      <c r="W152" s="277"/>
      <c r="X152" s="277"/>
      <c r="Y152" s="277"/>
      <c r="Z152" s="277"/>
      <c r="AA152" s="277"/>
      <c r="AB152" s="277"/>
      <c r="AC152" s="280"/>
      <c r="AD152" s="280"/>
      <c r="AE152" s="303"/>
      <c r="AF152" s="2"/>
    </row>
    <row r="153" spans="1:32" s="11" customFormat="1" ht="20.25" customHeight="1">
      <c r="A153" s="45"/>
      <c r="B153" s="46"/>
      <c r="C153" s="46"/>
      <c r="D153" s="124"/>
      <c r="E153" s="103"/>
      <c r="F153" s="103"/>
      <c r="G153" s="103"/>
      <c r="H153" s="103"/>
      <c r="I153" s="103"/>
      <c r="J153" s="103"/>
      <c r="K153" s="103"/>
      <c r="L153" s="103"/>
      <c r="M153" s="103"/>
      <c r="N153" s="68"/>
      <c r="O153" s="279" t="s">
        <v>713</v>
      </c>
      <c r="P153" s="279"/>
      <c r="Q153" s="279"/>
      <c r="R153" s="279"/>
      <c r="S153" s="277">
        <v>580000</v>
      </c>
      <c r="T153" s="277" t="s">
        <v>200</v>
      </c>
      <c r="U153" s="333" t="s">
        <v>214</v>
      </c>
      <c r="V153" s="277">
        <v>1</v>
      </c>
      <c r="W153" s="277" t="s">
        <v>201</v>
      </c>
      <c r="X153" s="333"/>
      <c r="Y153" s="277"/>
      <c r="Z153" s="277"/>
      <c r="AA153" s="277" t="s">
        <v>206</v>
      </c>
      <c r="AB153" s="277" t="s">
        <v>152</v>
      </c>
      <c r="AC153" s="280"/>
      <c r="AD153" s="280">
        <f>S153*V153</f>
        <v>580000</v>
      </c>
      <c r="AE153" s="131" t="s">
        <v>775</v>
      </c>
      <c r="AF153" s="2"/>
    </row>
    <row r="154" spans="1:32" s="11" customFormat="1" ht="20.25" customHeight="1">
      <c r="A154" s="45"/>
      <c r="B154" s="46"/>
      <c r="C154" s="46"/>
      <c r="D154" s="124"/>
      <c r="E154" s="103"/>
      <c r="F154" s="103"/>
      <c r="G154" s="103"/>
      <c r="H154" s="103"/>
      <c r="I154" s="103"/>
      <c r="J154" s="103"/>
      <c r="K154" s="103"/>
      <c r="L154" s="103"/>
      <c r="M154" s="103"/>
      <c r="N154" s="68"/>
      <c r="O154" s="279" t="s">
        <v>714</v>
      </c>
      <c r="P154" s="279"/>
      <c r="Q154" s="279"/>
      <c r="R154" s="279"/>
      <c r="S154" s="277"/>
      <c r="T154" s="277" t="s">
        <v>56</v>
      </c>
      <c r="U154" s="333" t="s">
        <v>57</v>
      </c>
      <c r="V154" s="277"/>
      <c r="W154" s="277" t="s">
        <v>66</v>
      </c>
      <c r="X154" s="333"/>
      <c r="Y154" s="277"/>
      <c r="Z154" s="277"/>
      <c r="AA154" s="277" t="s">
        <v>53</v>
      </c>
      <c r="AB154" s="277" t="s">
        <v>152</v>
      </c>
      <c r="AC154" s="280"/>
      <c r="AD154" s="280">
        <v>1400000</v>
      </c>
      <c r="AE154" s="131" t="s">
        <v>775</v>
      </c>
      <c r="AF154" s="2"/>
    </row>
    <row r="155" spans="1:32" s="11" customFormat="1" ht="20.25" customHeight="1">
      <c r="A155" s="45"/>
      <c r="B155" s="46"/>
      <c r="C155" s="46"/>
      <c r="D155" s="124"/>
      <c r="E155" s="103"/>
      <c r="F155" s="103"/>
      <c r="G155" s="103"/>
      <c r="H155" s="103"/>
      <c r="I155" s="103"/>
      <c r="J155" s="103"/>
      <c r="K155" s="103"/>
      <c r="L155" s="103"/>
      <c r="M155" s="103"/>
      <c r="N155" s="68"/>
      <c r="O155" s="279" t="s">
        <v>716</v>
      </c>
      <c r="P155" s="279"/>
      <c r="Q155" s="279"/>
      <c r="R155" s="279"/>
      <c r="S155" s="277"/>
      <c r="T155" s="277" t="s">
        <v>200</v>
      </c>
      <c r="U155" s="333" t="s">
        <v>214</v>
      </c>
      <c r="V155" s="277"/>
      <c r="W155" s="277" t="s">
        <v>201</v>
      </c>
      <c r="X155" s="333"/>
      <c r="Y155" s="277"/>
      <c r="Z155" s="277"/>
      <c r="AA155" s="277" t="s">
        <v>206</v>
      </c>
      <c r="AB155" s="277" t="s">
        <v>152</v>
      </c>
      <c r="AC155" s="280"/>
      <c r="AD155" s="280">
        <v>278000</v>
      </c>
      <c r="AE155" s="131" t="s">
        <v>775</v>
      </c>
      <c r="AF155" s="2"/>
    </row>
    <row r="156" spans="1:32" s="11" customFormat="1" ht="20.25" customHeight="1">
      <c r="A156" s="45"/>
      <c r="B156" s="46"/>
      <c r="C156" s="46"/>
      <c r="D156" s="124"/>
      <c r="E156" s="103"/>
      <c r="F156" s="103"/>
      <c r="G156" s="103"/>
      <c r="H156" s="103"/>
      <c r="I156" s="103"/>
      <c r="J156" s="103"/>
      <c r="K156" s="103"/>
      <c r="L156" s="103"/>
      <c r="M156" s="103"/>
      <c r="N156" s="68"/>
      <c r="O156" s="279"/>
      <c r="P156" s="279"/>
      <c r="Q156" s="279"/>
      <c r="R156" s="279"/>
      <c r="S156" s="355"/>
      <c r="T156" s="277"/>
      <c r="U156" s="277"/>
      <c r="V156" s="277"/>
      <c r="W156" s="277"/>
      <c r="X156" s="277"/>
      <c r="Y156" s="277"/>
      <c r="Z156" s="277"/>
      <c r="AA156" s="277"/>
      <c r="AB156" s="277"/>
      <c r="AC156" s="280"/>
      <c r="AD156" s="280"/>
      <c r="AE156" s="131"/>
      <c r="AF156" s="2"/>
    </row>
    <row r="157" spans="1:32" s="11" customFormat="1" ht="20.25" customHeight="1">
      <c r="A157" s="45"/>
      <c r="B157" s="46"/>
      <c r="C157" s="46"/>
      <c r="D157" s="124"/>
      <c r="E157" s="103"/>
      <c r="F157" s="103"/>
      <c r="G157" s="103"/>
      <c r="H157" s="103"/>
      <c r="I157" s="103"/>
      <c r="J157" s="103"/>
      <c r="K157" s="103"/>
      <c r="L157" s="103"/>
      <c r="M157" s="103"/>
      <c r="N157" s="68"/>
      <c r="O157" s="599" t="s">
        <v>701</v>
      </c>
      <c r="P157" s="599"/>
      <c r="Q157" s="599"/>
      <c r="R157" s="599"/>
      <c r="S157" s="598">
        <v>35000</v>
      </c>
      <c r="T157" s="297" t="s">
        <v>677</v>
      </c>
      <c r="U157" s="297" t="s">
        <v>26</v>
      </c>
      <c r="V157" s="598">
        <v>14</v>
      </c>
      <c r="W157" s="599" t="s">
        <v>55</v>
      </c>
      <c r="X157" s="598" t="s">
        <v>27</v>
      </c>
      <c r="Y157" s="598"/>
      <c r="Z157" s="598"/>
      <c r="AA157" s="598"/>
      <c r="AB157" s="598" t="s">
        <v>698</v>
      </c>
      <c r="AC157" s="130"/>
      <c r="AD157" s="598">
        <f>S157*V157</f>
        <v>490000</v>
      </c>
      <c r="AE157" s="131" t="s">
        <v>775</v>
      </c>
      <c r="AF157" s="2"/>
    </row>
    <row r="158" spans="1:32" s="11" customFormat="1" ht="20.25" customHeight="1">
      <c r="A158" s="45"/>
      <c r="B158" s="46"/>
      <c r="C158" s="46"/>
      <c r="D158" s="124"/>
      <c r="E158" s="103"/>
      <c r="F158" s="103"/>
      <c r="G158" s="103"/>
      <c r="H158" s="103"/>
      <c r="I158" s="103"/>
      <c r="J158" s="103"/>
      <c r="K158" s="103"/>
      <c r="L158" s="103"/>
      <c r="M158" s="103"/>
      <c r="N158" s="68"/>
      <c r="O158" s="599" t="s">
        <v>702</v>
      </c>
      <c r="P158" s="599"/>
      <c r="Q158" s="599"/>
      <c r="R158" s="599"/>
      <c r="S158" s="598">
        <v>20000</v>
      </c>
      <c r="T158" s="297" t="s">
        <v>677</v>
      </c>
      <c r="U158" s="297" t="s">
        <v>26</v>
      </c>
      <c r="V158" s="598">
        <v>14</v>
      </c>
      <c r="W158" s="599" t="s">
        <v>55</v>
      </c>
      <c r="X158" s="389" t="s">
        <v>678</v>
      </c>
      <c r="Y158" s="598">
        <v>2</v>
      </c>
      <c r="Z158" s="598" t="s">
        <v>680</v>
      </c>
      <c r="AA158" s="598" t="s">
        <v>681</v>
      </c>
      <c r="AB158" s="390" t="s">
        <v>698</v>
      </c>
      <c r="AC158" s="390"/>
      <c r="AD158" s="598">
        <f>S158*V158*Y158</f>
        <v>560000</v>
      </c>
      <c r="AE158" s="391" t="s">
        <v>25</v>
      </c>
      <c r="AF158" s="2"/>
    </row>
    <row r="159" spans="1:32" s="11" customFormat="1" ht="20.25" customHeight="1">
      <c r="A159" s="45"/>
      <c r="B159" s="46"/>
      <c r="C159" s="46"/>
      <c r="D159" s="124"/>
      <c r="E159" s="103"/>
      <c r="F159" s="103"/>
      <c r="G159" s="103"/>
      <c r="H159" s="103"/>
      <c r="I159" s="103"/>
      <c r="J159" s="103"/>
      <c r="K159" s="103"/>
      <c r="L159" s="103"/>
      <c r="M159" s="103"/>
      <c r="N159" s="68"/>
      <c r="O159" s="439" t="s">
        <v>856</v>
      </c>
      <c r="P159" s="570"/>
      <c r="Q159" s="570"/>
      <c r="R159" s="570"/>
      <c r="S159" s="569"/>
      <c r="T159" s="390" t="s">
        <v>619</v>
      </c>
      <c r="U159" s="389" t="s">
        <v>620</v>
      </c>
      <c r="V159" s="390">
        <v>2</v>
      </c>
      <c r="W159" s="569" t="s">
        <v>621</v>
      </c>
      <c r="X159" s="390"/>
      <c r="Y159" s="390"/>
      <c r="Z159" s="390"/>
      <c r="AA159" s="395" t="s">
        <v>622</v>
      </c>
      <c r="AB159" s="390" t="s">
        <v>628</v>
      </c>
      <c r="AC159" s="390"/>
      <c r="AD159" s="378">
        <v>7000000</v>
      </c>
      <c r="AE159" s="634" t="s">
        <v>854</v>
      </c>
      <c r="AF159" s="2"/>
    </row>
    <row r="160" spans="1:32" s="11" customFormat="1" ht="20.25" customHeight="1">
      <c r="A160" s="45"/>
      <c r="B160" s="46"/>
      <c r="C160" s="46"/>
      <c r="D160" s="124"/>
      <c r="E160" s="103"/>
      <c r="F160" s="103"/>
      <c r="G160" s="103"/>
      <c r="H160" s="103"/>
      <c r="I160" s="103"/>
      <c r="J160" s="103"/>
      <c r="K160" s="103"/>
      <c r="L160" s="103"/>
      <c r="M160" s="103"/>
      <c r="N160" s="68"/>
      <c r="O160" s="599" t="s">
        <v>700</v>
      </c>
      <c r="P160" s="570"/>
      <c r="Q160" s="570"/>
      <c r="R160" s="570"/>
      <c r="S160" s="569">
        <v>100000</v>
      </c>
      <c r="T160" s="297" t="s">
        <v>619</v>
      </c>
      <c r="U160" s="297" t="s">
        <v>26</v>
      </c>
      <c r="V160" s="569">
        <v>4</v>
      </c>
      <c r="W160" s="599" t="s">
        <v>66</v>
      </c>
      <c r="X160" s="569" t="s">
        <v>27</v>
      </c>
      <c r="Y160" s="578"/>
      <c r="Z160" s="569"/>
      <c r="AA160" s="390"/>
      <c r="AB160" s="404" t="s">
        <v>171</v>
      </c>
      <c r="AC160" s="390"/>
      <c r="AD160" s="598">
        <f>S160*V160</f>
        <v>400000</v>
      </c>
      <c r="AE160" s="391" t="s">
        <v>775</v>
      </c>
      <c r="AF160" s="2"/>
    </row>
    <row r="161" spans="1:32" s="11" customFormat="1" ht="20.25" customHeight="1">
      <c r="A161" s="45"/>
      <c r="B161" s="46"/>
      <c r="C161" s="46"/>
      <c r="D161" s="124"/>
      <c r="E161" s="103"/>
      <c r="F161" s="103"/>
      <c r="G161" s="103"/>
      <c r="H161" s="103"/>
      <c r="I161" s="103"/>
      <c r="J161" s="103"/>
      <c r="K161" s="103"/>
      <c r="L161" s="103"/>
      <c r="M161" s="103"/>
      <c r="N161" s="68"/>
      <c r="O161" s="599" t="s">
        <v>699</v>
      </c>
      <c r="P161" s="599"/>
      <c r="Q161" s="599"/>
      <c r="R161" s="599"/>
      <c r="S161" s="598">
        <v>50000</v>
      </c>
      <c r="T161" s="598" t="s">
        <v>677</v>
      </c>
      <c r="U161" s="389" t="s">
        <v>678</v>
      </c>
      <c r="V161" s="598">
        <v>39</v>
      </c>
      <c r="W161" s="598" t="s">
        <v>679</v>
      </c>
      <c r="X161" s="389" t="s">
        <v>678</v>
      </c>
      <c r="Y161" s="598">
        <v>1</v>
      </c>
      <c r="Z161" s="598" t="s">
        <v>680</v>
      </c>
      <c r="AA161" s="598" t="s">
        <v>681</v>
      </c>
      <c r="AB161" s="598" t="s">
        <v>698</v>
      </c>
      <c r="AC161" s="130"/>
      <c r="AD161" s="130">
        <f>S161*V161*Y161</f>
        <v>1950000</v>
      </c>
      <c r="AE161" s="131" t="s">
        <v>775</v>
      </c>
      <c r="AF161" s="2"/>
    </row>
    <row r="162" spans="1:32" s="11" customFormat="1" ht="20.25" customHeight="1">
      <c r="A162" s="45"/>
      <c r="B162" s="46"/>
      <c r="C162" s="47"/>
      <c r="D162" s="124"/>
      <c r="E162" s="103"/>
      <c r="F162" s="103"/>
      <c r="G162" s="103"/>
      <c r="H162" s="103"/>
      <c r="I162" s="103"/>
      <c r="J162" s="103"/>
      <c r="K162" s="103"/>
      <c r="L162" s="103"/>
      <c r="M162" s="103"/>
      <c r="N162" s="68"/>
      <c r="O162" s="279"/>
      <c r="P162" s="279"/>
      <c r="Q162" s="279"/>
      <c r="R162" s="279"/>
      <c r="S162" s="277"/>
      <c r="T162" s="339"/>
      <c r="U162" s="339"/>
      <c r="V162" s="277"/>
      <c r="W162" s="279"/>
      <c r="X162" s="277"/>
      <c r="Y162" s="356"/>
      <c r="Z162" s="277"/>
      <c r="AA162" s="334"/>
      <c r="AB162" s="334"/>
      <c r="AC162" s="334"/>
      <c r="AD162" s="277"/>
      <c r="AE162" s="335"/>
      <c r="AF162" s="2"/>
    </row>
    <row r="163" spans="1:32" s="11" customFormat="1" ht="20.25" customHeight="1">
      <c r="A163" s="45"/>
      <c r="B163" s="46"/>
      <c r="C163" s="47"/>
      <c r="D163" s="124"/>
      <c r="E163" s="103"/>
      <c r="F163" s="103"/>
      <c r="G163" s="103"/>
      <c r="H163" s="103"/>
      <c r="I163" s="103"/>
      <c r="J163" s="103"/>
      <c r="K163" s="103"/>
      <c r="L163" s="103"/>
      <c r="M163" s="103"/>
      <c r="N163" s="68"/>
      <c r="O163" s="110" t="s">
        <v>804</v>
      </c>
      <c r="P163" s="279"/>
      <c r="Q163" s="279"/>
      <c r="R163" s="279"/>
      <c r="S163" s="277"/>
      <c r="T163" s="339"/>
      <c r="U163" s="339"/>
      <c r="V163" s="277"/>
      <c r="W163" s="279"/>
      <c r="X163" s="277"/>
      <c r="Y163" s="624" t="s">
        <v>137</v>
      </c>
      <c r="Z163" s="624"/>
      <c r="AA163" s="624"/>
      <c r="AB163" s="624"/>
      <c r="AC163" s="171"/>
      <c r="AD163" s="264">
        <f>SUM(AD164:AD166)</f>
        <v>1730000</v>
      </c>
      <c r="AE163" s="170" t="s">
        <v>25</v>
      </c>
      <c r="AF163" s="2"/>
    </row>
    <row r="164" spans="1:32" s="11" customFormat="1" ht="21" customHeight="1">
      <c r="A164" s="45"/>
      <c r="B164" s="46"/>
      <c r="C164" s="46"/>
      <c r="D164" s="151"/>
      <c r="E164" s="103"/>
      <c r="F164" s="103"/>
      <c r="G164" s="103"/>
      <c r="H164" s="103"/>
      <c r="I164" s="103"/>
      <c r="J164" s="103"/>
      <c r="K164" s="103"/>
      <c r="L164" s="103"/>
      <c r="M164" s="103"/>
      <c r="N164" s="68"/>
      <c r="O164" s="626" t="s">
        <v>259</v>
      </c>
      <c r="P164" s="626"/>
      <c r="Q164" s="625"/>
      <c r="R164" s="625"/>
      <c r="S164" s="625">
        <v>20000</v>
      </c>
      <c r="T164" s="390" t="s">
        <v>56</v>
      </c>
      <c r="U164" s="389" t="s">
        <v>57</v>
      </c>
      <c r="V164" s="394">
        <v>9</v>
      </c>
      <c r="W164" s="625" t="s">
        <v>55</v>
      </c>
      <c r="X164" s="389" t="s">
        <v>57</v>
      </c>
      <c r="Y164" s="390">
        <v>6</v>
      </c>
      <c r="Z164" s="390" t="s">
        <v>66</v>
      </c>
      <c r="AA164" s="395" t="s">
        <v>53</v>
      </c>
      <c r="AB164" s="390" t="s">
        <v>91</v>
      </c>
      <c r="AC164" s="390"/>
      <c r="AD164" s="625">
        <f>S164*V164*Y164</f>
        <v>1080000</v>
      </c>
      <c r="AE164" s="391" t="s">
        <v>56</v>
      </c>
      <c r="AF164" s="614"/>
    </row>
    <row r="165" spans="1:32" s="11" customFormat="1" ht="21" customHeight="1">
      <c r="A165" s="45"/>
      <c r="B165" s="46"/>
      <c r="C165" s="46"/>
      <c r="D165" s="151"/>
      <c r="E165" s="103"/>
      <c r="F165" s="103"/>
      <c r="G165" s="103"/>
      <c r="H165" s="103"/>
      <c r="I165" s="103"/>
      <c r="J165" s="103"/>
      <c r="K165" s="103"/>
      <c r="L165" s="103"/>
      <c r="M165" s="103"/>
      <c r="N165" s="68"/>
      <c r="O165" s="640" t="s">
        <v>848</v>
      </c>
      <c r="P165" s="626"/>
      <c r="Q165" s="625"/>
      <c r="R165" s="625"/>
      <c r="S165" s="625">
        <v>50000</v>
      </c>
      <c r="T165" s="390" t="s">
        <v>56</v>
      </c>
      <c r="U165" s="389" t="s">
        <v>57</v>
      </c>
      <c r="V165" s="394">
        <v>4</v>
      </c>
      <c r="W165" s="625" t="s">
        <v>55</v>
      </c>
      <c r="X165" s="389" t="s">
        <v>57</v>
      </c>
      <c r="Y165" s="390"/>
      <c r="Z165" s="390" t="s">
        <v>66</v>
      </c>
      <c r="AA165" s="395" t="s">
        <v>53</v>
      </c>
      <c r="AB165" s="390" t="s">
        <v>91</v>
      </c>
      <c r="AC165" s="390"/>
      <c r="AD165" s="625">
        <v>400000</v>
      </c>
      <c r="AE165" s="391" t="s">
        <v>56</v>
      </c>
      <c r="AF165" s="614"/>
    </row>
    <row r="166" spans="1:32" s="11" customFormat="1" ht="21" customHeight="1">
      <c r="A166" s="45"/>
      <c r="B166" s="46"/>
      <c r="C166" s="46"/>
      <c r="D166" s="151"/>
      <c r="E166" s="103"/>
      <c r="F166" s="103"/>
      <c r="G166" s="103"/>
      <c r="H166" s="103"/>
      <c r="I166" s="103"/>
      <c r="J166" s="103"/>
      <c r="K166" s="103"/>
      <c r="L166" s="103"/>
      <c r="M166" s="103"/>
      <c r="N166" s="68"/>
      <c r="O166" s="626" t="s">
        <v>773</v>
      </c>
      <c r="P166" s="626"/>
      <c r="Q166" s="626"/>
      <c r="R166" s="626"/>
      <c r="S166" s="625"/>
      <c r="T166" s="390"/>
      <c r="U166" s="390"/>
      <c r="V166" s="390"/>
      <c r="W166" s="625"/>
      <c r="X166" s="390"/>
      <c r="Y166" s="390"/>
      <c r="Z166" s="390"/>
      <c r="AA166" s="625"/>
      <c r="AB166" s="390" t="s">
        <v>91</v>
      </c>
      <c r="AC166" s="390"/>
      <c r="AD166" s="625">
        <v>250000</v>
      </c>
      <c r="AE166" s="131" t="s">
        <v>56</v>
      </c>
      <c r="AF166" s="614"/>
    </row>
    <row r="167" spans="1:32" s="11" customFormat="1" ht="21" customHeight="1">
      <c r="A167" s="45"/>
      <c r="B167" s="59"/>
      <c r="C167" s="517"/>
      <c r="D167" s="152"/>
      <c r="E167" s="105"/>
      <c r="F167" s="105"/>
      <c r="G167" s="105"/>
      <c r="H167" s="105"/>
      <c r="I167" s="105"/>
      <c r="J167" s="105"/>
      <c r="K167" s="105"/>
      <c r="L167" s="105"/>
      <c r="M167" s="105"/>
      <c r="N167" s="82"/>
      <c r="O167" s="361"/>
      <c r="P167" s="361"/>
      <c r="Q167" s="361"/>
      <c r="R167" s="361"/>
      <c r="S167" s="224"/>
      <c r="T167" s="361"/>
      <c r="U167" s="224"/>
      <c r="V167" s="125"/>
      <c r="W167" s="125"/>
      <c r="X167" s="224"/>
      <c r="Y167" s="224"/>
      <c r="Z167" s="224"/>
      <c r="AA167" s="224"/>
      <c r="AB167" s="224"/>
      <c r="AC167" s="224"/>
      <c r="AD167" s="224"/>
      <c r="AE167" s="71"/>
      <c r="AF167" s="2"/>
    </row>
    <row r="168" spans="1:32" s="11" customFormat="1" ht="21" customHeight="1">
      <c r="A168" s="106" t="s">
        <v>47</v>
      </c>
      <c r="B168" s="740" t="s">
        <v>20</v>
      </c>
      <c r="C168" s="740"/>
      <c r="D168" s="185">
        <f>D169</f>
        <v>111812</v>
      </c>
      <c r="E168" s="185">
        <f>E169</f>
        <v>131898</v>
      </c>
      <c r="F168" s="185">
        <f t="shared" ref="F168:L168" si="8">F169</f>
        <v>3312</v>
      </c>
      <c r="G168" s="185">
        <f t="shared" si="8"/>
        <v>5000</v>
      </c>
      <c r="H168" s="185">
        <f t="shared" si="8"/>
        <v>0</v>
      </c>
      <c r="I168" s="185">
        <f t="shared" si="8"/>
        <v>123500</v>
      </c>
      <c r="J168" s="185">
        <f t="shared" si="8"/>
        <v>0</v>
      </c>
      <c r="K168" s="185">
        <f t="shared" si="8"/>
        <v>86</v>
      </c>
      <c r="L168" s="185">
        <f t="shared" si="8"/>
        <v>0</v>
      </c>
      <c r="M168" s="185">
        <f>E168-D168</f>
        <v>20086</v>
      </c>
      <c r="N168" s="163">
        <f>IF(D168=0,0,M168/D168)</f>
        <v>0.17964082567166315</v>
      </c>
      <c r="O168" s="176" t="s">
        <v>140</v>
      </c>
      <c r="P168" s="32"/>
      <c r="Q168" s="32"/>
      <c r="R168" s="32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>
        <f>AD169</f>
        <v>131898000</v>
      </c>
      <c r="AE168" s="34" t="s">
        <v>25</v>
      </c>
      <c r="AF168" s="2"/>
    </row>
    <row r="169" spans="1:32" s="11" customFormat="1" ht="21" customHeight="1">
      <c r="A169" s="184" t="s">
        <v>147</v>
      </c>
      <c r="B169" s="46" t="s">
        <v>17</v>
      </c>
      <c r="C169" s="46" t="s">
        <v>141</v>
      </c>
      <c r="D169" s="103">
        <f t="shared" ref="D169:L169" si="9">SUM(D170,D173,D178)</f>
        <v>111812</v>
      </c>
      <c r="E169" s="103">
        <f t="shared" si="9"/>
        <v>131898</v>
      </c>
      <c r="F169" s="103">
        <f t="shared" si="9"/>
        <v>3312</v>
      </c>
      <c r="G169" s="103">
        <f t="shared" si="9"/>
        <v>5000</v>
      </c>
      <c r="H169" s="103">
        <f t="shared" si="9"/>
        <v>0</v>
      </c>
      <c r="I169" s="103">
        <f t="shared" si="9"/>
        <v>123500</v>
      </c>
      <c r="J169" s="103">
        <f t="shared" si="9"/>
        <v>0</v>
      </c>
      <c r="K169" s="103">
        <f t="shared" si="9"/>
        <v>86</v>
      </c>
      <c r="L169" s="103">
        <f t="shared" si="9"/>
        <v>0</v>
      </c>
      <c r="M169" s="103">
        <f>E169-D169</f>
        <v>20086</v>
      </c>
      <c r="N169" s="68">
        <f>IF(D169=0,0,M169/D169)</f>
        <v>0.17964082567166315</v>
      </c>
      <c r="O169" s="180" t="s">
        <v>142</v>
      </c>
      <c r="P169" s="91"/>
      <c r="Q169" s="91"/>
      <c r="R169" s="91"/>
      <c r="S169" s="91"/>
      <c r="T169" s="87"/>
      <c r="U169" s="87"/>
      <c r="V169" s="87"/>
      <c r="W169" s="87"/>
      <c r="X169" s="87"/>
      <c r="Y169" s="87"/>
      <c r="Z169" s="87"/>
      <c r="AA169" s="87"/>
      <c r="AB169" s="87"/>
      <c r="AC169" s="92"/>
      <c r="AD169" s="92">
        <f>SUM(AD170,AD173,AD178)</f>
        <v>131898000</v>
      </c>
      <c r="AE169" s="93" t="s">
        <v>25</v>
      </c>
      <c r="AF169" s="1"/>
    </row>
    <row r="170" spans="1:32" s="11" customFormat="1" ht="21" customHeight="1">
      <c r="A170" s="45"/>
      <c r="B170" s="46"/>
      <c r="C170" s="36" t="s">
        <v>142</v>
      </c>
      <c r="D170" s="182">
        <v>0</v>
      </c>
      <c r="E170" s="182">
        <f>ROUND(AD170/1000,0)</f>
        <v>0</v>
      </c>
      <c r="F170" s="108">
        <f>SUMIF($AB$171:$AB$172,"보조",$AD$171:$AD$172)/1000</f>
        <v>0</v>
      </c>
      <c r="G170" s="108">
        <f>SUMIF($AB$171:$AB$172,"7종",$AD$171:$AD$172)/1000</f>
        <v>0</v>
      </c>
      <c r="H170" s="108">
        <f>SUMIF($AB$171:$AB$172,"4종",$AD$171:$AD$172)/1000</f>
        <v>0</v>
      </c>
      <c r="I170" s="108">
        <f>SUMIF($AB$171:$AB$172,"후원",$AD$171:$AD$172)/1000</f>
        <v>0</v>
      </c>
      <c r="J170" s="108">
        <f>SUMIF($AB$171:$AB$172,"입소",$AD$171:$AD$172)/1000</f>
        <v>0</v>
      </c>
      <c r="K170" s="108">
        <f>SUMIF($AB$171:$AB$172,"법인",$AD$171:$AD$172)/1000</f>
        <v>0</v>
      </c>
      <c r="L170" s="108">
        <f>SUMIF($AB$171:$AB$172,"잡수",$AD$171:$AD$172)/1000</f>
        <v>0</v>
      </c>
      <c r="M170" s="182">
        <f>E170-D170</f>
        <v>0</v>
      </c>
      <c r="N170" s="183">
        <f>IF(D170=0,0,M170/D170)</f>
        <v>0</v>
      </c>
      <c r="O170" s="95" t="s">
        <v>48</v>
      </c>
      <c r="P170" s="180"/>
      <c r="Q170" s="180"/>
      <c r="R170" s="180"/>
      <c r="S170" s="180"/>
      <c r="T170" s="179"/>
      <c r="U170" s="179"/>
      <c r="V170" s="179"/>
      <c r="W170" s="179"/>
      <c r="X170" s="179"/>
      <c r="Y170" s="169" t="s">
        <v>137</v>
      </c>
      <c r="Z170" s="169"/>
      <c r="AA170" s="169"/>
      <c r="AB170" s="169"/>
      <c r="AC170" s="171"/>
      <c r="AD170" s="171">
        <f>SUM(AD171:AD171)</f>
        <v>0</v>
      </c>
      <c r="AE170" s="170" t="s">
        <v>25</v>
      </c>
      <c r="AF170" s="1"/>
    </row>
    <row r="171" spans="1:32" s="11" customFormat="1" ht="21" customHeight="1">
      <c r="A171" s="45"/>
      <c r="B171" s="46"/>
      <c r="C171" s="46"/>
      <c r="D171" s="104"/>
      <c r="E171" s="103"/>
      <c r="F171" s="103"/>
      <c r="G171" s="103"/>
      <c r="H171" s="103"/>
      <c r="I171" s="103"/>
      <c r="J171" s="103"/>
      <c r="K171" s="103"/>
      <c r="L171" s="103"/>
      <c r="M171" s="103"/>
      <c r="N171" s="68"/>
      <c r="O171" s="570"/>
      <c r="P171" s="570"/>
      <c r="Q171" s="570"/>
      <c r="R171" s="570"/>
      <c r="S171" s="570"/>
      <c r="T171" s="570"/>
      <c r="U171" s="570"/>
      <c r="V171" s="570"/>
      <c r="W171" s="570"/>
      <c r="X171" s="570"/>
      <c r="Y171" s="570"/>
      <c r="Z171" s="570"/>
      <c r="AA171" s="570"/>
      <c r="AB171" s="570"/>
      <c r="AC171" s="570"/>
      <c r="AD171" s="569"/>
      <c r="AE171" s="131"/>
      <c r="AF171" s="2"/>
    </row>
    <row r="172" spans="1:32" s="11" customFormat="1" ht="21" customHeight="1">
      <c r="A172" s="45"/>
      <c r="B172" s="46"/>
      <c r="C172" s="46"/>
      <c r="D172" s="151"/>
      <c r="E172" s="103"/>
      <c r="F172" s="103"/>
      <c r="G172" s="103"/>
      <c r="H172" s="103"/>
      <c r="I172" s="103"/>
      <c r="J172" s="103"/>
      <c r="K172" s="103"/>
      <c r="L172" s="103"/>
      <c r="M172" s="103"/>
      <c r="N172" s="68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26"/>
      <c r="AE172" s="118"/>
      <c r="AF172" s="2"/>
    </row>
    <row r="173" spans="1:32" s="11" customFormat="1" ht="21" customHeight="1">
      <c r="A173" s="45"/>
      <c r="B173" s="46"/>
      <c r="C173" s="36" t="s">
        <v>18</v>
      </c>
      <c r="D173" s="153">
        <v>28000</v>
      </c>
      <c r="E173" s="107">
        <f>ROUND(AD173/1000,0)</f>
        <v>35160</v>
      </c>
      <c r="F173" s="108">
        <f>SUMIF($AB$174:$AB$177,"보조",$AD$174:$AD$177)/1000</f>
        <v>0</v>
      </c>
      <c r="G173" s="108">
        <f>SUMIF($AB$174:$AB$177,"7종",$AD$174:$AD$177)/1000</f>
        <v>0</v>
      </c>
      <c r="H173" s="108">
        <f>SUMIF($AB$174:$AB$177,"4종",$AD$174:$AD$177)/1000</f>
        <v>0</v>
      </c>
      <c r="I173" s="108">
        <f>SUMIF($AB$174:$AB$177,"후원",$AD$174:$AD$177)/1000</f>
        <v>35160</v>
      </c>
      <c r="J173" s="108">
        <f>SUMIF($AB$174:$AB$177,"입소",$AD$174:$AD$177)/1000</f>
        <v>0</v>
      </c>
      <c r="K173" s="108">
        <f>SUMIF($AB$174:$AB$177,"법인",$AD$174:$AD$177)/1000</f>
        <v>0</v>
      </c>
      <c r="L173" s="108">
        <f>SUMIF($AB$174:$AB$177,"잡수",$AD$174:$AD$177)/1000</f>
        <v>0</v>
      </c>
      <c r="M173" s="107">
        <f>E173-D173</f>
        <v>7160</v>
      </c>
      <c r="N173" s="115">
        <f>IF(D173=0,0,M173/D173)</f>
        <v>0.25571428571428573</v>
      </c>
      <c r="O173" s="95" t="s">
        <v>49</v>
      </c>
      <c r="P173" s="91"/>
      <c r="Q173" s="91"/>
      <c r="R173" s="91"/>
      <c r="S173" s="91"/>
      <c r="T173" s="87"/>
      <c r="U173" s="87"/>
      <c r="V173" s="87"/>
      <c r="W173" s="87"/>
      <c r="X173" s="87"/>
      <c r="Y173" s="169" t="s">
        <v>137</v>
      </c>
      <c r="Z173" s="169"/>
      <c r="AA173" s="169"/>
      <c r="AB173" s="169"/>
      <c r="AC173" s="171"/>
      <c r="AD173" s="171">
        <f>SUM(AD174:AD177)</f>
        <v>35160000</v>
      </c>
      <c r="AE173" s="170" t="s">
        <v>25</v>
      </c>
      <c r="AF173" s="1"/>
    </row>
    <row r="174" spans="1:32" s="11" customFormat="1" ht="21" customHeight="1">
      <c r="A174" s="45"/>
      <c r="B174" s="46"/>
      <c r="C174" s="46"/>
      <c r="D174" s="104"/>
      <c r="E174" s="103"/>
      <c r="F174" s="103"/>
      <c r="G174" s="103"/>
      <c r="H174" s="103"/>
      <c r="I174" s="103"/>
      <c r="J174" s="103"/>
      <c r="K174" s="103"/>
      <c r="L174" s="103"/>
      <c r="M174" s="103"/>
      <c r="N174" s="68"/>
      <c r="O174" s="585" t="s">
        <v>650</v>
      </c>
      <c r="P174" s="585"/>
      <c r="Q174" s="585"/>
      <c r="R174" s="585"/>
      <c r="S174" s="584">
        <v>0</v>
      </c>
      <c r="T174" s="297" t="s">
        <v>646</v>
      </c>
      <c r="U174" s="297" t="s">
        <v>26</v>
      </c>
      <c r="V174" s="584">
        <v>6</v>
      </c>
      <c r="W174" s="585" t="s">
        <v>651</v>
      </c>
      <c r="X174" s="584" t="s">
        <v>27</v>
      </c>
      <c r="Y174" s="584"/>
      <c r="Z174" s="584"/>
      <c r="AA174" s="584"/>
      <c r="AB174" s="584" t="s">
        <v>648</v>
      </c>
      <c r="AC174" s="584"/>
      <c r="AD174" s="584">
        <v>6000000</v>
      </c>
      <c r="AE174" s="131" t="s">
        <v>25</v>
      </c>
      <c r="AF174" s="2"/>
    </row>
    <row r="175" spans="1:32" s="11" customFormat="1" ht="21" customHeight="1">
      <c r="A175" s="45"/>
      <c r="B175" s="46"/>
      <c r="C175" s="46"/>
      <c r="D175" s="104"/>
      <c r="E175" s="103"/>
      <c r="F175" s="103"/>
      <c r="G175" s="103"/>
      <c r="H175" s="103"/>
      <c r="I175" s="103"/>
      <c r="J175" s="103"/>
      <c r="K175" s="103"/>
      <c r="L175" s="103"/>
      <c r="M175" s="103"/>
      <c r="N175" s="68"/>
      <c r="O175" s="599" t="s">
        <v>721</v>
      </c>
      <c r="P175" s="599"/>
      <c r="Q175" s="599"/>
      <c r="R175" s="599"/>
      <c r="S175" s="598"/>
      <c r="T175" s="297"/>
      <c r="U175" s="297"/>
      <c r="V175" s="598"/>
      <c r="W175" s="599"/>
      <c r="X175" s="598"/>
      <c r="Y175" s="409" t="s">
        <v>569</v>
      </c>
      <c r="Z175" s="598"/>
      <c r="AA175" s="598"/>
      <c r="AB175" s="598" t="s">
        <v>152</v>
      </c>
      <c r="AC175" s="598"/>
      <c r="AD175" s="378">
        <v>23000000</v>
      </c>
      <c r="AE175" s="628" t="s">
        <v>854</v>
      </c>
      <c r="AF175" s="2"/>
    </row>
    <row r="176" spans="1:32" s="11" customFormat="1" ht="21" customHeight="1">
      <c r="A176" s="45"/>
      <c r="B176" s="46"/>
      <c r="C176" s="46"/>
      <c r="D176" s="104"/>
      <c r="E176" s="103"/>
      <c r="F176" s="103"/>
      <c r="G176" s="103"/>
      <c r="H176" s="103"/>
      <c r="I176" s="103"/>
      <c r="J176" s="103"/>
      <c r="K176" s="103"/>
      <c r="L176" s="103"/>
      <c r="M176" s="103"/>
      <c r="N176" s="68"/>
      <c r="O176" s="632" t="s">
        <v>824</v>
      </c>
      <c r="P176" s="585"/>
      <c r="Q176" s="402"/>
      <c r="R176" s="402"/>
      <c r="S176" s="402"/>
      <c r="T176" s="403"/>
      <c r="U176" s="403"/>
      <c r="V176" s="403"/>
      <c r="W176" s="403"/>
      <c r="X176" s="403"/>
      <c r="Y176" s="403" t="s">
        <v>823</v>
      </c>
      <c r="Z176" s="403"/>
      <c r="AA176" s="403"/>
      <c r="AB176" s="631" t="s">
        <v>822</v>
      </c>
      <c r="AC176" s="586"/>
      <c r="AD176" s="130">
        <v>5000000</v>
      </c>
      <c r="AE176" s="131" t="s">
        <v>819</v>
      </c>
      <c r="AF176" s="2"/>
    </row>
    <row r="177" spans="1:32" s="11" customFormat="1" ht="21" customHeight="1">
      <c r="A177" s="45"/>
      <c r="B177" s="46"/>
      <c r="C177" s="46"/>
      <c r="D177" s="104"/>
      <c r="E177" s="103"/>
      <c r="F177" s="103"/>
      <c r="G177" s="103"/>
      <c r="H177" s="103"/>
      <c r="I177" s="103"/>
      <c r="J177" s="103"/>
      <c r="K177" s="103"/>
      <c r="L177" s="103"/>
      <c r="M177" s="103"/>
      <c r="N177" s="68"/>
      <c r="O177" s="296" t="s">
        <v>842</v>
      </c>
      <c r="P177" s="50"/>
      <c r="Q177" s="50"/>
      <c r="R177" s="50"/>
      <c r="S177" s="51"/>
      <c r="T177" s="111"/>
      <c r="U177" s="55"/>
      <c r="V177" s="66"/>
      <c r="W177" s="66"/>
      <c r="X177" s="51"/>
      <c r="Y177" s="295" t="s">
        <v>843</v>
      </c>
      <c r="Z177" s="51"/>
      <c r="AA177" s="51"/>
      <c r="AB177" s="295" t="s">
        <v>844</v>
      </c>
      <c r="AC177" s="51"/>
      <c r="AD177" s="378">
        <v>1160000</v>
      </c>
      <c r="AE177" s="628" t="s">
        <v>854</v>
      </c>
      <c r="AF177" s="2"/>
    </row>
    <row r="178" spans="1:32" s="11" customFormat="1" ht="21" customHeight="1">
      <c r="A178" s="45"/>
      <c r="B178" s="46"/>
      <c r="C178" s="36" t="s">
        <v>50</v>
      </c>
      <c r="D178" s="153">
        <v>83812</v>
      </c>
      <c r="E178" s="107">
        <f>ROUND(AD178/1000,0)</f>
        <v>96738</v>
      </c>
      <c r="F178" s="108">
        <f>SUMIF($AB$179:$AB$191,"보조",$AD$179:$AD$191)/1000</f>
        <v>3312</v>
      </c>
      <c r="G178" s="108">
        <f>SUMIF($AB$179:$AB$191,"7종",$AD$179:$AD$191)/1000</f>
        <v>5000</v>
      </c>
      <c r="H178" s="108">
        <f>SUMIF($AB$179:$AB$191,"4종",$AD$179:$AD$191)/1000</f>
        <v>0</v>
      </c>
      <c r="I178" s="108">
        <f>SUMIF($AB$179:$AB$191,"후원",$AD$179:$AD$191)/1000</f>
        <v>88340</v>
      </c>
      <c r="J178" s="108">
        <f>SUMIF($AB$179:$AB$191,"입소",$AD$179:$AD$191)/1000</f>
        <v>0</v>
      </c>
      <c r="K178" s="108">
        <f>SUMIF($AB$179:$AB$191,"법인",$AD$179:$AD$191)/1000</f>
        <v>86</v>
      </c>
      <c r="L178" s="108">
        <f>SUMIF($AB$179:$AB$191,"잡수",$AD$179:$AD$191)/1000</f>
        <v>0</v>
      </c>
      <c r="M178" s="117">
        <f>E178-D178</f>
        <v>12926</v>
      </c>
      <c r="N178" s="115">
        <f>IF(D178=0,0,M178/D178)</f>
        <v>0.15422612513721184</v>
      </c>
      <c r="O178" s="95" t="s">
        <v>51</v>
      </c>
      <c r="P178" s="91"/>
      <c r="Q178" s="91"/>
      <c r="R178" s="91"/>
      <c r="S178" s="91"/>
      <c r="T178" s="87"/>
      <c r="U178" s="87"/>
      <c r="V178" s="87"/>
      <c r="W178" s="87"/>
      <c r="X178" s="87"/>
      <c r="Y178" s="169" t="s">
        <v>137</v>
      </c>
      <c r="Z178" s="169"/>
      <c r="AA178" s="169"/>
      <c r="AB178" s="169"/>
      <c r="AC178" s="171"/>
      <c r="AD178" s="171">
        <f>SUM(AD179:AD190)</f>
        <v>96738000</v>
      </c>
      <c r="AE178" s="170" t="s">
        <v>25</v>
      </c>
      <c r="AF178" s="1"/>
    </row>
    <row r="179" spans="1:32" s="1" customFormat="1" ht="21" customHeight="1">
      <c r="A179" s="45"/>
      <c r="B179" s="46"/>
      <c r="C179" s="46" t="s">
        <v>155</v>
      </c>
      <c r="D179" s="151"/>
      <c r="E179" s="103"/>
      <c r="F179" s="103"/>
      <c r="G179" s="103"/>
      <c r="H179" s="103"/>
      <c r="I179" s="103"/>
      <c r="J179" s="103"/>
      <c r="K179" s="103"/>
      <c r="L179" s="103"/>
      <c r="M179" s="103"/>
      <c r="N179" s="68"/>
      <c r="O179" s="377" t="s">
        <v>273</v>
      </c>
      <c r="P179" s="377"/>
      <c r="Q179" s="377"/>
      <c r="R179" s="377"/>
      <c r="S179" s="376">
        <v>176000</v>
      </c>
      <c r="T179" s="297" t="s">
        <v>261</v>
      </c>
      <c r="U179" s="297" t="s">
        <v>26</v>
      </c>
      <c r="V179" s="376">
        <v>12</v>
      </c>
      <c r="W179" s="377" t="s">
        <v>265</v>
      </c>
      <c r="X179" s="376" t="s">
        <v>27</v>
      </c>
      <c r="Y179" s="376"/>
      <c r="Z179" s="376"/>
      <c r="AA179" s="376"/>
      <c r="AB179" s="376" t="s">
        <v>269</v>
      </c>
      <c r="AC179" s="376"/>
      <c r="AD179" s="376">
        <f>S179*V179</f>
        <v>2112000</v>
      </c>
      <c r="AE179" s="131" t="s">
        <v>25</v>
      </c>
      <c r="AF179" s="2"/>
    </row>
    <row r="180" spans="1:32" s="1" customFormat="1" ht="21" customHeight="1">
      <c r="A180" s="45"/>
      <c r="B180" s="46"/>
      <c r="C180" s="46"/>
      <c r="D180" s="151"/>
      <c r="E180" s="103"/>
      <c r="F180" s="103"/>
      <c r="G180" s="103"/>
      <c r="H180" s="103"/>
      <c r="I180" s="103"/>
      <c r="J180" s="103"/>
      <c r="K180" s="103"/>
      <c r="L180" s="103"/>
      <c r="M180" s="103"/>
      <c r="N180" s="68"/>
      <c r="O180" s="377" t="s">
        <v>274</v>
      </c>
      <c r="P180" s="377"/>
      <c r="Q180" s="377"/>
      <c r="R180" s="377"/>
      <c r="S180" s="376">
        <v>100000</v>
      </c>
      <c r="T180" s="297" t="s">
        <v>261</v>
      </c>
      <c r="U180" s="297" t="s">
        <v>26</v>
      </c>
      <c r="V180" s="376">
        <v>12</v>
      </c>
      <c r="W180" s="377" t="s">
        <v>265</v>
      </c>
      <c r="X180" s="376" t="s">
        <v>27</v>
      </c>
      <c r="Y180" s="376"/>
      <c r="Z180" s="376"/>
      <c r="AA180" s="376"/>
      <c r="AB180" s="376" t="s">
        <v>269</v>
      </c>
      <c r="AC180" s="376"/>
      <c r="AD180" s="376">
        <f>S180*V180</f>
        <v>1200000</v>
      </c>
      <c r="AE180" s="131" t="s">
        <v>25</v>
      </c>
      <c r="AF180" s="2"/>
    </row>
    <row r="181" spans="1:32" s="1" customFormat="1" ht="21" customHeight="1">
      <c r="A181" s="45"/>
      <c r="B181" s="46"/>
      <c r="C181" s="46"/>
      <c r="D181" s="151"/>
      <c r="E181" s="103"/>
      <c r="F181" s="103"/>
      <c r="G181" s="103"/>
      <c r="H181" s="103"/>
      <c r="I181" s="103"/>
      <c r="J181" s="103"/>
      <c r="K181" s="103"/>
      <c r="L181" s="103"/>
      <c r="M181" s="103"/>
      <c r="N181" s="68"/>
      <c r="O181" s="651" t="s">
        <v>875</v>
      </c>
      <c r="P181" s="616"/>
      <c r="Q181" s="616"/>
      <c r="R181" s="616"/>
      <c r="S181" s="615"/>
      <c r="T181" s="297"/>
      <c r="U181" s="297"/>
      <c r="V181" s="615"/>
      <c r="W181" s="616"/>
      <c r="X181" s="615"/>
      <c r="Y181" s="615"/>
      <c r="Z181" s="615"/>
      <c r="AA181" s="615"/>
      <c r="AB181" s="615" t="s">
        <v>152</v>
      </c>
      <c r="AC181" s="615"/>
      <c r="AD181" s="378">
        <v>25000000</v>
      </c>
      <c r="AE181" s="628" t="s">
        <v>854</v>
      </c>
      <c r="AF181" s="2"/>
    </row>
    <row r="182" spans="1:32" s="1" customFormat="1" ht="21" customHeight="1">
      <c r="A182" s="45"/>
      <c r="B182" s="46"/>
      <c r="C182" s="46"/>
      <c r="D182" s="151"/>
      <c r="E182" s="103"/>
      <c r="F182" s="103"/>
      <c r="G182" s="103"/>
      <c r="H182" s="103"/>
      <c r="I182" s="103"/>
      <c r="J182" s="103"/>
      <c r="K182" s="103"/>
      <c r="L182" s="103"/>
      <c r="M182" s="103"/>
      <c r="N182" s="68"/>
      <c r="O182" s="667" t="s">
        <v>884</v>
      </c>
      <c r="P182" s="616"/>
      <c r="Q182" s="616"/>
      <c r="R182" s="616"/>
      <c r="S182" s="615"/>
      <c r="T182" s="297"/>
      <c r="U182" s="297"/>
      <c r="V182" s="615"/>
      <c r="W182" s="616"/>
      <c r="X182" s="615"/>
      <c r="Y182" s="615"/>
      <c r="Z182" s="615"/>
      <c r="AA182" s="615"/>
      <c r="AB182" s="666" t="s">
        <v>152</v>
      </c>
      <c r="AC182" s="615"/>
      <c r="AD182" s="615">
        <v>10000000</v>
      </c>
      <c r="AE182" s="131" t="s">
        <v>56</v>
      </c>
      <c r="AF182" s="2"/>
    </row>
    <row r="183" spans="1:32" s="1" customFormat="1" ht="21" customHeight="1">
      <c r="A183" s="45"/>
      <c r="B183" s="46"/>
      <c r="C183" s="46"/>
      <c r="D183" s="151"/>
      <c r="E183" s="103"/>
      <c r="F183" s="103"/>
      <c r="G183" s="103"/>
      <c r="H183" s="103"/>
      <c r="I183" s="103"/>
      <c r="J183" s="103"/>
      <c r="K183" s="103"/>
      <c r="L183" s="103"/>
      <c r="M183" s="103"/>
      <c r="N183" s="68"/>
      <c r="O183" s="669"/>
      <c r="P183" s="669"/>
      <c r="Q183" s="669"/>
      <c r="R183" s="669"/>
      <c r="S183" s="668"/>
      <c r="T183" s="297"/>
      <c r="U183" s="297"/>
      <c r="V183" s="668"/>
      <c r="W183" s="669"/>
      <c r="X183" s="668"/>
      <c r="Y183" s="668"/>
      <c r="Z183" s="668"/>
      <c r="AA183" s="668"/>
      <c r="AB183" s="668" t="s">
        <v>887</v>
      </c>
      <c r="AC183" s="668"/>
      <c r="AD183" s="668">
        <v>86000</v>
      </c>
      <c r="AE183" s="131" t="s">
        <v>886</v>
      </c>
      <c r="AF183" s="2"/>
    </row>
    <row r="184" spans="1:32" s="1" customFormat="1" ht="21" customHeight="1">
      <c r="A184" s="45"/>
      <c r="B184" s="46"/>
      <c r="C184" s="46"/>
      <c r="D184" s="151"/>
      <c r="E184" s="103"/>
      <c r="F184" s="103"/>
      <c r="G184" s="103"/>
      <c r="H184" s="103"/>
      <c r="I184" s="103"/>
      <c r="J184" s="103"/>
      <c r="K184" s="103"/>
      <c r="L184" s="103"/>
      <c r="M184" s="103"/>
      <c r="N184" s="68"/>
      <c r="O184" s="651"/>
      <c r="P184" s="651"/>
      <c r="Q184" s="651"/>
      <c r="R184" s="651"/>
      <c r="S184" s="650"/>
      <c r="T184" s="297"/>
      <c r="U184" s="297"/>
      <c r="V184" s="650"/>
      <c r="W184" s="651"/>
      <c r="X184" s="650"/>
      <c r="Y184" s="650"/>
      <c r="Z184" s="650"/>
      <c r="AA184" s="650"/>
      <c r="AB184" s="650" t="s">
        <v>876</v>
      </c>
      <c r="AC184" s="650"/>
      <c r="AD184" s="650">
        <v>20000000</v>
      </c>
      <c r="AE184" s="131" t="s">
        <v>873</v>
      </c>
      <c r="AF184" s="2"/>
    </row>
    <row r="185" spans="1:32" s="1" customFormat="1" ht="21" customHeight="1">
      <c r="A185" s="45"/>
      <c r="B185" s="46"/>
      <c r="C185" s="46"/>
      <c r="D185" s="151"/>
      <c r="E185" s="103"/>
      <c r="F185" s="103"/>
      <c r="G185" s="103"/>
      <c r="H185" s="103"/>
      <c r="I185" s="103"/>
      <c r="J185" s="103"/>
      <c r="K185" s="103"/>
      <c r="L185" s="103"/>
      <c r="M185" s="103"/>
      <c r="N185" s="68"/>
      <c r="O185" s="616" t="s">
        <v>782</v>
      </c>
      <c r="P185" s="616"/>
      <c r="Q185" s="616"/>
      <c r="R185" s="616"/>
      <c r="S185" s="615"/>
      <c r="T185" s="297"/>
      <c r="U185" s="297"/>
      <c r="V185" s="615"/>
      <c r="W185" s="616"/>
      <c r="X185" s="615"/>
      <c r="Y185" s="615"/>
      <c r="Z185" s="615"/>
      <c r="AA185" s="615"/>
      <c r="AB185" s="615" t="s">
        <v>152</v>
      </c>
      <c r="AC185" s="615"/>
      <c r="AD185" s="615">
        <v>500000</v>
      </c>
      <c r="AE185" s="131" t="s">
        <v>56</v>
      </c>
      <c r="AF185" s="2"/>
    </row>
    <row r="186" spans="1:32" s="1" customFormat="1" ht="21" customHeight="1">
      <c r="A186" s="45"/>
      <c r="B186" s="46"/>
      <c r="C186" s="46"/>
      <c r="D186" s="151"/>
      <c r="E186" s="103"/>
      <c r="F186" s="103"/>
      <c r="G186" s="103"/>
      <c r="H186" s="103"/>
      <c r="I186" s="103"/>
      <c r="J186" s="103"/>
      <c r="K186" s="103"/>
      <c r="L186" s="103"/>
      <c r="M186" s="103"/>
      <c r="N186" s="68"/>
      <c r="O186" s="651" t="s">
        <v>877</v>
      </c>
      <c r="P186" s="651"/>
      <c r="Q186" s="651"/>
      <c r="R186" s="651"/>
      <c r="S186" s="650"/>
      <c r="T186" s="297"/>
      <c r="U186" s="297"/>
      <c r="V186" s="650"/>
      <c r="W186" s="651"/>
      <c r="X186" s="650"/>
      <c r="Y186" s="650"/>
      <c r="Z186" s="650"/>
      <c r="AA186" s="650"/>
      <c r="AB186" s="650" t="s">
        <v>876</v>
      </c>
      <c r="AC186" s="650"/>
      <c r="AD186" s="650">
        <v>20000000</v>
      </c>
      <c r="AE186" s="131" t="s">
        <v>873</v>
      </c>
      <c r="AF186" s="2"/>
    </row>
    <row r="187" spans="1:32" s="1" customFormat="1" ht="21" customHeight="1">
      <c r="A187" s="45"/>
      <c r="B187" s="46"/>
      <c r="C187" s="46"/>
      <c r="D187" s="151"/>
      <c r="E187" s="103"/>
      <c r="F187" s="103"/>
      <c r="G187" s="103"/>
      <c r="H187" s="103"/>
      <c r="I187" s="103"/>
      <c r="J187" s="103"/>
      <c r="K187" s="103"/>
      <c r="L187" s="103"/>
      <c r="M187" s="103"/>
      <c r="N187" s="68"/>
      <c r="O187" s="651" t="s">
        <v>878</v>
      </c>
      <c r="P187" s="616"/>
      <c r="Q187" s="616"/>
      <c r="R187" s="616"/>
      <c r="S187" s="615"/>
      <c r="T187" s="297"/>
      <c r="U187" s="297"/>
      <c r="V187" s="615"/>
      <c r="W187" s="616"/>
      <c r="X187" s="615"/>
      <c r="Y187" s="615"/>
      <c r="Z187" s="615"/>
      <c r="AA187" s="615"/>
      <c r="AB187" s="631" t="s">
        <v>818</v>
      </c>
      <c r="AC187" s="615"/>
      <c r="AD187" s="378">
        <v>5000000</v>
      </c>
      <c r="AE187" s="628" t="s">
        <v>854</v>
      </c>
      <c r="AF187" s="2"/>
    </row>
    <row r="188" spans="1:32" s="1" customFormat="1" ht="21" customHeight="1">
      <c r="A188" s="45"/>
      <c r="B188" s="46"/>
      <c r="C188" s="46"/>
      <c r="D188" s="151"/>
      <c r="E188" s="103"/>
      <c r="F188" s="103"/>
      <c r="G188" s="103"/>
      <c r="H188" s="103"/>
      <c r="I188" s="103"/>
      <c r="J188" s="103"/>
      <c r="K188" s="103"/>
      <c r="L188" s="103"/>
      <c r="M188" s="103"/>
      <c r="N188" s="68"/>
      <c r="O188" s="632" t="s">
        <v>820</v>
      </c>
      <c r="P188" s="599"/>
      <c r="Q188" s="599"/>
      <c r="R188" s="599"/>
      <c r="S188" s="598"/>
      <c r="T188" s="297"/>
      <c r="U188" s="297"/>
      <c r="V188" s="598"/>
      <c r="W188" s="610"/>
      <c r="X188" s="609"/>
      <c r="Y188" s="598"/>
      <c r="Z188" s="598"/>
      <c r="AA188" s="598"/>
      <c r="AB188" s="631" t="s">
        <v>152</v>
      </c>
      <c r="AC188" s="598"/>
      <c r="AD188" s="378">
        <v>2000000</v>
      </c>
      <c r="AE188" s="628" t="s">
        <v>854</v>
      </c>
      <c r="AF188" s="2"/>
    </row>
    <row r="189" spans="1:32" s="1" customFormat="1" ht="21" customHeight="1">
      <c r="A189" s="45"/>
      <c r="B189" s="46"/>
      <c r="C189" s="46"/>
      <c r="D189" s="151"/>
      <c r="E189" s="103"/>
      <c r="F189" s="103"/>
      <c r="G189" s="103"/>
      <c r="H189" s="103"/>
      <c r="I189" s="103"/>
      <c r="J189" s="103"/>
      <c r="K189" s="103"/>
      <c r="L189" s="103"/>
      <c r="M189" s="103"/>
      <c r="N189" s="68"/>
      <c r="O189" s="651" t="s">
        <v>879</v>
      </c>
      <c r="P189" s="585"/>
      <c r="Q189" s="585"/>
      <c r="R189" s="585"/>
      <c r="S189" s="584"/>
      <c r="T189" s="297"/>
      <c r="U189" s="297"/>
      <c r="V189" s="584"/>
      <c r="W189" s="585"/>
      <c r="X189" s="584"/>
      <c r="Y189" s="584"/>
      <c r="Z189" s="584"/>
      <c r="AA189" s="584"/>
      <c r="AB189" s="639" t="s">
        <v>845</v>
      </c>
      <c r="AC189" s="584"/>
      <c r="AD189" s="378">
        <v>840000</v>
      </c>
      <c r="AE189" s="628" t="s">
        <v>854</v>
      </c>
      <c r="AF189" s="2"/>
    </row>
    <row r="190" spans="1:32" s="1" customFormat="1" ht="21" customHeight="1">
      <c r="A190" s="45"/>
      <c r="B190" s="46"/>
      <c r="C190" s="46"/>
      <c r="D190" s="151"/>
      <c r="E190" s="103"/>
      <c r="F190" s="103"/>
      <c r="G190" s="103"/>
      <c r="H190" s="103"/>
      <c r="I190" s="103"/>
      <c r="J190" s="103"/>
      <c r="K190" s="103"/>
      <c r="L190" s="103"/>
      <c r="M190" s="103"/>
      <c r="N190" s="68"/>
      <c r="O190" s="651" t="s">
        <v>880</v>
      </c>
      <c r="P190" s="651"/>
      <c r="Q190" s="651"/>
      <c r="R190" s="651"/>
      <c r="S190" s="650"/>
      <c r="T190" s="297"/>
      <c r="U190" s="297"/>
      <c r="V190" s="650"/>
      <c r="W190" s="651"/>
      <c r="X190" s="650"/>
      <c r="Y190" s="650"/>
      <c r="Z190" s="650"/>
      <c r="AA190" s="650"/>
      <c r="AB190" s="650" t="s">
        <v>881</v>
      </c>
      <c r="AC190" s="650"/>
      <c r="AD190" s="378">
        <v>10000000</v>
      </c>
      <c r="AE190" s="628" t="s">
        <v>873</v>
      </c>
      <c r="AF190" s="2"/>
    </row>
    <row r="191" spans="1:32" s="1" customFormat="1" ht="21" customHeight="1">
      <c r="A191" s="45"/>
      <c r="B191" s="46"/>
      <c r="C191" s="46"/>
      <c r="D191" s="151"/>
      <c r="E191" s="103"/>
      <c r="F191" s="103"/>
      <c r="G191" s="103"/>
      <c r="H191" s="103"/>
      <c r="I191" s="103"/>
      <c r="J191" s="103"/>
      <c r="K191" s="103"/>
      <c r="L191" s="103"/>
      <c r="M191" s="103"/>
      <c r="N191" s="68"/>
      <c r="O191" s="148"/>
      <c r="P191" s="50"/>
      <c r="Q191" s="50"/>
      <c r="R191" s="50"/>
      <c r="S191" s="51"/>
      <c r="T191" s="55"/>
      <c r="U191" s="55"/>
      <c r="V191" s="51"/>
      <c r="W191" s="50"/>
      <c r="X191" s="51"/>
      <c r="Y191" s="51"/>
      <c r="Z191" s="51"/>
      <c r="AA191" s="51"/>
      <c r="AB191" s="119"/>
      <c r="AC191" s="51"/>
      <c r="AD191" s="51"/>
      <c r="AE191" s="57"/>
      <c r="AF191" s="2"/>
    </row>
    <row r="192" spans="1:32" s="11" customFormat="1" ht="21" customHeight="1">
      <c r="A192" s="186" t="s">
        <v>19</v>
      </c>
      <c r="B192" s="738" t="s">
        <v>20</v>
      </c>
      <c r="C192" s="739"/>
      <c r="D192" s="187">
        <f t="shared" ref="D192:M192" si="10">SUM(D193,D237)</f>
        <v>395281</v>
      </c>
      <c r="E192" s="187">
        <f t="shared" si="10"/>
        <v>394414</v>
      </c>
      <c r="F192" s="187">
        <f t="shared" si="10"/>
        <v>95799</v>
      </c>
      <c r="G192" s="187">
        <f t="shared" si="10"/>
        <v>17600</v>
      </c>
      <c r="H192" s="187">
        <f t="shared" si="10"/>
        <v>21346</v>
      </c>
      <c r="I192" s="187">
        <f t="shared" si="10"/>
        <v>60170</v>
      </c>
      <c r="J192" s="187">
        <f t="shared" si="10"/>
        <v>128389</v>
      </c>
      <c r="K192" s="187">
        <f t="shared" si="10"/>
        <v>11000</v>
      </c>
      <c r="L192" s="187">
        <f t="shared" si="10"/>
        <v>60110</v>
      </c>
      <c r="M192" s="187">
        <f t="shared" si="10"/>
        <v>-867</v>
      </c>
      <c r="N192" s="188">
        <f>IF(D192=0,0,M192/D192)</f>
        <v>-2.1933763575785327E-3</v>
      </c>
      <c r="O192" s="180" t="s">
        <v>144</v>
      </c>
      <c r="P192" s="91"/>
      <c r="Q192" s="91"/>
      <c r="R192" s="91"/>
      <c r="S192" s="91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>
        <f>SUM(AD193,AD237)</f>
        <v>394414000</v>
      </c>
      <c r="AE192" s="93" t="s">
        <v>25</v>
      </c>
      <c r="AF192" s="13"/>
    </row>
    <row r="193" spans="1:32" s="11" customFormat="1" ht="21" customHeight="1">
      <c r="A193" s="46"/>
      <c r="B193" s="36" t="s">
        <v>82</v>
      </c>
      <c r="C193" s="36" t="s">
        <v>145</v>
      </c>
      <c r="D193" s="107">
        <f t="shared" ref="D193:L193" si="11">SUM(D194,D208,D213,D218,D229)</f>
        <v>292031</v>
      </c>
      <c r="E193" s="107">
        <f t="shared" si="11"/>
        <v>290788</v>
      </c>
      <c r="F193" s="107">
        <f t="shared" si="11"/>
        <v>94999</v>
      </c>
      <c r="G193" s="107">
        <f t="shared" si="11"/>
        <v>12600</v>
      </c>
      <c r="H193" s="107">
        <f t="shared" si="11"/>
        <v>21346</v>
      </c>
      <c r="I193" s="107">
        <f t="shared" si="11"/>
        <v>4243</v>
      </c>
      <c r="J193" s="107">
        <f t="shared" si="11"/>
        <v>97620</v>
      </c>
      <c r="K193" s="107">
        <f t="shared" si="11"/>
        <v>0</v>
      </c>
      <c r="L193" s="107">
        <f t="shared" si="11"/>
        <v>59980</v>
      </c>
      <c r="M193" s="107">
        <f>E193-D193</f>
        <v>-1243</v>
      </c>
      <c r="N193" s="115">
        <f>IF(D193=0,0,M193/D193)</f>
        <v>-4.256397437258373E-3</v>
      </c>
      <c r="O193" s="91"/>
      <c r="P193" s="91"/>
      <c r="Q193" s="91"/>
      <c r="R193" s="91"/>
      <c r="S193" s="91"/>
      <c r="T193" s="87"/>
      <c r="U193" s="87"/>
      <c r="V193" s="87"/>
      <c r="W193" s="87"/>
      <c r="X193" s="87"/>
      <c r="Y193" s="87" t="s">
        <v>28</v>
      </c>
      <c r="Z193" s="87"/>
      <c r="AA193" s="87"/>
      <c r="AB193" s="87"/>
      <c r="AC193" s="92"/>
      <c r="AD193" s="92">
        <f>SUM(AD194,AD208,AD213,AD218,AD229)</f>
        <v>290788000</v>
      </c>
      <c r="AE193" s="93" t="s">
        <v>25</v>
      </c>
      <c r="AF193" s="1"/>
    </row>
    <row r="194" spans="1:32" s="11" customFormat="1" ht="21" customHeight="1">
      <c r="A194" s="46"/>
      <c r="B194" s="46"/>
      <c r="C194" s="36" t="s">
        <v>58</v>
      </c>
      <c r="D194" s="153">
        <v>216072</v>
      </c>
      <c r="E194" s="107">
        <f>AD194/1000</f>
        <v>222190</v>
      </c>
      <c r="F194" s="108">
        <f>SUMIF($AB$195:$AB$207,"보조",$AD$195:$AD$207)/1000</f>
        <v>68833</v>
      </c>
      <c r="G194" s="108">
        <f>SUMIF($AB$195:$AB$207,"7종",$AD$195:$AD$207)/1000</f>
        <v>0</v>
      </c>
      <c r="H194" s="108">
        <f>SUMIF($AB$195:$AB$207,"4종",$AD$195:$AD$207)/1000</f>
        <v>15106</v>
      </c>
      <c r="I194" s="108">
        <f>SUMIF($AB$195:$AB$207,"후원",$AD$195:$AD$207)/1000</f>
        <v>0</v>
      </c>
      <c r="J194" s="108">
        <f>SUMIF($AB$195:$AB$207,"입소",$AD$195:$AD$207)/1000</f>
        <v>78271</v>
      </c>
      <c r="K194" s="108">
        <f>SUMIF($AB$195:$AB$207,"법인",$AD$195:$AD$207)/1000</f>
        <v>0</v>
      </c>
      <c r="L194" s="108">
        <f>SUMIF($AB$195:$AB$207,"잡수",$AD$195:$AD$207)/1000</f>
        <v>59980</v>
      </c>
      <c r="M194" s="107">
        <f>E194-D194</f>
        <v>6118</v>
      </c>
      <c r="N194" s="115">
        <f>IF(D194=0,0,M194/D194)</f>
        <v>2.8314635862120033E-2</v>
      </c>
      <c r="O194" s="95" t="s">
        <v>83</v>
      </c>
      <c r="P194" s="180"/>
      <c r="Q194" s="180"/>
      <c r="R194" s="180"/>
      <c r="S194" s="180"/>
      <c r="T194" s="179"/>
      <c r="U194" s="179"/>
      <c r="V194" s="179"/>
      <c r="W194" s="179"/>
      <c r="X194" s="179"/>
      <c r="Y194" s="169" t="s">
        <v>137</v>
      </c>
      <c r="Z194" s="169"/>
      <c r="AA194" s="169"/>
      <c r="AB194" s="169"/>
      <c r="AC194" s="171"/>
      <c r="AD194" s="171">
        <f>SUM(AD195:AD207)</f>
        <v>222190000</v>
      </c>
      <c r="AE194" s="170" t="s">
        <v>25</v>
      </c>
      <c r="AF194" s="1"/>
    </row>
    <row r="195" spans="1:32" s="11" customFormat="1" ht="21" customHeight="1">
      <c r="A195" s="46"/>
      <c r="B195" s="46"/>
      <c r="C195" s="46"/>
      <c r="D195" s="104"/>
      <c r="E195" s="103"/>
      <c r="F195" s="103"/>
      <c r="G195" s="103"/>
      <c r="H195" s="103"/>
      <c r="I195" s="103"/>
      <c r="J195" s="103"/>
      <c r="K195" s="103"/>
      <c r="L195" s="103"/>
      <c r="M195" s="103"/>
      <c r="N195" s="68"/>
      <c r="O195" s="377" t="s">
        <v>275</v>
      </c>
      <c r="P195" s="377"/>
      <c r="Q195" s="376"/>
      <c r="R195" s="376"/>
      <c r="S195" s="376">
        <v>230000</v>
      </c>
      <c r="T195" s="376" t="s">
        <v>261</v>
      </c>
      <c r="U195" s="297" t="s">
        <v>263</v>
      </c>
      <c r="V195" s="376">
        <v>12</v>
      </c>
      <c r="W195" s="376" t="s">
        <v>265</v>
      </c>
      <c r="X195" s="297" t="s">
        <v>263</v>
      </c>
      <c r="Y195" s="376">
        <v>24</v>
      </c>
      <c r="Z195" s="376" t="s">
        <v>264</v>
      </c>
      <c r="AA195" s="291" t="s">
        <v>266</v>
      </c>
      <c r="AB195" s="376" t="s">
        <v>269</v>
      </c>
      <c r="AC195" s="130"/>
      <c r="AD195" s="130">
        <f>ROUNDUP(S195*V195*Y195,-3)</f>
        <v>66240000</v>
      </c>
      <c r="AE195" s="131" t="s">
        <v>25</v>
      </c>
      <c r="AF195" s="2"/>
    </row>
    <row r="196" spans="1:32" s="11" customFormat="1" ht="21" customHeight="1">
      <c r="A196" s="46"/>
      <c r="B196" s="46"/>
      <c r="C196" s="46"/>
      <c r="D196" s="104"/>
      <c r="E196" s="103"/>
      <c r="F196" s="103"/>
      <c r="G196" s="103"/>
      <c r="H196" s="103"/>
      <c r="I196" s="103"/>
      <c r="J196" s="103"/>
      <c r="K196" s="103"/>
      <c r="L196" s="103"/>
      <c r="M196" s="103"/>
      <c r="N196" s="68"/>
      <c r="O196" s="602"/>
      <c r="P196" s="602"/>
      <c r="Q196" s="601"/>
      <c r="R196" s="601"/>
      <c r="S196" s="601"/>
      <c r="T196" s="601" t="s">
        <v>56</v>
      </c>
      <c r="U196" s="297" t="s">
        <v>57</v>
      </c>
      <c r="V196" s="601">
        <v>1</v>
      </c>
      <c r="W196" s="601" t="s">
        <v>0</v>
      </c>
      <c r="X196" s="297" t="s">
        <v>57</v>
      </c>
      <c r="Y196" s="601">
        <v>24</v>
      </c>
      <c r="Z196" s="601" t="s">
        <v>55</v>
      </c>
      <c r="AA196" s="606" t="s">
        <v>53</v>
      </c>
      <c r="AB196" s="601" t="s">
        <v>76</v>
      </c>
      <c r="AC196" s="607"/>
      <c r="AD196" s="607">
        <f>ROUND(S196*V196*Y196,-3)</f>
        <v>0</v>
      </c>
      <c r="AE196" s="131" t="s">
        <v>25</v>
      </c>
      <c r="AF196" s="2"/>
    </row>
    <row r="197" spans="1:32" s="11" customFormat="1" ht="21" customHeight="1">
      <c r="A197" s="46"/>
      <c r="B197" s="46"/>
      <c r="C197" s="46"/>
      <c r="D197" s="104"/>
      <c r="E197" s="103"/>
      <c r="F197" s="103"/>
      <c r="G197" s="103"/>
      <c r="H197" s="103"/>
      <c r="I197" s="103"/>
      <c r="J197" s="103"/>
      <c r="K197" s="103"/>
      <c r="L197" s="103"/>
      <c r="M197" s="103"/>
      <c r="N197" s="68"/>
      <c r="O197" s="585" t="s">
        <v>659</v>
      </c>
      <c r="P197" s="585"/>
      <c r="Q197" s="585"/>
      <c r="R197" s="585"/>
      <c r="S197" s="584">
        <v>230000</v>
      </c>
      <c r="T197" s="584" t="s">
        <v>646</v>
      </c>
      <c r="U197" s="297" t="s">
        <v>653</v>
      </c>
      <c r="V197" s="584">
        <v>12</v>
      </c>
      <c r="W197" s="584" t="s">
        <v>660</v>
      </c>
      <c r="X197" s="297" t="s">
        <v>653</v>
      </c>
      <c r="Y197" s="584">
        <v>28</v>
      </c>
      <c r="Z197" s="584" t="s">
        <v>654</v>
      </c>
      <c r="AA197" s="568" t="s">
        <v>656</v>
      </c>
      <c r="AB197" s="584" t="s">
        <v>658</v>
      </c>
      <c r="AC197" s="130"/>
      <c r="AD197" s="130">
        <f>ROUNDUP(S197*V197*Y197,-3)</f>
        <v>77280000</v>
      </c>
      <c r="AE197" s="131" t="s">
        <v>25</v>
      </c>
      <c r="AF197" s="2"/>
    </row>
    <row r="198" spans="1:32" s="11" customFormat="1" ht="21" customHeight="1">
      <c r="A198" s="46"/>
      <c r="B198" s="46"/>
      <c r="C198" s="46"/>
      <c r="D198" s="104"/>
      <c r="E198" s="103"/>
      <c r="F198" s="103"/>
      <c r="G198" s="103"/>
      <c r="H198" s="103"/>
      <c r="I198" s="103"/>
      <c r="J198" s="103"/>
      <c r="K198" s="103"/>
      <c r="L198" s="103"/>
      <c r="M198" s="103"/>
      <c r="N198" s="68"/>
      <c r="O198" s="377" t="s">
        <v>276</v>
      </c>
      <c r="P198" s="377"/>
      <c r="Q198" s="376"/>
      <c r="R198" s="376"/>
      <c r="S198" s="376">
        <v>500</v>
      </c>
      <c r="T198" s="376" t="s">
        <v>248</v>
      </c>
      <c r="U198" s="297" t="s">
        <v>249</v>
      </c>
      <c r="V198" s="376">
        <v>365</v>
      </c>
      <c r="W198" s="376" t="s">
        <v>277</v>
      </c>
      <c r="X198" s="297" t="s">
        <v>249</v>
      </c>
      <c r="Y198" s="376">
        <v>52</v>
      </c>
      <c r="Z198" s="376" t="s">
        <v>250</v>
      </c>
      <c r="AA198" s="291" t="s">
        <v>251</v>
      </c>
      <c r="AB198" s="552" t="s">
        <v>577</v>
      </c>
      <c r="AC198" s="130"/>
      <c r="AD198" s="130">
        <f>ROUND(S198*V198*Y198,-3)</f>
        <v>9490000</v>
      </c>
      <c r="AE198" s="131" t="s">
        <v>25</v>
      </c>
      <c r="AF198" s="2"/>
    </row>
    <row r="199" spans="1:32" s="11" customFormat="1" ht="21" customHeight="1">
      <c r="A199" s="46"/>
      <c r="B199" s="46"/>
      <c r="C199" s="46"/>
      <c r="D199" s="104"/>
      <c r="E199" s="103"/>
      <c r="F199" s="103"/>
      <c r="G199" s="103"/>
      <c r="H199" s="103"/>
      <c r="I199" s="103"/>
      <c r="J199" s="103"/>
      <c r="K199" s="103"/>
      <c r="L199" s="103"/>
      <c r="M199" s="103"/>
      <c r="N199" s="68"/>
      <c r="O199" s="377" t="s">
        <v>278</v>
      </c>
      <c r="P199" s="377"/>
      <c r="Q199" s="376"/>
      <c r="R199" s="376"/>
      <c r="S199" s="376">
        <v>5000</v>
      </c>
      <c r="T199" s="376" t="s">
        <v>248</v>
      </c>
      <c r="U199" s="297" t="s">
        <v>249</v>
      </c>
      <c r="V199" s="376">
        <v>12</v>
      </c>
      <c r="W199" s="376" t="s">
        <v>29</v>
      </c>
      <c r="X199" s="297" t="s">
        <v>249</v>
      </c>
      <c r="Y199" s="376">
        <v>52</v>
      </c>
      <c r="Z199" s="376" t="s">
        <v>250</v>
      </c>
      <c r="AA199" s="291" t="s">
        <v>251</v>
      </c>
      <c r="AB199" s="552" t="s">
        <v>202</v>
      </c>
      <c r="AC199" s="130"/>
      <c r="AD199" s="130">
        <f>S199*V199*Y199</f>
        <v>3120000</v>
      </c>
      <c r="AE199" s="131" t="s">
        <v>25</v>
      </c>
      <c r="AF199" s="2"/>
    </row>
    <row r="200" spans="1:32" s="11" customFormat="1" ht="21" customHeight="1">
      <c r="A200" s="46"/>
      <c r="B200" s="46"/>
      <c r="C200" s="46"/>
      <c r="D200" s="104"/>
      <c r="E200" s="103"/>
      <c r="F200" s="103"/>
      <c r="G200" s="103"/>
      <c r="H200" s="103"/>
      <c r="I200" s="103"/>
      <c r="J200" s="103"/>
      <c r="K200" s="103"/>
      <c r="L200" s="103"/>
      <c r="M200" s="103"/>
      <c r="N200" s="68"/>
      <c r="O200" s="377" t="s">
        <v>279</v>
      </c>
      <c r="P200" s="377"/>
      <c r="Q200" s="376"/>
      <c r="R200" s="376"/>
      <c r="S200" s="376">
        <v>12000</v>
      </c>
      <c r="T200" s="376" t="s">
        <v>248</v>
      </c>
      <c r="U200" s="297" t="s">
        <v>249</v>
      </c>
      <c r="V200" s="376">
        <v>4</v>
      </c>
      <c r="W200" s="376" t="s">
        <v>253</v>
      </c>
      <c r="X200" s="297" t="s">
        <v>249</v>
      </c>
      <c r="Y200" s="376">
        <v>52</v>
      </c>
      <c r="Z200" s="376" t="s">
        <v>250</v>
      </c>
      <c r="AA200" s="291" t="s">
        <v>251</v>
      </c>
      <c r="AB200" s="552" t="s">
        <v>202</v>
      </c>
      <c r="AC200" s="130"/>
      <c r="AD200" s="130">
        <f>S200*V200*Y200</f>
        <v>2496000</v>
      </c>
      <c r="AE200" s="131" t="s">
        <v>25</v>
      </c>
      <c r="AF200" s="2"/>
    </row>
    <row r="201" spans="1:32" s="11" customFormat="1" ht="21" customHeight="1">
      <c r="A201" s="46"/>
      <c r="B201" s="46"/>
      <c r="C201" s="46"/>
      <c r="D201" s="104"/>
      <c r="E201" s="103"/>
      <c r="F201" s="103"/>
      <c r="G201" s="103"/>
      <c r="H201" s="103"/>
      <c r="I201" s="103"/>
      <c r="J201" s="103"/>
      <c r="K201" s="103"/>
      <c r="L201" s="103"/>
      <c r="M201" s="103"/>
      <c r="N201" s="68"/>
      <c r="O201" s="377" t="s">
        <v>280</v>
      </c>
      <c r="P201" s="377"/>
      <c r="Q201" s="376"/>
      <c r="R201" s="376"/>
      <c r="S201" s="376">
        <v>36300</v>
      </c>
      <c r="T201" s="376" t="s">
        <v>248</v>
      </c>
      <c r="U201" s="297" t="s">
        <v>249</v>
      </c>
      <c r="V201" s="376">
        <v>2</v>
      </c>
      <c r="W201" s="376" t="s">
        <v>253</v>
      </c>
      <c r="X201" s="297" t="s">
        <v>249</v>
      </c>
      <c r="Y201" s="376">
        <v>24</v>
      </c>
      <c r="Z201" s="376" t="s">
        <v>250</v>
      </c>
      <c r="AA201" s="291" t="s">
        <v>251</v>
      </c>
      <c r="AB201" s="376" t="s">
        <v>257</v>
      </c>
      <c r="AC201" s="130"/>
      <c r="AD201" s="130">
        <f>ROUNDUP(S201*V201*Y201,-3)</f>
        <v>1743000</v>
      </c>
      <c r="AE201" s="131" t="s">
        <v>25</v>
      </c>
      <c r="AF201" s="2"/>
    </row>
    <row r="202" spans="1:32" s="11" customFormat="1" ht="21" customHeight="1">
      <c r="A202" s="46"/>
      <c r="B202" s="46"/>
      <c r="C202" s="46"/>
      <c r="D202" s="151"/>
      <c r="E202" s="103"/>
      <c r="F202" s="103"/>
      <c r="G202" s="103"/>
      <c r="H202" s="103"/>
      <c r="I202" s="103"/>
      <c r="J202" s="103"/>
      <c r="K202" s="103"/>
      <c r="L202" s="103"/>
      <c r="M202" s="103"/>
      <c r="N202" s="68"/>
      <c r="O202" s="377" t="s">
        <v>281</v>
      </c>
      <c r="P202" s="377"/>
      <c r="Q202" s="376"/>
      <c r="R202" s="376"/>
      <c r="S202" s="376">
        <v>35394</v>
      </c>
      <c r="T202" s="376" t="s">
        <v>248</v>
      </c>
      <c r="U202" s="297" t="s">
        <v>249</v>
      </c>
      <c r="V202" s="376">
        <v>1</v>
      </c>
      <c r="W202" s="376" t="s">
        <v>253</v>
      </c>
      <c r="X202" s="297" t="s">
        <v>249</v>
      </c>
      <c r="Y202" s="376">
        <v>24</v>
      </c>
      <c r="Z202" s="376" t="s">
        <v>250</v>
      </c>
      <c r="AA202" s="291" t="s">
        <v>251</v>
      </c>
      <c r="AB202" s="376" t="s">
        <v>257</v>
      </c>
      <c r="AC202" s="130"/>
      <c r="AD202" s="130">
        <f>ROUNDUP(S202*V202*Y202,-3)</f>
        <v>850000</v>
      </c>
      <c r="AE202" s="131" t="s">
        <v>25</v>
      </c>
      <c r="AF202" s="2"/>
    </row>
    <row r="203" spans="1:32" s="11" customFormat="1" ht="21" customHeight="1">
      <c r="A203" s="46"/>
      <c r="B203" s="46"/>
      <c r="C203" s="46"/>
      <c r="D203" s="151"/>
      <c r="E203" s="103"/>
      <c r="F203" s="103"/>
      <c r="G203" s="103"/>
      <c r="H203" s="103"/>
      <c r="I203" s="103"/>
      <c r="J203" s="103"/>
      <c r="K203" s="103"/>
      <c r="L203" s="103"/>
      <c r="M203" s="103"/>
      <c r="N203" s="68"/>
      <c r="O203" s="585" t="s">
        <v>661</v>
      </c>
      <c r="P203" s="585"/>
      <c r="Q203" s="584"/>
      <c r="R203" s="584"/>
      <c r="S203" s="584">
        <v>35394</v>
      </c>
      <c r="T203" s="584" t="s">
        <v>646</v>
      </c>
      <c r="U203" s="297" t="s">
        <v>653</v>
      </c>
      <c r="V203" s="584">
        <v>1</v>
      </c>
      <c r="W203" s="584" t="s">
        <v>647</v>
      </c>
      <c r="X203" s="297" t="s">
        <v>653</v>
      </c>
      <c r="Y203" s="584">
        <v>28</v>
      </c>
      <c r="Z203" s="584" t="s">
        <v>654</v>
      </c>
      <c r="AA203" s="568" t="s">
        <v>656</v>
      </c>
      <c r="AB203" s="584" t="s">
        <v>658</v>
      </c>
      <c r="AC203" s="130"/>
      <c r="AD203" s="130">
        <f>ROUND(S203*V203*Y203,-3)</f>
        <v>991000</v>
      </c>
      <c r="AE203" s="131" t="s">
        <v>775</v>
      </c>
      <c r="AF203" s="2"/>
    </row>
    <row r="204" spans="1:32" s="11" customFormat="1" ht="21" customHeight="1">
      <c r="A204" s="46"/>
      <c r="B204" s="46"/>
      <c r="C204" s="46"/>
      <c r="D204" s="151"/>
      <c r="E204" s="103"/>
      <c r="F204" s="103"/>
      <c r="G204" s="103"/>
      <c r="H204" s="103"/>
      <c r="I204" s="103"/>
      <c r="J204" s="103"/>
      <c r="K204" s="103"/>
      <c r="L204" s="103"/>
      <c r="M204" s="103"/>
      <c r="N204" s="68"/>
      <c r="O204" s="285" t="s">
        <v>846</v>
      </c>
      <c r="P204" s="584"/>
      <c r="Q204" s="584"/>
      <c r="R204" s="584"/>
      <c r="S204" s="584">
        <v>60000</v>
      </c>
      <c r="T204" s="584" t="s">
        <v>646</v>
      </c>
      <c r="U204" s="297" t="s">
        <v>653</v>
      </c>
      <c r="V204" s="584">
        <v>39</v>
      </c>
      <c r="W204" s="585" t="s">
        <v>654</v>
      </c>
      <c r="X204" s="297" t="s">
        <v>653</v>
      </c>
      <c r="Y204" s="584">
        <v>12</v>
      </c>
      <c r="Z204" s="584" t="s">
        <v>660</v>
      </c>
      <c r="AA204" s="568" t="s">
        <v>656</v>
      </c>
      <c r="AB204" s="568" t="s">
        <v>662</v>
      </c>
      <c r="AC204" s="585"/>
      <c r="AD204" s="584">
        <f>ROUND(S204*V204*Y204,-3)</f>
        <v>28080000</v>
      </c>
      <c r="AE204" s="131" t="s">
        <v>775</v>
      </c>
      <c r="AF204" s="2"/>
    </row>
    <row r="205" spans="1:32" s="11" customFormat="1" ht="21" customHeight="1">
      <c r="A205" s="46"/>
      <c r="B205" s="46"/>
      <c r="C205" s="46"/>
      <c r="D205" s="151"/>
      <c r="E205" s="103"/>
      <c r="F205" s="103"/>
      <c r="G205" s="103"/>
      <c r="H205" s="103"/>
      <c r="I205" s="103"/>
      <c r="J205" s="103"/>
      <c r="K205" s="103"/>
      <c r="L205" s="103"/>
      <c r="M205" s="103"/>
      <c r="N205" s="68"/>
      <c r="O205" s="585" t="s">
        <v>663</v>
      </c>
      <c r="P205" s="585"/>
      <c r="Q205" s="585"/>
      <c r="R205" s="585"/>
      <c r="S205" s="584">
        <v>60000</v>
      </c>
      <c r="T205" s="297" t="s">
        <v>646</v>
      </c>
      <c r="U205" s="297" t="s">
        <v>26</v>
      </c>
      <c r="V205" s="584">
        <v>31</v>
      </c>
      <c r="W205" s="584" t="s">
        <v>654</v>
      </c>
      <c r="X205" s="297" t="s">
        <v>26</v>
      </c>
      <c r="Y205" s="584">
        <v>12</v>
      </c>
      <c r="Z205" s="584" t="s">
        <v>660</v>
      </c>
      <c r="AA205" s="568" t="s">
        <v>27</v>
      </c>
      <c r="AB205" s="584" t="s">
        <v>662</v>
      </c>
      <c r="AC205" s="584"/>
      <c r="AD205" s="584">
        <f>S205*V205*Y205</f>
        <v>22320000</v>
      </c>
      <c r="AE205" s="405" t="s">
        <v>775</v>
      </c>
      <c r="AF205" s="2"/>
    </row>
    <row r="206" spans="1:32" s="11" customFormat="1" ht="21" customHeight="1">
      <c r="A206" s="46"/>
      <c r="B206" s="46"/>
      <c r="C206" s="46"/>
      <c r="D206" s="151"/>
      <c r="E206" s="103"/>
      <c r="F206" s="103"/>
      <c r="G206" s="103"/>
      <c r="H206" s="103"/>
      <c r="I206" s="103"/>
      <c r="J206" s="103"/>
      <c r="K206" s="103"/>
      <c r="L206" s="103"/>
      <c r="M206" s="103"/>
      <c r="N206" s="68"/>
      <c r="O206" s="602" t="s">
        <v>774</v>
      </c>
      <c r="P206" s="585"/>
      <c r="Q206" s="585"/>
      <c r="R206" s="585"/>
      <c r="S206" s="584"/>
      <c r="T206" s="297" t="s">
        <v>646</v>
      </c>
      <c r="U206" s="297" t="s">
        <v>26</v>
      </c>
      <c r="V206" s="584"/>
      <c r="W206" s="584" t="s">
        <v>654</v>
      </c>
      <c r="X206" s="297" t="s">
        <v>26</v>
      </c>
      <c r="Y206" s="584"/>
      <c r="Z206" s="584" t="s">
        <v>660</v>
      </c>
      <c r="AA206" s="568" t="s">
        <v>27</v>
      </c>
      <c r="AB206" s="584" t="s">
        <v>662</v>
      </c>
      <c r="AC206" s="584"/>
      <c r="AD206" s="584">
        <v>9580000</v>
      </c>
      <c r="AE206" s="405" t="s">
        <v>775</v>
      </c>
      <c r="AF206" s="2"/>
    </row>
    <row r="207" spans="1:32" s="11" customFormat="1" ht="21" customHeight="1">
      <c r="A207" s="46"/>
      <c r="B207" s="46"/>
      <c r="C207" s="59"/>
      <c r="D207" s="152"/>
      <c r="E207" s="105"/>
      <c r="F207" s="105"/>
      <c r="G207" s="105"/>
      <c r="H207" s="105"/>
      <c r="I207" s="105"/>
      <c r="J207" s="105"/>
      <c r="K207" s="105"/>
      <c r="L207" s="105"/>
      <c r="M207" s="105"/>
      <c r="N207" s="82"/>
      <c r="O207" s="111"/>
      <c r="P207" s="111"/>
      <c r="Q207" s="111"/>
      <c r="R207" s="111"/>
      <c r="S207" s="111"/>
      <c r="T207" s="111"/>
      <c r="U207" s="111"/>
      <c r="V207" s="111"/>
      <c r="W207" s="111"/>
      <c r="X207" s="111"/>
      <c r="Y207" s="111"/>
      <c r="Z207" s="111"/>
      <c r="AA207" s="111"/>
      <c r="AB207" s="111"/>
      <c r="AC207" s="111"/>
      <c r="AD207" s="126"/>
      <c r="AE207" s="118"/>
      <c r="AF207" s="2"/>
    </row>
    <row r="208" spans="1:32" s="11" customFormat="1" ht="21" customHeight="1">
      <c r="A208" s="46"/>
      <c r="B208" s="46"/>
      <c r="C208" s="46" t="s">
        <v>84</v>
      </c>
      <c r="D208" s="151">
        <v>6828</v>
      </c>
      <c r="E208" s="103">
        <f>ROUND(AD208/1000,0)</f>
        <v>7433</v>
      </c>
      <c r="F208" s="108">
        <f>SUMIF($AB$209:$AB$212,"보조",$AD$209:$AD$212)/1000</f>
        <v>4796</v>
      </c>
      <c r="G208" s="108">
        <f>SUMIF($AB$209:$AB$212,"7종",$AD$209:$AD$212)/1000</f>
        <v>0</v>
      </c>
      <c r="H208" s="108">
        <f>SUMIF($AB$209:$AB$212,"4종",$AD$209:$AD$212)/1000</f>
        <v>0</v>
      </c>
      <c r="I208" s="108">
        <f>SUMIF($AB$209:$AB$212,"후원",$AD$209:$AD$212)/1000</f>
        <v>2637</v>
      </c>
      <c r="J208" s="108">
        <f>SUMIF($AB$209:$AB$212,"입소",$AD$209:$AD$212)/1000</f>
        <v>0</v>
      </c>
      <c r="K208" s="108">
        <f>SUMIF($AB$209:$AB$212,"법인",$AD$209:$AD$212)/1000</f>
        <v>0</v>
      </c>
      <c r="L208" s="108">
        <f>SUMIF($AB$209:$AB$212,"잡수",$AD$209:$AD$212)/1000</f>
        <v>0</v>
      </c>
      <c r="M208" s="103">
        <f>E208-D208</f>
        <v>605</v>
      </c>
      <c r="N208" s="68">
        <f>IF(D208=0,0,M208/D208)</f>
        <v>8.8605741066198007E-2</v>
      </c>
      <c r="O208" s="95" t="s">
        <v>85</v>
      </c>
      <c r="P208" s="91"/>
      <c r="Q208" s="91"/>
      <c r="R208" s="91"/>
      <c r="S208" s="91"/>
      <c r="T208" s="87"/>
      <c r="U208" s="87"/>
      <c r="V208" s="87"/>
      <c r="W208" s="87"/>
      <c r="X208" s="87"/>
      <c r="Y208" s="169" t="s">
        <v>137</v>
      </c>
      <c r="Z208" s="169"/>
      <c r="AA208" s="169"/>
      <c r="AB208" s="169"/>
      <c r="AC208" s="171"/>
      <c r="AD208" s="171">
        <f>SUM(AD209:AD212)</f>
        <v>7433000</v>
      </c>
      <c r="AE208" s="170" t="s">
        <v>25</v>
      </c>
      <c r="AF208" s="1"/>
    </row>
    <row r="209" spans="1:32" s="11" customFormat="1" ht="21" customHeight="1">
      <c r="A209" s="46"/>
      <c r="B209" s="46"/>
      <c r="C209" s="46" t="s">
        <v>146</v>
      </c>
      <c r="D209" s="151"/>
      <c r="E209" s="103"/>
      <c r="F209" s="103"/>
      <c r="G209" s="103"/>
      <c r="H209" s="103"/>
      <c r="I209" s="103"/>
      <c r="J209" s="103"/>
      <c r="K209" s="103"/>
      <c r="L209" s="103"/>
      <c r="M209" s="103"/>
      <c r="N209" s="68"/>
      <c r="O209" s="377" t="s">
        <v>282</v>
      </c>
      <c r="P209" s="377"/>
      <c r="Q209" s="377"/>
      <c r="R209" s="377"/>
      <c r="S209" s="376"/>
      <c r="T209" s="297"/>
      <c r="U209" s="297"/>
      <c r="V209" s="376"/>
      <c r="W209" s="376"/>
      <c r="X209" s="376"/>
      <c r="Y209" s="376"/>
      <c r="Z209" s="376"/>
      <c r="AA209" s="376"/>
      <c r="AB209" s="376" t="s">
        <v>257</v>
      </c>
      <c r="AC209" s="376"/>
      <c r="AD209" s="376">
        <v>4796000</v>
      </c>
      <c r="AE209" s="131" t="s">
        <v>248</v>
      </c>
      <c r="AF209" s="2"/>
    </row>
    <row r="210" spans="1:32" s="11" customFormat="1" ht="21" customHeight="1">
      <c r="A210" s="46"/>
      <c r="B210" s="46"/>
      <c r="C210" s="46"/>
      <c r="D210" s="151"/>
      <c r="E210" s="103"/>
      <c r="F210" s="103"/>
      <c r="G210" s="103"/>
      <c r="H210" s="103"/>
      <c r="I210" s="103"/>
      <c r="J210" s="103"/>
      <c r="K210" s="103"/>
      <c r="L210" s="103"/>
      <c r="M210" s="103"/>
      <c r="N210" s="68"/>
      <c r="O210" s="377"/>
      <c r="P210" s="377"/>
      <c r="Q210" s="377"/>
      <c r="R210" s="377"/>
      <c r="S210" s="376"/>
      <c r="T210" s="297"/>
      <c r="U210" s="297"/>
      <c r="V210" s="376"/>
      <c r="W210" s="376"/>
      <c r="X210" s="376"/>
      <c r="Y210" s="376"/>
      <c r="Z210" s="376"/>
      <c r="AA210" s="376"/>
      <c r="AB210" s="598" t="s">
        <v>704</v>
      </c>
      <c r="AC210" s="598"/>
      <c r="AD210" s="598">
        <v>1900000</v>
      </c>
      <c r="AE210" s="131" t="s">
        <v>677</v>
      </c>
      <c r="AF210" s="2"/>
    </row>
    <row r="211" spans="1:32" s="11" customFormat="1" ht="21" customHeight="1">
      <c r="A211" s="46"/>
      <c r="B211" s="46"/>
      <c r="C211" s="46"/>
      <c r="D211" s="151"/>
      <c r="E211" s="103"/>
      <c r="F211" s="103"/>
      <c r="G211" s="103"/>
      <c r="H211" s="103"/>
      <c r="I211" s="103"/>
      <c r="J211" s="103"/>
      <c r="K211" s="103"/>
      <c r="L211" s="103"/>
      <c r="M211" s="103"/>
      <c r="N211" s="68"/>
      <c r="O211" s="537" t="s">
        <v>553</v>
      </c>
      <c r="P211" s="377"/>
      <c r="Q211" s="377"/>
      <c r="R211" s="377"/>
      <c r="S211" s="376"/>
      <c r="T211" s="297"/>
      <c r="U211" s="297"/>
      <c r="V211" s="376"/>
      <c r="W211" s="376"/>
      <c r="X211" s="376"/>
      <c r="Y211" s="376"/>
      <c r="Z211" s="376"/>
      <c r="AA211" s="376"/>
      <c r="AB211" s="598" t="s">
        <v>704</v>
      </c>
      <c r="AC211" s="598"/>
      <c r="AD211" s="598">
        <v>737000</v>
      </c>
      <c r="AE211" s="131" t="s">
        <v>677</v>
      </c>
      <c r="AF211" s="2"/>
    </row>
    <row r="212" spans="1:32" s="11" customFormat="1" ht="21" customHeight="1">
      <c r="A212" s="46"/>
      <c r="B212" s="46"/>
      <c r="C212" s="46"/>
      <c r="D212" s="151"/>
      <c r="E212" s="103"/>
      <c r="F212" s="103"/>
      <c r="G212" s="103"/>
      <c r="H212" s="103"/>
      <c r="I212" s="103"/>
      <c r="J212" s="103"/>
      <c r="K212" s="103"/>
      <c r="L212" s="103"/>
      <c r="M212" s="103"/>
      <c r="N212" s="68"/>
      <c r="O212" s="281"/>
      <c r="P212" s="281"/>
      <c r="Q212" s="281"/>
      <c r="R212" s="281"/>
      <c r="S212" s="299"/>
      <c r="T212" s="300"/>
      <c r="U212" s="284"/>
      <c r="V212" s="301"/>
      <c r="W212" s="299"/>
      <c r="X212" s="299"/>
      <c r="Y212" s="299"/>
      <c r="Z212" s="299"/>
      <c r="AA212" s="299"/>
      <c r="AB212" s="299"/>
      <c r="AC212" s="299"/>
      <c r="AD212" s="299"/>
      <c r="AE212" s="302"/>
      <c r="AF212" s="1"/>
    </row>
    <row r="213" spans="1:32" s="11" customFormat="1" ht="21" customHeight="1">
      <c r="A213" s="46"/>
      <c r="B213" s="46"/>
      <c r="C213" s="36" t="s">
        <v>79</v>
      </c>
      <c r="D213" s="153">
        <v>18360</v>
      </c>
      <c r="E213" s="107">
        <f>ROUND(AD213/1000,0)</f>
        <v>16640</v>
      </c>
      <c r="F213" s="108">
        <f>SUMIF($AB$214:$AB$217,"보조",$AD$214:$AD$217)/1000</f>
        <v>5760</v>
      </c>
      <c r="G213" s="108">
        <f>SUMIF($AB$214:$AB$217,"7종",$AD$214:$AD$217)/1000</f>
        <v>0</v>
      </c>
      <c r="H213" s="108">
        <f>SUMIF($AB$214:$AB$217,"4종",$AD$214:$AD$217)/1000</f>
        <v>4160</v>
      </c>
      <c r="I213" s="108">
        <f>SUMIF($AB$214:$AB$217,"후원",$AD$214:$AD$217)/1000</f>
        <v>0</v>
      </c>
      <c r="J213" s="108">
        <f>SUMIF($AB$214:$AB$217,"입소",$AD$214:$AD$217)/1000</f>
        <v>6720</v>
      </c>
      <c r="K213" s="108">
        <f>SUMIF($AB$214:$AB$217,"법인",$AD$214:$AD$217)/1000</f>
        <v>0</v>
      </c>
      <c r="L213" s="108">
        <f>SUMIF($AB$214:$AB$217,"잡수",$AD$214:$AD$217)/1000</f>
        <v>0</v>
      </c>
      <c r="M213" s="107">
        <f>E213-D213</f>
        <v>-1720</v>
      </c>
      <c r="N213" s="115">
        <f>IF(D213=0,0,M213/D213)</f>
        <v>-9.3681917211328972E-2</v>
      </c>
      <c r="O213" s="95" t="s">
        <v>131</v>
      </c>
      <c r="P213" s="168"/>
      <c r="Q213" s="91"/>
      <c r="R213" s="91"/>
      <c r="S213" s="91"/>
      <c r="T213" s="87"/>
      <c r="U213" s="87"/>
      <c r="V213" s="87"/>
      <c r="W213" s="179"/>
      <c r="X213" s="179"/>
      <c r="Y213" s="169" t="s">
        <v>137</v>
      </c>
      <c r="Z213" s="169"/>
      <c r="AA213" s="169"/>
      <c r="AB213" s="169"/>
      <c r="AC213" s="171"/>
      <c r="AD213" s="171">
        <f>SUM(AD214:AD217)</f>
        <v>16640000</v>
      </c>
      <c r="AE213" s="170" t="s">
        <v>25</v>
      </c>
      <c r="AF213" s="1"/>
    </row>
    <row r="214" spans="1:32" s="11" customFormat="1" ht="21" customHeight="1">
      <c r="A214" s="46"/>
      <c r="B214" s="46"/>
      <c r="C214" s="46"/>
      <c r="D214" s="104"/>
      <c r="E214" s="103"/>
      <c r="F214" s="103"/>
      <c r="G214" s="103"/>
      <c r="H214" s="103"/>
      <c r="I214" s="103"/>
      <c r="J214" s="103"/>
      <c r="K214" s="103"/>
      <c r="L214" s="103"/>
      <c r="M214" s="103"/>
      <c r="N214" s="68"/>
      <c r="O214" s="585" t="s">
        <v>652</v>
      </c>
      <c r="P214" s="585"/>
      <c r="Q214" s="584"/>
      <c r="R214" s="584"/>
      <c r="S214" s="584">
        <v>240000</v>
      </c>
      <c r="T214" s="584" t="s">
        <v>646</v>
      </c>
      <c r="U214" s="585" t="s">
        <v>653</v>
      </c>
      <c r="V214" s="584">
        <v>24</v>
      </c>
      <c r="W214" s="584" t="s">
        <v>654</v>
      </c>
      <c r="X214" s="585"/>
      <c r="Y214" s="584" t="s">
        <v>655</v>
      </c>
      <c r="Z214" s="584"/>
      <c r="AA214" s="584" t="s">
        <v>656</v>
      </c>
      <c r="AB214" s="584" t="s">
        <v>657</v>
      </c>
      <c r="AC214" s="130"/>
      <c r="AD214" s="130">
        <f>S214*V214</f>
        <v>5760000</v>
      </c>
      <c r="AE214" s="131" t="s">
        <v>25</v>
      </c>
      <c r="AF214" s="1"/>
    </row>
    <row r="215" spans="1:32" s="11" customFormat="1" ht="21" customHeight="1">
      <c r="A215" s="46"/>
      <c r="B215" s="46"/>
      <c r="C215" s="46"/>
      <c r="D215" s="104"/>
      <c r="E215" s="103"/>
      <c r="F215" s="103"/>
      <c r="G215" s="103"/>
      <c r="H215" s="103"/>
      <c r="I215" s="103"/>
      <c r="J215" s="103"/>
      <c r="K215" s="103"/>
      <c r="L215" s="103"/>
      <c r="M215" s="103"/>
      <c r="N215" s="68"/>
      <c r="O215" s="585"/>
      <c r="P215" s="585"/>
      <c r="Q215" s="584"/>
      <c r="R215" s="584"/>
      <c r="S215" s="584">
        <v>240000</v>
      </c>
      <c r="T215" s="584" t="s">
        <v>646</v>
      </c>
      <c r="U215" s="585" t="s">
        <v>653</v>
      </c>
      <c r="V215" s="584">
        <v>28</v>
      </c>
      <c r="W215" s="584" t="s">
        <v>654</v>
      </c>
      <c r="X215" s="585"/>
      <c r="Y215" s="584"/>
      <c r="Z215" s="584"/>
      <c r="AA215" s="584" t="s">
        <v>656</v>
      </c>
      <c r="AB215" s="584" t="s">
        <v>658</v>
      </c>
      <c r="AC215" s="130"/>
      <c r="AD215" s="130">
        <f>S215*V215</f>
        <v>6720000</v>
      </c>
      <c r="AE215" s="131" t="s">
        <v>25</v>
      </c>
      <c r="AF215" s="1"/>
    </row>
    <row r="216" spans="1:32" s="11" customFormat="1" ht="21" customHeight="1">
      <c r="A216" s="46"/>
      <c r="B216" s="46"/>
      <c r="C216" s="46"/>
      <c r="D216" s="104"/>
      <c r="E216" s="103"/>
      <c r="F216" s="103"/>
      <c r="G216" s="103"/>
      <c r="H216" s="103"/>
      <c r="I216" s="103"/>
      <c r="J216" s="103"/>
      <c r="K216" s="103"/>
      <c r="L216" s="103"/>
      <c r="M216" s="103"/>
      <c r="N216" s="68"/>
      <c r="O216" s="377" t="s">
        <v>283</v>
      </c>
      <c r="P216" s="377"/>
      <c r="Q216" s="376"/>
      <c r="R216" s="376"/>
      <c r="S216" s="376">
        <v>20000</v>
      </c>
      <c r="T216" s="376" t="s">
        <v>261</v>
      </c>
      <c r="U216" s="377" t="s">
        <v>263</v>
      </c>
      <c r="V216" s="376">
        <v>4</v>
      </c>
      <c r="W216" s="376" t="s">
        <v>267</v>
      </c>
      <c r="X216" s="377" t="s">
        <v>263</v>
      </c>
      <c r="Y216" s="376">
        <v>52</v>
      </c>
      <c r="Z216" s="376" t="s">
        <v>264</v>
      </c>
      <c r="AA216" s="376" t="s">
        <v>266</v>
      </c>
      <c r="AB216" s="552" t="s">
        <v>577</v>
      </c>
      <c r="AC216" s="130"/>
      <c r="AD216" s="130">
        <f>ROUND(S216*V216*Y216,-1)</f>
        <v>4160000</v>
      </c>
      <c r="AE216" s="131" t="s">
        <v>25</v>
      </c>
      <c r="AF216" s="1"/>
    </row>
    <row r="217" spans="1:32" s="11" customFormat="1" ht="21" customHeight="1">
      <c r="A217" s="46"/>
      <c r="B217" s="46"/>
      <c r="C217" s="46"/>
      <c r="D217" s="151"/>
      <c r="E217" s="103"/>
      <c r="F217" s="103"/>
      <c r="G217" s="103"/>
      <c r="H217" s="103"/>
      <c r="I217" s="103"/>
      <c r="J217" s="103"/>
      <c r="K217" s="103"/>
      <c r="L217" s="103"/>
      <c r="M217" s="103"/>
      <c r="N217" s="68"/>
      <c r="O217" s="377"/>
      <c r="P217" s="377"/>
      <c r="Q217" s="376"/>
      <c r="R217" s="376"/>
      <c r="S217" s="376"/>
      <c r="T217" s="376"/>
      <c r="U217" s="377"/>
      <c r="V217" s="376"/>
      <c r="W217" s="376"/>
      <c r="X217" s="377"/>
      <c r="Y217" s="376"/>
      <c r="Z217" s="376"/>
      <c r="AA217" s="376"/>
      <c r="AB217" s="376"/>
      <c r="AC217" s="130"/>
      <c r="AD217" s="130"/>
      <c r="AE217" s="131"/>
      <c r="AF217" s="1"/>
    </row>
    <row r="218" spans="1:32" s="11" customFormat="1" ht="21" customHeight="1">
      <c r="A218" s="46"/>
      <c r="B218" s="46"/>
      <c r="C218" s="36" t="s">
        <v>80</v>
      </c>
      <c r="D218" s="153">
        <v>18080</v>
      </c>
      <c r="E218" s="107">
        <f>ROUND(AD218/1000,0)</f>
        <v>16686</v>
      </c>
      <c r="F218" s="108">
        <f>SUMIF($AB$219:$AB$228,"보조",$AD$219:$AD$228)/1000</f>
        <v>400</v>
      </c>
      <c r="G218" s="108">
        <f>SUMIF($AB$219:$AB$228,"7종",$AD$219:$AD$228)/1000</f>
        <v>12600</v>
      </c>
      <c r="H218" s="108">
        <f>SUMIF($AB$219:$AB$228,"4종",$AD$219:$AD$228)/1000</f>
        <v>2080</v>
      </c>
      <c r="I218" s="108">
        <f>SUMIF($AB$219:$AB$228,"후원",$AD$219:$AD$228)/1000</f>
        <v>1606</v>
      </c>
      <c r="J218" s="108">
        <f>SUMIF($AB$219:$AB$228,"입소",$AD$219:$AD$228)/1000</f>
        <v>0</v>
      </c>
      <c r="K218" s="108">
        <f>SUMIF($AB$219:$AB$228,"법인",$AD$219:$AD$228)/1000</f>
        <v>0</v>
      </c>
      <c r="L218" s="108">
        <f>SUMIF($AB$219:$AB$228,"잡수",$AD$219:$AD$228)/1000</f>
        <v>0</v>
      </c>
      <c r="M218" s="107">
        <f>E218-D218</f>
        <v>-1394</v>
      </c>
      <c r="N218" s="115">
        <f>IF(D218=0,0,M218/D218)</f>
        <v>-7.7101769911504428E-2</v>
      </c>
      <c r="O218" s="95" t="s">
        <v>132</v>
      </c>
      <c r="P218" s="168"/>
      <c r="Q218" s="173"/>
      <c r="R218" s="173"/>
      <c r="S218" s="173"/>
      <c r="T218" s="172"/>
      <c r="U218" s="172"/>
      <c r="V218" s="172"/>
      <c r="W218" s="179"/>
      <c r="X218" s="179"/>
      <c r="Y218" s="169" t="s">
        <v>137</v>
      </c>
      <c r="Z218" s="169"/>
      <c r="AA218" s="169"/>
      <c r="AB218" s="169"/>
      <c r="AC218" s="171"/>
      <c r="AD218" s="171">
        <f>SUM(AD219:AD227)</f>
        <v>16686000</v>
      </c>
      <c r="AE218" s="170" t="s">
        <v>25</v>
      </c>
      <c r="AF218" s="1"/>
    </row>
    <row r="219" spans="1:32" s="14" customFormat="1" ht="21" customHeight="1">
      <c r="A219" s="46"/>
      <c r="B219" s="46"/>
      <c r="C219" s="46"/>
      <c r="D219" s="151"/>
      <c r="E219" s="103"/>
      <c r="F219" s="103"/>
      <c r="G219" s="103"/>
      <c r="H219" s="103"/>
      <c r="I219" s="103"/>
      <c r="J219" s="103"/>
      <c r="K219" s="103"/>
      <c r="L219" s="103"/>
      <c r="M219" s="103"/>
      <c r="N219" s="68"/>
      <c r="O219" s="377" t="s">
        <v>284</v>
      </c>
      <c r="P219" s="377"/>
      <c r="Q219" s="376"/>
      <c r="R219" s="376"/>
      <c r="S219" s="376">
        <v>40000</v>
      </c>
      <c r="T219" s="376" t="s">
        <v>261</v>
      </c>
      <c r="U219" s="377" t="s">
        <v>263</v>
      </c>
      <c r="V219" s="376">
        <v>1</v>
      </c>
      <c r="W219" s="376" t="s">
        <v>267</v>
      </c>
      <c r="X219" s="377" t="s">
        <v>263</v>
      </c>
      <c r="Y219" s="376">
        <v>52</v>
      </c>
      <c r="Z219" s="376" t="s">
        <v>264</v>
      </c>
      <c r="AA219" s="376" t="s">
        <v>266</v>
      </c>
      <c r="AB219" s="552" t="s">
        <v>577</v>
      </c>
      <c r="AC219" s="130"/>
      <c r="AD219" s="130">
        <f>S219*V219*Y219</f>
        <v>2080000</v>
      </c>
      <c r="AE219" s="131" t="s">
        <v>25</v>
      </c>
      <c r="AF219" s="5"/>
    </row>
    <row r="220" spans="1:32" s="14" customFormat="1" ht="21" customHeight="1">
      <c r="A220" s="46"/>
      <c r="B220" s="46"/>
      <c r="C220" s="46"/>
      <c r="D220" s="151"/>
      <c r="E220" s="103"/>
      <c r="F220" s="103"/>
      <c r="G220" s="103"/>
      <c r="H220" s="103"/>
      <c r="I220" s="103"/>
      <c r="J220" s="103"/>
      <c r="K220" s="103"/>
      <c r="L220" s="103"/>
      <c r="M220" s="103"/>
      <c r="N220" s="278"/>
      <c r="O220" s="285" t="s">
        <v>285</v>
      </c>
      <c r="P220" s="377"/>
      <c r="Q220" s="377"/>
      <c r="R220" s="377"/>
      <c r="S220" s="376">
        <v>70000</v>
      </c>
      <c r="T220" s="376" t="s">
        <v>261</v>
      </c>
      <c r="U220" s="377" t="s">
        <v>263</v>
      </c>
      <c r="V220" s="376">
        <v>1</v>
      </c>
      <c r="W220" s="376" t="s">
        <v>264</v>
      </c>
      <c r="X220" s="377" t="s">
        <v>263</v>
      </c>
      <c r="Y220" s="298">
        <v>180</v>
      </c>
      <c r="Z220" s="291" t="s">
        <v>286</v>
      </c>
      <c r="AA220" s="291" t="s">
        <v>266</v>
      </c>
      <c r="AB220" s="552" t="s">
        <v>578</v>
      </c>
      <c r="AC220" s="130"/>
      <c r="AD220" s="376">
        <f>S220*V220*Y220</f>
        <v>12600000</v>
      </c>
      <c r="AE220" s="131" t="s">
        <v>775</v>
      </c>
      <c r="AF220" s="5"/>
    </row>
    <row r="221" spans="1:32" s="14" customFormat="1" ht="21" customHeight="1">
      <c r="A221" s="46"/>
      <c r="B221" s="46"/>
      <c r="C221" s="46"/>
      <c r="D221" s="151"/>
      <c r="E221" s="103"/>
      <c r="F221" s="103"/>
      <c r="G221" s="103"/>
      <c r="H221" s="103"/>
      <c r="I221" s="103"/>
      <c r="J221" s="103"/>
      <c r="K221" s="103"/>
      <c r="L221" s="103"/>
      <c r="M221" s="103"/>
      <c r="N221" s="68"/>
      <c r="O221" s="377" t="s">
        <v>287</v>
      </c>
      <c r="P221" s="377"/>
      <c r="Q221" s="377"/>
      <c r="R221" s="377"/>
      <c r="S221" s="376">
        <v>0</v>
      </c>
      <c r="T221" s="297" t="s">
        <v>261</v>
      </c>
      <c r="U221" s="297" t="s">
        <v>26</v>
      </c>
      <c r="V221" s="376">
        <v>0</v>
      </c>
      <c r="W221" s="376" t="s">
        <v>265</v>
      </c>
      <c r="X221" s="291"/>
      <c r="Y221" s="406"/>
      <c r="Z221" s="390"/>
      <c r="AA221" s="407" t="s">
        <v>266</v>
      </c>
      <c r="AB221" s="437" t="s">
        <v>308</v>
      </c>
      <c r="AC221" s="376"/>
      <c r="AD221" s="378">
        <f>S221*V221</f>
        <v>0</v>
      </c>
      <c r="AE221" s="628" t="s">
        <v>25</v>
      </c>
      <c r="AF221" s="5"/>
    </row>
    <row r="222" spans="1:32" s="14" customFormat="1" ht="21" customHeight="1">
      <c r="A222" s="46"/>
      <c r="B222" s="46"/>
      <c r="C222" s="46"/>
      <c r="D222" s="151"/>
      <c r="E222" s="103"/>
      <c r="F222" s="103"/>
      <c r="G222" s="103"/>
      <c r="H222" s="103"/>
      <c r="I222" s="103"/>
      <c r="J222" s="103"/>
      <c r="K222" s="103"/>
      <c r="L222" s="103"/>
      <c r="M222" s="103"/>
      <c r="N222" s="68"/>
      <c r="O222" s="377" t="s">
        <v>288</v>
      </c>
      <c r="P222" s="377"/>
      <c r="Q222" s="377"/>
      <c r="R222" s="377"/>
      <c r="S222" s="376">
        <v>40000</v>
      </c>
      <c r="T222" s="297" t="s">
        <v>248</v>
      </c>
      <c r="U222" s="297" t="s">
        <v>26</v>
      </c>
      <c r="V222" s="376">
        <v>10</v>
      </c>
      <c r="W222" s="376" t="s">
        <v>272</v>
      </c>
      <c r="X222" s="291"/>
      <c r="Y222" s="406"/>
      <c r="Z222" s="390"/>
      <c r="AA222" s="407" t="s">
        <v>251</v>
      </c>
      <c r="AB222" s="435" t="s">
        <v>76</v>
      </c>
      <c r="AC222" s="376"/>
      <c r="AD222" s="376">
        <f>S222*V222</f>
        <v>400000</v>
      </c>
      <c r="AE222" s="131" t="s">
        <v>25</v>
      </c>
      <c r="AF222" s="5"/>
    </row>
    <row r="223" spans="1:32" s="14" customFormat="1" ht="21" customHeight="1">
      <c r="A223" s="46"/>
      <c r="B223" s="46"/>
      <c r="C223" s="46"/>
      <c r="D223" s="151"/>
      <c r="E223" s="103"/>
      <c r="F223" s="103"/>
      <c r="G223" s="103"/>
      <c r="H223" s="103"/>
      <c r="I223" s="103"/>
      <c r="J223" s="103"/>
      <c r="K223" s="103"/>
      <c r="L223" s="103"/>
      <c r="M223" s="103"/>
      <c r="N223" s="68"/>
      <c r="O223" s="599"/>
      <c r="P223" s="599"/>
      <c r="Q223" s="599"/>
      <c r="R223" s="599"/>
      <c r="S223" s="598">
        <v>0</v>
      </c>
      <c r="T223" s="297" t="s">
        <v>677</v>
      </c>
      <c r="U223" s="297" t="s">
        <v>26</v>
      </c>
      <c r="V223" s="598">
        <v>0</v>
      </c>
      <c r="W223" s="598" t="s">
        <v>686</v>
      </c>
      <c r="X223" s="568"/>
      <c r="Y223" s="406"/>
      <c r="Z223" s="390"/>
      <c r="AA223" s="407" t="s">
        <v>681</v>
      </c>
      <c r="AB223" s="598" t="s">
        <v>704</v>
      </c>
      <c r="AC223" s="598"/>
      <c r="AD223" s="378">
        <v>1280000</v>
      </c>
      <c r="AE223" s="628" t="s">
        <v>25</v>
      </c>
      <c r="AF223" s="5"/>
    </row>
    <row r="224" spans="1:32" s="14" customFormat="1" ht="21" customHeight="1">
      <c r="A224" s="46"/>
      <c r="B224" s="46"/>
      <c r="C224" s="46"/>
      <c r="D224" s="151"/>
      <c r="E224" s="103"/>
      <c r="F224" s="103"/>
      <c r="G224" s="103"/>
      <c r="H224" s="103"/>
      <c r="I224" s="103"/>
      <c r="J224" s="103"/>
      <c r="K224" s="103"/>
      <c r="L224" s="103"/>
      <c r="M224" s="103"/>
      <c r="N224" s="68"/>
      <c r="O224" s="599" t="s">
        <v>717</v>
      </c>
      <c r="P224" s="599"/>
      <c r="Q224" s="599"/>
      <c r="R224" s="599"/>
      <c r="S224" s="598">
        <v>0</v>
      </c>
      <c r="T224" s="598" t="s">
        <v>677</v>
      </c>
      <c r="U224" s="599" t="s">
        <v>678</v>
      </c>
      <c r="V224" s="598">
        <v>51</v>
      </c>
      <c r="W224" s="598" t="s">
        <v>679</v>
      </c>
      <c r="X224" s="599" t="s">
        <v>678</v>
      </c>
      <c r="Y224" s="298">
        <v>1</v>
      </c>
      <c r="Z224" s="568" t="s">
        <v>680</v>
      </c>
      <c r="AA224" s="568" t="s">
        <v>681</v>
      </c>
      <c r="AB224" s="598" t="s">
        <v>704</v>
      </c>
      <c r="AC224" s="130"/>
      <c r="AD224" s="598">
        <f>S224*V224*Y224</f>
        <v>0</v>
      </c>
      <c r="AE224" s="131" t="s">
        <v>775</v>
      </c>
      <c r="AF224" s="5"/>
    </row>
    <row r="225" spans="1:32" s="14" customFormat="1" ht="21" customHeight="1">
      <c r="A225" s="46"/>
      <c r="B225" s="46"/>
      <c r="C225" s="46"/>
      <c r="D225" s="151"/>
      <c r="E225" s="103"/>
      <c r="F225" s="103"/>
      <c r="G225" s="103"/>
      <c r="H225" s="103"/>
      <c r="I225" s="103"/>
      <c r="J225" s="103"/>
      <c r="K225" s="103"/>
      <c r="L225" s="103"/>
      <c r="M225" s="103"/>
      <c r="N225" s="68"/>
      <c r="O225" s="377" t="s">
        <v>289</v>
      </c>
      <c r="P225" s="377"/>
      <c r="Q225" s="377"/>
      <c r="R225" s="377"/>
      <c r="S225" s="376">
        <v>1000</v>
      </c>
      <c r="T225" s="376" t="s">
        <v>248</v>
      </c>
      <c r="U225" s="377" t="s">
        <v>249</v>
      </c>
      <c r="V225" s="376">
        <v>100</v>
      </c>
      <c r="W225" s="376" t="s">
        <v>250</v>
      </c>
      <c r="X225" s="377" t="s">
        <v>249</v>
      </c>
      <c r="Y225" s="298">
        <v>2</v>
      </c>
      <c r="Z225" s="291" t="s">
        <v>253</v>
      </c>
      <c r="AA225" s="291" t="s">
        <v>251</v>
      </c>
      <c r="AB225" s="437" t="s">
        <v>152</v>
      </c>
      <c r="AC225" s="130"/>
      <c r="AD225" s="378">
        <v>126000</v>
      </c>
      <c r="AE225" s="628" t="s">
        <v>854</v>
      </c>
      <c r="AF225" s="5"/>
    </row>
    <row r="226" spans="1:32" s="14" customFormat="1" ht="21" customHeight="1">
      <c r="A226" s="46"/>
      <c r="B226" s="46"/>
      <c r="C226" s="46"/>
      <c r="D226" s="151"/>
      <c r="E226" s="103"/>
      <c r="F226" s="103"/>
      <c r="G226" s="103"/>
      <c r="H226" s="103"/>
      <c r="I226" s="103"/>
      <c r="J226" s="103"/>
      <c r="K226" s="103"/>
      <c r="L226" s="103"/>
      <c r="M226" s="103"/>
      <c r="N226" s="68"/>
      <c r="O226" s="434" t="s">
        <v>290</v>
      </c>
      <c r="P226" s="434"/>
      <c r="Q226" s="434"/>
      <c r="R226" s="434"/>
      <c r="S226" s="433"/>
      <c r="T226" s="433"/>
      <c r="U226" s="434"/>
      <c r="V226" s="433"/>
      <c r="W226" s="433"/>
      <c r="X226" s="434"/>
      <c r="Y226" s="406"/>
      <c r="Z226" s="390"/>
      <c r="AA226" s="408"/>
      <c r="AB226" s="437" t="s">
        <v>152</v>
      </c>
      <c r="AC226" s="433"/>
      <c r="AD226" s="433">
        <v>200000</v>
      </c>
      <c r="AE226" s="131" t="s">
        <v>775</v>
      </c>
      <c r="AF226" s="5"/>
    </row>
    <row r="227" spans="1:32" s="14" customFormat="1" ht="21" customHeight="1">
      <c r="A227" s="46"/>
      <c r="B227" s="46"/>
      <c r="C227" s="46"/>
      <c r="D227" s="151"/>
      <c r="E227" s="103"/>
      <c r="F227" s="103"/>
      <c r="G227" s="103"/>
      <c r="H227" s="103"/>
      <c r="I227" s="103"/>
      <c r="J227" s="103"/>
      <c r="K227" s="103"/>
      <c r="L227" s="103"/>
      <c r="M227" s="103"/>
      <c r="N227" s="68"/>
      <c r="O227" s="434" t="s">
        <v>300</v>
      </c>
      <c r="P227" s="377"/>
      <c r="Q227" s="377"/>
      <c r="R227" s="377"/>
      <c r="S227" s="376"/>
      <c r="T227" s="376"/>
      <c r="U227" s="377"/>
      <c r="V227" s="376"/>
      <c r="W227" s="376"/>
      <c r="X227" s="377"/>
      <c r="Y227" s="406"/>
      <c r="Z227" s="390"/>
      <c r="AA227" s="408"/>
      <c r="AB227" s="437" t="s">
        <v>308</v>
      </c>
      <c r="AC227" s="376"/>
      <c r="AD227" s="376"/>
      <c r="AE227" s="131" t="s">
        <v>248</v>
      </c>
      <c r="AF227" s="5"/>
    </row>
    <row r="228" spans="1:32" s="11" customFormat="1" ht="21" customHeight="1">
      <c r="A228" s="46"/>
      <c r="B228" s="46"/>
      <c r="C228" s="59"/>
      <c r="D228" s="152"/>
      <c r="E228" s="158"/>
      <c r="F228" s="158"/>
      <c r="G228" s="158"/>
      <c r="H228" s="158"/>
      <c r="I228" s="158"/>
      <c r="J228" s="158"/>
      <c r="K228" s="158"/>
      <c r="L228" s="158"/>
      <c r="M228" s="127"/>
      <c r="N228" s="82"/>
      <c r="O228" s="409"/>
      <c r="P228" s="409"/>
      <c r="Q228" s="409"/>
      <c r="R228" s="409"/>
      <c r="S228" s="409"/>
      <c r="T228" s="128"/>
      <c r="U228" s="376"/>
      <c r="V228" s="291"/>
      <c r="W228" s="376"/>
      <c r="X228" s="376"/>
      <c r="Y228" s="376"/>
      <c r="Z228" s="376"/>
      <c r="AA228" s="376"/>
      <c r="AB228" s="376"/>
      <c r="AC228" s="376"/>
      <c r="AD228" s="376"/>
      <c r="AE228" s="131"/>
      <c r="AF228" s="1"/>
    </row>
    <row r="229" spans="1:32" s="11" customFormat="1" ht="21" customHeight="1">
      <c r="A229" s="46"/>
      <c r="B229" s="46"/>
      <c r="C229" s="46" t="s">
        <v>81</v>
      </c>
      <c r="D229" s="124">
        <v>32691</v>
      </c>
      <c r="E229" s="103">
        <f>ROUND(AD229/1000,0)</f>
        <v>27839</v>
      </c>
      <c r="F229" s="108">
        <f>SUMIF($AB$230:$AB$236,"보조",$AD$230:$AD$236)/1000</f>
        <v>15210</v>
      </c>
      <c r="G229" s="108">
        <f>SUMIF($AB$230:$AB$236,"7종",$AD$230:$AD$236)/1000</f>
        <v>0</v>
      </c>
      <c r="H229" s="108">
        <f>SUMIF($AB$230:$AB$236,"4종",$AD$230:$AD$236)/1000</f>
        <v>0</v>
      </c>
      <c r="I229" s="108">
        <f>SUMIF($AB$230:$AB$236,"후원",$AD$230:$AD$236)/1000</f>
        <v>0</v>
      </c>
      <c r="J229" s="108">
        <f>SUMIF($AB$230:$AB$236,"입소",$AD$230:$AD$236)/1000</f>
        <v>12629</v>
      </c>
      <c r="K229" s="108">
        <f>SUMIF($AB$230:$AB$236,"법인",$AD$230:$AD$236)/1000</f>
        <v>0</v>
      </c>
      <c r="L229" s="108">
        <f>SUMIF($AB$230:$AB$236,"잡수",$AD$230:$AD$236)/1000</f>
        <v>0</v>
      </c>
      <c r="M229" s="103">
        <f>E229-D229</f>
        <v>-4852</v>
      </c>
      <c r="N229" s="68">
        <f>IF(D229=0,0,M229/D229)</f>
        <v>-0.14842005444923678</v>
      </c>
      <c r="O229" s="95" t="s">
        <v>86</v>
      </c>
      <c r="P229" s="91"/>
      <c r="Q229" s="91"/>
      <c r="R229" s="91"/>
      <c r="S229" s="91"/>
      <c r="T229" s="87"/>
      <c r="U229" s="87"/>
      <c r="V229" s="87"/>
      <c r="W229" s="87"/>
      <c r="X229" s="87"/>
      <c r="Y229" s="169" t="s">
        <v>137</v>
      </c>
      <c r="Z229" s="169"/>
      <c r="AA229" s="169"/>
      <c r="AB229" s="169"/>
      <c r="AC229" s="171"/>
      <c r="AD229" s="171">
        <f>SUM(AD230:AD235)</f>
        <v>27839000</v>
      </c>
      <c r="AE229" s="170" t="s">
        <v>25</v>
      </c>
      <c r="AF229" s="1"/>
    </row>
    <row r="230" spans="1:32" s="11" customFormat="1" ht="21" customHeight="1">
      <c r="A230" s="46"/>
      <c r="B230" s="46"/>
      <c r="C230" s="46"/>
      <c r="D230" s="151"/>
      <c r="E230" s="103"/>
      <c r="F230" s="103"/>
      <c r="G230" s="103"/>
      <c r="H230" s="103"/>
      <c r="I230" s="103"/>
      <c r="J230" s="103"/>
      <c r="K230" s="103"/>
      <c r="L230" s="103"/>
      <c r="M230" s="103"/>
      <c r="N230" s="68"/>
      <c r="O230" s="377" t="s">
        <v>291</v>
      </c>
      <c r="P230" s="377"/>
      <c r="Q230" s="377"/>
      <c r="R230" s="377"/>
      <c r="S230" s="376">
        <v>600000</v>
      </c>
      <c r="T230" s="297" t="s">
        <v>261</v>
      </c>
      <c r="U230" s="297" t="s">
        <v>26</v>
      </c>
      <c r="V230" s="376">
        <v>12</v>
      </c>
      <c r="W230" s="376" t="s">
        <v>265</v>
      </c>
      <c r="X230" s="291"/>
      <c r="Y230" s="406"/>
      <c r="Z230" s="390"/>
      <c r="AA230" s="407" t="s">
        <v>266</v>
      </c>
      <c r="AB230" s="376" t="s">
        <v>269</v>
      </c>
      <c r="AC230" s="376"/>
      <c r="AD230" s="376">
        <f>S230*V230</f>
        <v>7200000</v>
      </c>
      <c r="AE230" s="131" t="s">
        <v>25</v>
      </c>
      <c r="AF230" s="1"/>
    </row>
    <row r="231" spans="1:32" s="11" customFormat="1" ht="21" customHeight="1">
      <c r="A231" s="46"/>
      <c r="B231" s="46"/>
      <c r="C231" s="46"/>
      <c r="D231" s="151"/>
      <c r="E231" s="103"/>
      <c r="F231" s="103"/>
      <c r="G231" s="103"/>
      <c r="H231" s="103"/>
      <c r="I231" s="103"/>
      <c r="J231" s="103"/>
      <c r="K231" s="103"/>
      <c r="L231" s="103"/>
      <c r="M231" s="103"/>
      <c r="N231" s="68"/>
      <c r="O231" s="599"/>
      <c r="P231" s="599"/>
      <c r="Q231" s="599"/>
      <c r="R231" s="599"/>
      <c r="S231" s="598">
        <v>700000</v>
      </c>
      <c r="T231" s="297" t="s">
        <v>677</v>
      </c>
      <c r="U231" s="297" t="s">
        <v>26</v>
      </c>
      <c r="V231" s="598">
        <v>12</v>
      </c>
      <c r="W231" s="598" t="s">
        <v>686</v>
      </c>
      <c r="X231" s="406"/>
      <c r="Y231" s="406"/>
      <c r="Z231" s="390"/>
      <c r="AA231" s="407" t="s">
        <v>681</v>
      </c>
      <c r="AB231" s="601" t="s">
        <v>213</v>
      </c>
      <c r="AC231" s="598"/>
      <c r="AD231" s="598">
        <f>S231*V231</f>
        <v>8400000</v>
      </c>
      <c r="AE231" s="131" t="s">
        <v>25</v>
      </c>
      <c r="AF231" s="1"/>
    </row>
    <row r="232" spans="1:32" s="11" customFormat="1" ht="21" customHeight="1">
      <c r="A232" s="46"/>
      <c r="B232" s="46"/>
      <c r="C232" s="46"/>
      <c r="D232" s="151"/>
      <c r="E232" s="103"/>
      <c r="F232" s="103"/>
      <c r="G232" s="103"/>
      <c r="H232" s="103"/>
      <c r="I232" s="103"/>
      <c r="J232" s="103"/>
      <c r="K232" s="103"/>
      <c r="L232" s="103"/>
      <c r="M232" s="103"/>
      <c r="N232" s="68"/>
      <c r="O232" s="560" t="s">
        <v>610</v>
      </c>
      <c r="P232" s="377"/>
      <c r="Q232" s="377"/>
      <c r="R232" s="377"/>
      <c r="S232" s="376">
        <v>600000</v>
      </c>
      <c r="T232" s="297" t="s">
        <v>25</v>
      </c>
      <c r="U232" s="377" t="s">
        <v>26</v>
      </c>
      <c r="V232" s="376">
        <v>12</v>
      </c>
      <c r="W232" s="377" t="s">
        <v>29</v>
      </c>
      <c r="X232" s="581"/>
      <c r="Y232" s="580"/>
      <c r="Z232" s="580"/>
      <c r="AA232" s="580" t="s">
        <v>53</v>
      </c>
      <c r="AB232" s="376" t="s">
        <v>269</v>
      </c>
      <c r="AC232" s="376"/>
      <c r="AD232" s="376">
        <f>S232*V232</f>
        <v>7200000</v>
      </c>
      <c r="AE232" s="131" t="s">
        <v>261</v>
      </c>
      <c r="AF232" s="1"/>
    </row>
    <row r="233" spans="1:32" s="11" customFormat="1" ht="21" customHeight="1">
      <c r="A233" s="46"/>
      <c r="B233" s="46"/>
      <c r="C233" s="46"/>
      <c r="D233" s="151"/>
      <c r="E233" s="103"/>
      <c r="F233" s="103"/>
      <c r="G233" s="103"/>
      <c r="H233" s="103"/>
      <c r="I233" s="103"/>
      <c r="J233" s="103"/>
      <c r="K233" s="103"/>
      <c r="L233" s="103"/>
      <c r="M233" s="103"/>
      <c r="N233" s="68"/>
      <c r="O233" s="581"/>
      <c r="P233" s="581"/>
      <c r="Q233" s="581"/>
      <c r="R233" s="581"/>
      <c r="S233" s="580"/>
      <c r="T233" s="297"/>
      <c r="U233" s="581"/>
      <c r="V233" s="580"/>
      <c r="W233" s="581"/>
      <c r="X233" s="581"/>
      <c r="Y233" s="584" t="s">
        <v>655</v>
      </c>
      <c r="Z233" s="584"/>
      <c r="AA233" s="584"/>
      <c r="AB233" s="584" t="s">
        <v>657</v>
      </c>
      <c r="AC233" s="584"/>
      <c r="AD233" s="584">
        <v>810000</v>
      </c>
      <c r="AE233" s="131" t="s">
        <v>646</v>
      </c>
      <c r="AF233" s="1"/>
    </row>
    <row r="234" spans="1:32" s="11" customFormat="1" ht="21" customHeight="1">
      <c r="A234" s="46"/>
      <c r="B234" s="46"/>
      <c r="C234" s="46"/>
      <c r="D234" s="151"/>
      <c r="E234" s="103"/>
      <c r="F234" s="103"/>
      <c r="G234" s="103"/>
      <c r="H234" s="103"/>
      <c r="I234" s="103"/>
      <c r="J234" s="103"/>
      <c r="K234" s="103"/>
      <c r="L234" s="103"/>
      <c r="M234" s="103"/>
      <c r="N234" s="68"/>
      <c r="O234" s="377"/>
      <c r="P234" s="377"/>
      <c r="Q234" s="377"/>
      <c r="R234" s="377"/>
      <c r="S234" s="376"/>
      <c r="T234" s="297"/>
      <c r="U234" s="377"/>
      <c r="V234" s="376"/>
      <c r="W234" s="377"/>
      <c r="X234" s="376"/>
      <c r="Y234" s="376"/>
      <c r="Z234" s="376"/>
      <c r="AA234" s="376"/>
      <c r="AB234" s="551" t="s">
        <v>213</v>
      </c>
      <c r="AC234" s="376"/>
      <c r="AD234" s="378">
        <v>1405000</v>
      </c>
      <c r="AE234" s="628" t="s">
        <v>854</v>
      </c>
      <c r="AF234" s="1"/>
    </row>
    <row r="235" spans="1:32" s="11" customFormat="1" ht="21" customHeight="1">
      <c r="A235" s="46"/>
      <c r="B235" s="46"/>
      <c r="C235" s="46"/>
      <c r="D235" s="151"/>
      <c r="E235" s="103"/>
      <c r="F235" s="103"/>
      <c r="G235" s="103"/>
      <c r="H235" s="103"/>
      <c r="I235" s="103"/>
      <c r="J235" s="103"/>
      <c r="K235" s="103"/>
      <c r="L235" s="103"/>
      <c r="M235" s="103"/>
      <c r="N235" s="68"/>
      <c r="O235" s="436" t="s">
        <v>307</v>
      </c>
      <c r="P235" s="377"/>
      <c r="Q235" s="377"/>
      <c r="R235" s="377"/>
      <c r="S235" s="376"/>
      <c r="T235" s="297"/>
      <c r="U235" s="377"/>
      <c r="V235" s="376"/>
      <c r="W235" s="377"/>
      <c r="X235" s="376"/>
      <c r="Y235" s="376"/>
      <c r="Z235" s="376"/>
      <c r="AA235" s="376"/>
      <c r="AB235" s="551" t="s">
        <v>562</v>
      </c>
      <c r="AC235" s="376"/>
      <c r="AD235" s="376">
        <v>2824000</v>
      </c>
      <c r="AE235" s="131" t="s">
        <v>248</v>
      </c>
      <c r="AF235" s="1"/>
    </row>
    <row r="236" spans="1:32" s="11" customFormat="1" ht="21" customHeight="1">
      <c r="A236" s="46"/>
      <c r="B236" s="46"/>
      <c r="C236" s="46"/>
      <c r="D236" s="151"/>
      <c r="E236" s="103"/>
      <c r="F236" s="103"/>
      <c r="G236" s="103"/>
      <c r="H236" s="103"/>
      <c r="I236" s="103"/>
      <c r="J236" s="103"/>
      <c r="K236" s="103"/>
      <c r="L236" s="103"/>
      <c r="M236" s="103"/>
      <c r="N236" s="68"/>
      <c r="O236" s="377"/>
      <c r="P236" s="377"/>
      <c r="Q236" s="377"/>
      <c r="R236" s="377"/>
      <c r="S236" s="376"/>
      <c r="T236" s="297"/>
      <c r="U236" s="377"/>
      <c r="V236" s="376"/>
      <c r="W236" s="377"/>
      <c r="X236" s="376"/>
      <c r="Y236" s="376"/>
      <c r="Z236" s="376"/>
      <c r="AA236" s="376"/>
      <c r="AB236" s="376"/>
      <c r="AC236" s="376"/>
      <c r="AD236" s="376"/>
      <c r="AE236" s="131"/>
      <c r="AF236" s="1"/>
    </row>
    <row r="237" spans="1:32" s="11" customFormat="1" ht="21" customHeight="1">
      <c r="A237" s="46"/>
      <c r="B237" s="36" t="s">
        <v>87</v>
      </c>
      <c r="C237" s="165" t="s">
        <v>141</v>
      </c>
      <c r="D237" s="166">
        <f t="shared" ref="D237:L237" si="12">SUM(D238,D244,D256,D263,D270,D277,D286,D290,D295,D302,D315,D321,D327,D335)</f>
        <v>103250</v>
      </c>
      <c r="E237" s="166">
        <f t="shared" si="12"/>
        <v>103626</v>
      </c>
      <c r="F237" s="166">
        <f t="shared" si="12"/>
        <v>800</v>
      </c>
      <c r="G237" s="166">
        <f t="shared" si="12"/>
        <v>5000</v>
      </c>
      <c r="H237" s="166">
        <f t="shared" si="12"/>
        <v>0</v>
      </c>
      <c r="I237" s="166">
        <f t="shared" si="12"/>
        <v>55927</v>
      </c>
      <c r="J237" s="166">
        <f t="shared" si="12"/>
        <v>30769</v>
      </c>
      <c r="K237" s="166">
        <f t="shared" si="12"/>
        <v>11000</v>
      </c>
      <c r="L237" s="166">
        <f t="shared" si="12"/>
        <v>130</v>
      </c>
      <c r="M237" s="166">
        <f>E237-D237</f>
        <v>376</v>
      </c>
      <c r="N237" s="167">
        <f>IF(D237=0,0,M237/D237)</f>
        <v>3.6416464891041163E-3</v>
      </c>
      <c r="O237" s="168"/>
      <c r="P237" s="168"/>
      <c r="Q237" s="168"/>
      <c r="R237" s="168"/>
      <c r="S237" s="168"/>
      <c r="T237" s="169"/>
      <c r="U237" s="169"/>
      <c r="V237" s="169"/>
      <c r="W237" s="169"/>
      <c r="X237" s="169"/>
      <c r="Y237" s="169" t="s">
        <v>28</v>
      </c>
      <c r="Z237" s="169"/>
      <c r="AA237" s="169"/>
      <c r="AB237" s="169"/>
      <c r="AC237" s="171"/>
      <c r="AD237" s="171">
        <f>SUM(AD238,AD244,AD256,AD263,AD270,AD277,AD286,AD290,AD295,AD302,AD315,AD321,AD327,AD335)</f>
        <v>103626000</v>
      </c>
      <c r="AE237" s="170" t="s">
        <v>25</v>
      </c>
      <c r="AF237" s="1"/>
    </row>
    <row r="238" spans="1:32" s="15" customFormat="1" ht="24" customHeight="1">
      <c r="A238" s="46"/>
      <c r="B238" s="46" t="s">
        <v>310</v>
      </c>
      <c r="C238" s="36" t="s">
        <v>309</v>
      </c>
      <c r="D238" s="458">
        <v>9518</v>
      </c>
      <c r="E238" s="103">
        <f>ROUND(AD238/1000,0)</f>
        <v>5990</v>
      </c>
      <c r="F238" s="108">
        <f>SUMIF($AB$239:$AB$243,"보조",$AD$239:$AD$243)/1000</f>
        <v>0</v>
      </c>
      <c r="G238" s="108">
        <f>SUMIF($AB$239:$AB$243,"7종",$AD$239:$AD$243)/1000</f>
        <v>0</v>
      </c>
      <c r="H238" s="108">
        <f>SUMIF($AB$239:$AB$243,"4종",$AD$239:$AD$243)/1000</f>
        <v>0</v>
      </c>
      <c r="I238" s="108">
        <f>SUMIF($AB$239:$AB$243,"후원",$AD$239:$AD$243)/1000</f>
        <v>3070</v>
      </c>
      <c r="J238" s="108">
        <f>SUMIF($AB$239:$AB$243,"입소",$AD$239:$AD$243)/1000</f>
        <v>2920</v>
      </c>
      <c r="K238" s="108">
        <f>SUMIF($AB$239:$AB$243,"법인",$AD$239:$AD$243)/1000</f>
        <v>0</v>
      </c>
      <c r="L238" s="108">
        <f>SUMIF($AB$239:$AB$243,"잡수",$AD$239:$AD$243)/1000</f>
        <v>0</v>
      </c>
      <c r="M238" s="103">
        <f>E238-D238</f>
        <v>-3528</v>
      </c>
      <c r="N238" s="68">
        <f>IF(D238=0,0,M238/D238)</f>
        <v>-0.37066610632485819</v>
      </c>
      <c r="O238" s="446"/>
      <c r="P238" s="157"/>
      <c r="Q238" s="157"/>
      <c r="R238" s="157"/>
      <c r="S238" s="157"/>
      <c r="T238" s="86"/>
      <c r="U238" s="86"/>
      <c r="V238" s="86"/>
      <c r="W238" s="139" t="s">
        <v>130</v>
      </c>
      <c r="X238" s="139"/>
      <c r="Y238" s="139"/>
      <c r="Z238" s="139"/>
      <c r="AA238" s="139"/>
      <c r="AB238" s="139"/>
      <c r="AC238" s="140"/>
      <c r="AD238" s="140">
        <f>SUM(AD239:AD243)</f>
        <v>5990000</v>
      </c>
      <c r="AE238" s="141" t="s">
        <v>25</v>
      </c>
      <c r="AF238" s="16"/>
    </row>
    <row r="239" spans="1:32" s="15" customFormat="1" ht="24" customHeight="1">
      <c r="A239" s="46"/>
      <c r="B239" s="46"/>
      <c r="C239" s="46" t="s">
        <v>310</v>
      </c>
      <c r="D239" s="154"/>
      <c r="E239" s="103"/>
      <c r="F239" s="103"/>
      <c r="G239" s="103"/>
      <c r="H239" s="103"/>
      <c r="I239" s="103"/>
      <c r="J239" s="103"/>
      <c r="K239" s="103"/>
      <c r="L239" s="103"/>
      <c r="M239" s="103"/>
      <c r="N239" s="68"/>
      <c r="O239" s="443" t="s">
        <v>311</v>
      </c>
      <c r="P239" s="443"/>
      <c r="Q239" s="443"/>
      <c r="R239" s="443"/>
      <c r="S239" s="443"/>
      <c r="T239" s="442"/>
      <c r="U239" s="442"/>
      <c r="V239" s="442"/>
      <c r="W239" s="442"/>
      <c r="X239" s="442"/>
      <c r="Y239" s="598"/>
      <c r="Z239" s="442"/>
      <c r="AA239" s="442"/>
      <c r="AB239" s="378" t="s">
        <v>814</v>
      </c>
      <c r="AC239" s="539"/>
      <c r="AD239" s="539">
        <v>2230000</v>
      </c>
      <c r="AE239" s="628" t="s">
        <v>812</v>
      </c>
      <c r="AF239" s="16"/>
    </row>
    <row r="240" spans="1:32" s="15" customFormat="1" ht="24" customHeight="1">
      <c r="A240" s="46"/>
      <c r="B240" s="46"/>
      <c r="C240" s="46"/>
      <c r="D240" s="154"/>
      <c r="E240" s="103"/>
      <c r="F240" s="103"/>
      <c r="G240" s="103"/>
      <c r="H240" s="103"/>
      <c r="I240" s="103"/>
      <c r="J240" s="103"/>
      <c r="K240" s="103"/>
      <c r="L240" s="103"/>
      <c r="M240" s="103"/>
      <c r="N240" s="68"/>
      <c r="O240" s="599"/>
      <c r="P240" s="599"/>
      <c r="Q240" s="599"/>
      <c r="R240" s="599"/>
      <c r="S240" s="599"/>
      <c r="T240" s="598"/>
      <c r="U240" s="598"/>
      <c r="V240" s="598"/>
      <c r="W240" s="598"/>
      <c r="X240" s="598"/>
      <c r="Y240" s="598"/>
      <c r="Z240" s="598"/>
      <c r="AA240" s="598"/>
      <c r="AB240" s="378" t="s">
        <v>815</v>
      </c>
      <c r="AC240" s="539"/>
      <c r="AD240" s="539">
        <v>2610000</v>
      </c>
      <c r="AE240" s="628" t="s">
        <v>812</v>
      </c>
      <c r="AF240" s="587"/>
    </row>
    <row r="241" spans="1:33" s="15" customFormat="1" ht="24" customHeight="1">
      <c r="A241" s="46"/>
      <c r="B241" s="46"/>
      <c r="C241" s="46"/>
      <c r="D241" s="154"/>
      <c r="E241" s="103"/>
      <c r="F241" s="103"/>
      <c r="G241" s="103"/>
      <c r="H241" s="103"/>
      <c r="I241" s="103"/>
      <c r="J241" s="103"/>
      <c r="K241" s="103"/>
      <c r="L241" s="103"/>
      <c r="M241" s="103"/>
      <c r="N241" s="68"/>
      <c r="O241" s="599" t="s">
        <v>718</v>
      </c>
      <c r="P241" s="599"/>
      <c r="Q241" s="599"/>
      <c r="R241" s="599"/>
      <c r="S241" s="598"/>
      <c r="T241" s="598"/>
      <c r="U241" s="599"/>
      <c r="V241" s="598"/>
      <c r="W241" s="598"/>
      <c r="X241" s="598"/>
      <c r="Y241" s="598"/>
      <c r="Z241" s="598"/>
      <c r="AA241" s="598"/>
      <c r="AB241" s="598" t="s">
        <v>719</v>
      </c>
      <c r="AC241" s="598"/>
      <c r="AD241" s="598">
        <v>310000</v>
      </c>
      <c r="AE241" s="131" t="s">
        <v>25</v>
      </c>
      <c r="AF241" s="16"/>
    </row>
    <row r="242" spans="1:33" s="15" customFormat="1" ht="24" customHeight="1">
      <c r="A242" s="46"/>
      <c r="B242" s="46"/>
      <c r="C242" s="46"/>
      <c r="D242" s="151"/>
      <c r="E242" s="103"/>
      <c r="F242" s="103"/>
      <c r="G242" s="103"/>
      <c r="H242" s="103"/>
      <c r="I242" s="103"/>
      <c r="J242" s="103"/>
      <c r="K242" s="103"/>
      <c r="L242" s="103"/>
      <c r="M242" s="103"/>
      <c r="N242" s="68"/>
      <c r="O242" s="602" t="s">
        <v>772</v>
      </c>
      <c r="P242" s="599"/>
      <c r="Q242" s="599"/>
      <c r="R242" s="599"/>
      <c r="S242" s="598"/>
      <c r="T242" s="297"/>
      <c r="U242" s="297"/>
      <c r="V242" s="598"/>
      <c r="W242" s="599"/>
      <c r="X242" s="598"/>
      <c r="Y242" s="409"/>
      <c r="Z242" s="409"/>
      <c r="AA242" s="409"/>
      <c r="AB242" s="631" t="s">
        <v>813</v>
      </c>
      <c r="AC242" s="409"/>
      <c r="AD242" s="447">
        <v>840000</v>
      </c>
      <c r="AE242" s="412" t="s">
        <v>775</v>
      </c>
      <c r="AF242" s="16"/>
    </row>
    <row r="243" spans="1:33" s="15" customFormat="1" ht="24" customHeight="1">
      <c r="A243" s="46"/>
      <c r="B243" s="46"/>
      <c r="C243" s="59"/>
      <c r="D243" s="152"/>
      <c r="E243" s="105"/>
      <c r="F243" s="105"/>
      <c r="G243" s="105"/>
      <c r="H243" s="105"/>
      <c r="I243" s="105"/>
      <c r="J243" s="105"/>
      <c r="K243" s="105"/>
      <c r="L243" s="105"/>
      <c r="M243" s="105"/>
      <c r="N243" s="82"/>
      <c r="O243" s="597"/>
      <c r="P243" s="597"/>
      <c r="Q243" s="597"/>
      <c r="R243" s="597"/>
      <c r="S243" s="596"/>
      <c r="T243" s="596"/>
      <c r="U243" s="597"/>
      <c r="V243" s="596"/>
      <c r="W243" s="596"/>
      <c r="X243" s="596"/>
      <c r="Y243" s="596"/>
      <c r="Z243" s="596"/>
      <c r="AA243" s="596"/>
      <c r="AB243" s="596"/>
      <c r="AC243" s="596"/>
      <c r="AD243" s="596"/>
      <c r="AE243" s="401"/>
      <c r="AF243" s="16"/>
    </row>
    <row r="244" spans="1:33" s="15" customFormat="1" ht="24" customHeight="1">
      <c r="A244" s="46"/>
      <c r="B244" s="46"/>
      <c r="C244" s="36" t="s">
        <v>312</v>
      </c>
      <c r="D244" s="153">
        <v>6240</v>
      </c>
      <c r="E244" s="103">
        <f>ROUND(AD244/1000,0)</f>
        <v>6240</v>
      </c>
      <c r="F244" s="108">
        <f>SUMIF($AB$245:$AB$255,"보조",$AD$245:$AD$255)/1000</f>
        <v>800</v>
      </c>
      <c r="G244" s="108">
        <f>SUMIF($AB$245:$AB$255,"7종",$AD$245:$AD$255)/1000</f>
        <v>0</v>
      </c>
      <c r="H244" s="108">
        <f>SUMIF($AB$245:$AB$255,"4종",$AD$245:$AD$255)/1000</f>
        <v>0</v>
      </c>
      <c r="I244" s="108">
        <f>SUMIF($AB$245:$AB$255,"후원",$AD$245:$AD$255)/1000</f>
        <v>2905</v>
      </c>
      <c r="J244" s="108">
        <f>SUMIF($AB$245:$AB$255,"입소",$AD$245:$AD$255)/1000</f>
        <v>2535</v>
      </c>
      <c r="K244" s="108">
        <f>SUMIF($AB$245:$AB$255,"법인",$AD$245:$AD$255)/1000</f>
        <v>0</v>
      </c>
      <c r="L244" s="108">
        <f>SUMIF($AB$245:$AB$255,"잡수",$AD$245:$AD$255)/1000</f>
        <v>0</v>
      </c>
      <c r="M244" s="103">
        <f>E244-D244</f>
        <v>0</v>
      </c>
      <c r="N244" s="68">
        <f>IF(D244=0,0,M244/D244)</f>
        <v>0</v>
      </c>
      <c r="O244" s="288"/>
      <c r="P244" s="305"/>
      <c r="Q244" s="305"/>
      <c r="R244" s="451"/>
      <c r="S244" s="451"/>
      <c r="T244" s="451"/>
      <c r="U244" s="451"/>
      <c r="V244" s="451"/>
      <c r="W244" s="452" t="s">
        <v>130</v>
      </c>
      <c r="X244" s="452"/>
      <c r="Y244" s="452"/>
      <c r="Z244" s="452"/>
      <c r="AA244" s="452"/>
      <c r="AB244" s="452"/>
      <c r="AC244" s="453"/>
      <c r="AD244" s="453">
        <f>SUM(AD245:AD255)</f>
        <v>6240000</v>
      </c>
      <c r="AE244" s="454" t="s">
        <v>25</v>
      </c>
      <c r="AF244" s="16"/>
    </row>
    <row r="245" spans="1:33" s="15" customFormat="1" ht="24" customHeight="1">
      <c r="A245" s="46"/>
      <c r="B245" s="46"/>
      <c r="C245" s="46" t="s">
        <v>310</v>
      </c>
      <c r="D245" s="154"/>
      <c r="E245" s="103"/>
      <c r="F245" s="103"/>
      <c r="G245" s="103"/>
      <c r="H245" s="103"/>
      <c r="I245" s="103"/>
      <c r="J245" s="103"/>
      <c r="K245" s="103"/>
      <c r="L245" s="103"/>
      <c r="M245" s="103"/>
      <c r="N245" s="68"/>
      <c r="O245" s="445" t="s">
        <v>337</v>
      </c>
      <c r="P245" s="443"/>
      <c r="Q245" s="443"/>
      <c r="R245" s="443"/>
      <c r="S245" s="443"/>
      <c r="T245" s="442"/>
      <c r="U245" s="442"/>
      <c r="V245" s="442"/>
      <c r="W245" s="442"/>
      <c r="X245" s="442"/>
      <c r="Y245" s="442"/>
      <c r="Z245" s="442"/>
      <c r="AA245" s="442"/>
      <c r="AB245" s="442"/>
      <c r="AC245" s="130"/>
      <c r="AD245" s="130"/>
      <c r="AE245" s="131"/>
      <c r="AF245" s="16"/>
    </row>
    <row r="246" spans="1:33" s="15" customFormat="1" ht="24" customHeight="1">
      <c r="A246" s="46"/>
      <c r="B246" s="46"/>
      <c r="C246" s="46"/>
      <c r="D246" s="154"/>
      <c r="E246" s="103"/>
      <c r="F246" s="103"/>
      <c r="G246" s="103"/>
      <c r="H246" s="103"/>
      <c r="I246" s="103"/>
      <c r="J246" s="103"/>
      <c r="K246" s="103"/>
      <c r="L246" s="103"/>
      <c r="M246" s="103"/>
      <c r="N246" s="68"/>
      <c r="O246" s="445" t="s">
        <v>338</v>
      </c>
      <c r="P246" s="402"/>
      <c r="Q246" s="402"/>
      <c r="R246" s="398"/>
      <c r="S246" s="444">
        <v>30000</v>
      </c>
      <c r="T246" s="297" t="s">
        <v>56</v>
      </c>
      <c r="U246" s="297" t="s">
        <v>26</v>
      </c>
      <c r="V246" s="444">
        <v>4</v>
      </c>
      <c r="W246" s="445" t="s">
        <v>339</v>
      </c>
      <c r="X246" s="444"/>
      <c r="Y246" s="410"/>
      <c r="Z246" s="410" t="s">
        <v>53</v>
      </c>
      <c r="AA246" s="410"/>
      <c r="AB246" s="588" t="s">
        <v>648</v>
      </c>
      <c r="AC246" s="588"/>
      <c r="AD246" s="589">
        <f>S246*V246</f>
        <v>120000</v>
      </c>
      <c r="AE246" s="412" t="s">
        <v>775</v>
      </c>
      <c r="AF246" s="16"/>
    </row>
    <row r="247" spans="1:33" s="15" customFormat="1" ht="24" customHeight="1">
      <c r="A247" s="46"/>
      <c r="B247" s="46"/>
      <c r="C247" s="46"/>
      <c r="D247" s="154"/>
      <c r="E247" s="103"/>
      <c r="F247" s="103"/>
      <c r="G247" s="103"/>
      <c r="H247" s="103"/>
      <c r="I247" s="103"/>
      <c r="J247" s="103"/>
      <c r="K247" s="103"/>
      <c r="L247" s="103"/>
      <c r="M247" s="103"/>
      <c r="N247" s="68"/>
      <c r="O247" s="445" t="s">
        <v>340</v>
      </c>
      <c r="P247" s="402"/>
      <c r="Q247" s="402"/>
      <c r="R247" s="398"/>
      <c r="S247" s="444">
        <v>100000</v>
      </c>
      <c r="T247" s="297" t="s">
        <v>56</v>
      </c>
      <c r="U247" s="297" t="s">
        <v>26</v>
      </c>
      <c r="V247" s="414">
        <v>4</v>
      </c>
      <c r="W247" s="297" t="s">
        <v>26</v>
      </c>
      <c r="X247" s="297">
        <v>2</v>
      </c>
      <c r="Y247" s="410" t="s">
        <v>341</v>
      </c>
      <c r="Z247" s="410" t="s">
        <v>53</v>
      </c>
      <c r="AA247" s="410"/>
      <c r="AB247" s="277" t="s">
        <v>648</v>
      </c>
      <c r="AC247" s="588"/>
      <c r="AD247" s="589">
        <f>S247*V247*X247</f>
        <v>800000</v>
      </c>
      <c r="AE247" s="412" t="s">
        <v>775</v>
      </c>
      <c r="AF247" s="16"/>
    </row>
    <row r="248" spans="1:33" s="15" customFormat="1" ht="24" customHeight="1">
      <c r="A248" s="46"/>
      <c r="B248" s="46"/>
      <c r="C248" s="46"/>
      <c r="D248" s="154"/>
      <c r="E248" s="103"/>
      <c r="F248" s="103"/>
      <c r="G248" s="103"/>
      <c r="H248" s="103"/>
      <c r="I248" s="103"/>
      <c r="J248" s="103"/>
      <c r="K248" s="103"/>
      <c r="L248" s="103"/>
      <c r="M248" s="103"/>
      <c r="N248" s="68"/>
      <c r="O248" s="528" t="s">
        <v>538</v>
      </c>
      <c r="P248" s="402"/>
      <c r="Q248" s="402"/>
      <c r="R248" s="398"/>
      <c r="S248" s="398"/>
      <c r="T248" s="398"/>
      <c r="U248" s="398"/>
      <c r="V248" s="398"/>
      <c r="W248" s="403"/>
      <c r="X248" s="403"/>
      <c r="Y248" s="403"/>
      <c r="Z248" s="403"/>
      <c r="AA248" s="403"/>
      <c r="AB248" s="588" t="s">
        <v>648</v>
      </c>
      <c r="AC248" s="590"/>
      <c r="AD248" s="280">
        <v>300000</v>
      </c>
      <c r="AE248" s="131" t="s">
        <v>775</v>
      </c>
      <c r="AF248" s="16"/>
    </row>
    <row r="249" spans="1:33" s="15" customFormat="1" ht="24" customHeight="1">
      <c r="A249" s="46"/>
      <c r="B249" s="46"/>
      <c r="C249" s="46"/>
      <c r="D249" s="154"/>
      <c r="E249" s="103"/>
      <c r="F249" s="103"/>
      <c r="G249" s="103"/>
      <c r="H249" s="103"/>
      <c r="I249" s="103"/>
      <c r="J249" s="103"/>
      <c r="K249" s="103"/>
      <c r="L249" s="103"/>
      <c r="M249" s="103"/>
      <c r="N249" s="68"/>
      <c r="O249" s="532" t="s">
        <v>543</v>
      </c>
      <c r="P249" s="260"/>
      <c r="Q249" s="260"/>
      <c r="R249" s="256"/>
      <c r="S249" s="256"/>
      <c r="T249" s="256"/>
      <c r="U249" s="256"/>
      <c r="V249" s="256"/>
      <c r="W249" s="261"/>
      <c r="X249" s="261"/>
      <c r="Y249" s="261"/>
      <c r="Z249" s="261"/>
      <c r="AA249" s="261"/>
      <c r="AB249" s="588" t="s">
        <v>648</v>
      </c>
      <c r="AC249" s="590"/>
      <c r="AD249" s="280">
        <v>30000</v>
      </c>
      <c r="AE249" s="131" t="s">
        <v>775</v>
      </c>
      <c r="AF249" s="16"/>
    </row>
    <row r="250" spans="1:33" s="15" customFormat="1" ht="24" customHeight="1">
      <c r="A250" s="46"/>
      <c r="B250" s="46"/>
      <c r="C250" s="46"/>
      <c r="D250" s="154"/>
      <c r="E250" s="103"/>
      <c r="F250" s="103"/>
      <c r="G250" s="103"/>
      <c r="H250" s="103"/>
      <c r="I250" s="103"/>
      <c r="J250" s="103"/>
      <c r="K250" s="103"/>
      <c r="L250" s="103"/>
      <c r="M250" s="103"/>
      <c r="N250" s="68"/>
      <c r="O250" s="557" t="s">
        <v>593</v>
      </c>
      <c r="P250" s="402"/>
      <c r="Q250" s="402"/>
      <c r="R250" s="398"/>
      <c r="S250" s="444">
        <v>100000</v>
      </c>
      <c r="T250" s="297" t="s">
        <v>56</v>
      </c>
      <c r="U250" s="297" t="s">
        <v>26</v>
      </c>
      <c r="V250" s="415">
        <v>3</v>
      </c>
      <c r="W250" s="297" t="s">
        <v>26</v>
      </c>
      <c r="X250" s="297">
        <v>4</v>
      </c>
      <c r="Y250" s="410" t="s">
        <v>66</v>
      </c>
      <c r="Z250" s="410" t="s">
        <v>53</v>
      </c>
      <c r="AA250" s="410"/>
      <c r="AB250" s="277" t="s">
        <v>648</v>
      </c>
      <c r="AC250" s="588"/>
      <c r="AD250" s="589">
        <v>1600000</v>
      </c>
      <c r="AE250" s="412" t="s">
        <v>775</v>
      </c>
      <c r="AF250" s="16"/>
    </row>
    <row r="251" spans="1:33" s="15" customFormat="1" ht="24" customHeight="1">
      <c r="A251" s="46"/>
      <c r="B251" s="46"/>
      <c r="C251" s="46"/>
      <c r="D251" s="154"/>
      <c r="E251" s="103"/>
      <c r="F251" s="103"/>
      <c r="G251" s="103"/>
      <c r="H251" s="103"/>
      <c r="I251" s="103"/>
      <c r="J251" s="103"/>
      <c r="K251" s="103"/>
      <c r="L251" s="103"/>
      <c r="M251" s="103"/>
      <c r="N251" s="68"/>
      <c r="O251" s="445"/>
      <c r="P251" s="713" t="s">
        <v>544</v>
      </c>
      <c r="Q251" s="713"/>
      <c r="R251" s="713"/>
      <c r="S251" s="531">
        <v>100000</v>
      </c>
      <c r="T251" s="297" t="s">
        <v>545</v>
      </c>
      <c r="U251" s="297" t="s">
        <v>26</v>
      </c>
      <c r="V251" s="415">
        <v>1</v>
      </c>
      <c r="W251" s="297" t="s">
        <v>26</v>
      </c>
      <c r="X251" s="297">
        <v>8</v>
      </c>
      <c r="Y251" s="410" t="s">
        <v>546</v>
      </c>
      <c r="Z251" s="410" t="s">
        <v>547</v>
      </c>
      <c r="AA251" s="410"/>
      <c r="AB251" s="531" t="s">
        <v>548</v>
      </c>
      <c r="AC251" s="410"/>
      <c r="AD251" s="411">
        <f>S251*V251*X251</f>
        <v>800000</v>
      </c>
      <c r="AE251" s="412" t="s">
        <v>775</v>
      </c>
      <c r="AF251" s="16"/>
    </row>
    <row r="252" spans="1:33" s="15" customFormat="1" ht="24" customHeight="1">
      <c r="A252" s="46"/>
      <c r="B252" s="46"/>
      <c r="C252" s="46"/>
      <c r="D252" s="154"/>
      <c r="E252" s="103"/>
      <c r="F252" s="103"/>
      <c r="G252" s="103"/>
      <c r="H252" s="103"/>
      <c r="I252" s="103"/>
      <c r="J252" s="103"/>
      <c r="K252" s="103"/>
      <c r="L252" s="103"/>
      <c r="M252" s="103"/>
      <c r="N252" s="68"/>
      <c r="O252" s="602" t="s">
        <v>768</v>
      </c>
      <c r="P252" s="443"/>
      <c r="Q252" s="443"/>
      <c r="R252" s="443"/>
      <c r="S252" s="443"/>
      <c r="T252" s="442"/>
      <c r="U252" s="442"/>
      <c r="V252" s="442"/>
      <c r="W252" s="442"/>
      <c r="X252" s="442"/>
      <c r="Y252" s="442"/>
      <c r="Z252" s="442"/>
      <c r="AA252" s="442"/>
      <c r="AB252" s="584" t="s">
        <v>658</v>
      </c>
      <c r="AC252" s="130"/>
      <c r="AD252" s="130">
        <v>1450000</v>
      </c>
      <c r="AE252" s="131" t="s">
        <v>775</v>
      </c>
      <c r="AF252" s="16"/>
      <c r="AG252" s="16"/>
    </row>
    <row r="253" spans="1:33" s="15" customFormat="1" ht="24" customHeight="1">
      <c r="A253" s="46"/>
      <c r="B253" s="46"/>
      <c r="C253" s="46"/>
      <c r="D253" s="154"/>
      <c r="E253" s="103"/>
      <c r="F253" s="103"/>
      <c r="G253" s="103"/>
      <c r="H253" s="103"/>
      <c r="I253" s="103"/>
      <c r="J253" s="103"/>
      <c r="K253" s="103"/>
      <c r="L253" s="103"/>
      <c r="M253" s="103"/>
      <c r="N253" s="68"/>
      <c r="O253" s="602" t="s">
        <v>769</v>
      </c>
      <c r="P253" s="570"/>
      <c r="Q253" s="570"/>
      <c r="R253" s="570"/>
      <c r="S253" s="570"/>
      <c r="T253" s="569"/>
      <c r="U253" s="569"/>
      <c r="V253" s="569"/>
      <c r="W253" s="569"/>
      <c r="X253" s="569"/>
      <c r="Y253" s="569"/>
      <c r="Z253" s="569"/>
      <c r="AA253" s="569"/>
      <c r="AB253" s="569" t="s">
        <v>641</v>
      </c>
      <c r="AC253" s="130"/>
      <c r="AD253" s="130">
        <v>900000</v>
      </c>
      <c r="AE253" s="131" t="s">
        <v>775</v>
      </c>
      <c r="AF253" s="16"/>
      <c r="AG253" s="16"/>
    </row>
    <row r="254" spans="1:33" s="15" customFormat="1" ht="24" customHeight="1">
      <c r="A254" s="46"/>
      <c r="B254" s="46"/>
      <c r="C254" s="46"/>
      <c r="D254" s="154"/>
      <c r="E254" s="103"/>
      <c r="F254" s="103"/>
      <c r="G254" s="103"/>
      <c r="H254" s="103"/>
      <c r="I254" s="103"/>
      <c r="J254" s="103"/>
      <c r="K254" s="103"/>
      <c r="L254" s="103"/>
      <c r="M254" s="103"/>
      <c r="N254" s="68"/>
      <c r="O254" s="602" t="s">
        <v>770</v>
      </c>
      <c r="P254" s="570"/>
      <c r="Q254" s="570"/>
      <c r="R254" s="570"/>
      <c r="S254" s="570"/>
      <c r="T254" s="569"/>
      <c r="U254" s="569"/>
      <c r="V254" s="569"/>
      <c r="W254" s="569"/>
      <c r="X254" s="569"/>
      <c r="Y254" s="569"/>
      <c r="Z254" s="569"/>
      <c r="AA254" s="569"/>
      <c r="AB254" s="569" t="s">
        <v>641</v>
      </c>
      <c r="AC254" s="130"/>
      <c r="AD254" s="130">
        <v>185000</v>
      </c>
      <c r="AE254" s="131" t="s">
        <v>775</v>
      </c>
      <c r="AF254" s="16"/>
      <c r="AG254" s="16"/>
    </row>
    <row r="255" spans="1:33" s="15" customFormat="1" ht="24" customHeight="1">
      <c r="A255" s="46"/>
      <c r="B255" s="46"/>
      <c r="C255" s="59"/>
      <c r="D255" s="155"/>
      <c r="E255" s="105"/>
      <c r="F255" s="105"/>
      <c r="G255" s="105"/>
      <c r="H255" s="105"/>
      <c r="I255" s="105"/>
      <c r="J255" s="105"/>
      <c r="K255" s="105"/>
      <c r="L255" s="105"/>
      <c r="M255" s="105"/>
      <c r="N255" s="82"/>
      <c r="O255" s="441"/>
      <c r="P255" s="441"/>
      <c r="Q255" s="441"/>
      <c r="R255" s="441"/>
      <c r="S255" s="441"/>
      <c r="T255" s="440"/>
      <c r="U255" s="440"/>
      <c r="V255" s="440"/>
      <c r="W255" s="440"/>
      <c r="X255" s="440"/>
      <c r="Y255" s="440"/>
      <c r="Z255" s="440"/>
      <c r="AA255" s="440"/>
      <c r="AB255" s="629" t="s">
        <v>813</v>
      </c>
      <c r="AC255" s="413"/>
      <c r="AD255" s="413">
        <v>55000</v>
      </c>
      <c r="AE255" s="131" t="s">
        <v>56</v>
      </c>
      <c r="AF255" s="16"/>
      <c r="AG255" s="16"/>
    </row>
    <row r="256" spans="1:33" s="15" customFormat="1" ht="24" customHeight="1">
      <c r="A256" s="46"/>
      <c r="B256" s="46"/>
      <c r="C256" s="36" t="s">
        <v>313</v>
      </c>
      <c r="D256" s="458">
        <v>1560</v>
      </c>
      <c r="E256" s="107">
        <f>ROUND(AD256/1000,0)</f>
        <v>1560</v>
      </c>
      <c r="F256" s="108">
        <f>SUMIF($AB$257:$AB$262,"보조",$AD$257:$AD$262)/1000</f>
        <v>0</v>
      </c>
      <c r="G256" s="108">
        <f>SUMIF($AB$257:$AB$262,"7종",$AD$257:$AD$262)/1000</f>
        <v>0</v>
      </c>
      <c r="H256" s="108">
        <f>SUMIF($AB$257:$AB$262,"4종",$AD$257:$AD$262)/1000</f>
        <v>0</v>
      </c>
      <c r="I256" s="108">
        <f>SUMIF($AB$257:$AB$262,"후원",$AD$257:$AD$262)/1000</f>
        <v>1350</v>
      </c>
      <c r="J256" s="108">
        <f>SUMIF($AB$257:$AB$262,"입소",$AD$257:$AD$262)/1000</f>
        <v>210</v>
      </c>
      <c r="K256" s="108">
        <f>SUMIF($AB$257:$AB$262,"법인",$AD$257:$AD$262)/1000</f>
        <v>0</v>
      </c>
      <c r="L256" s="108">
        <f>SUMIF($AB$257:$AB$262,"잡수",$AD$257:$AD$262)/1000</f>
        <v>0</v>
      </c>
      <c r="M256" s="107">
        <f>E256-D256</f>
        <v>0</v>
      </c>
      <c r="N256" s="115">
        <f>IF(D256=0,0,M256/D256)</f>
        <v>0</v>
      </c>
      <c r="O256" s="288"/>
      <c r="P256" s="305"/>
      <c r="Q256" s="305"/>
      <c r="R256" s="451"/>
      <c r="S256" s="451"/>
      <c r="T256" s="451"/>
      <c r="U256" s="451"/>
      <c r="V256" s="451"/>
      <c r="W256" s="452" t="s">
        <v>130</v>
      </c>
      <c r="X256" s="452"/>
      <c r="Y256" s="452"/>
      <c r="Z256" s="452"/>
      <c r="AA256" s="452"/>
      <c r="AB256" s="452"/>
      <c r="AC256" s="453"/>
      <c r="AD256" s="453">
        <f>SUM(AD257:AD261)</f>
        <v>1560000</v>
      </c>
      <c r="AE256" s="454" t="s">
        <v>25</v>
      </c>
      <c r="AF256" s="16"/>
      <c r="AG256" s="16"/>
    </row>
    <row r="257" spans="1:33" s="15" customFormat="1" ht="24" customHeight="1">
      <c r="A257" s="46"/>
      <c r="B257" s="46"/>
      <c r="C257" s="46" t="s">
        <v>310</v>
      </c>
      <c r="D257" s="154"/>
      <c r="E257" s="103"/>
      <c r="F257" s="103"/>
      <c r="G257" s="103"/>
      <c r="H257" s="103"/>
      <c r="I257" s="103"/>
      <c r="J257" s="103"/>
      <c r="K257" s="103"/>
      <c r="L257" s="103"/>
      <c r="M257" s="103"/>
      <c r="N257" s="68"/>
      <c r="O257" s="443" t="s">
        <v>314</v>
      </c>
      <c r="P257" s="402"/>
      <c r="Q257" s="402"/>
      <c r="R257" s="398"/>
      <c r="S257" s="398"/>
      <c r="T257" s="398"/>
      <c r="U257" s="398"/>
      <c r="V257" s="398"/>
      <c r="W257" s="442"/>
      <c r="X257" s="442"/>
      <c r="Y257" s="442"/>
      <c r="Z257" s="442"/>
      <c r="AA257" s="442"/>
      <c r="AB257" s="277" t="s">
        <v>648</v>
      </c>
      <c r="AC257" s="280"/>
      <c r="AD257" s="280">
        <v>200000</v>
      </c>
      <c r="AE257" s="131" t="s">
        <v>775</v>
      </c>
      <c r="AF257" s="16"/>
      <c r="AG257" s="16"/>
    </row>
    <row r="258" spans="1:33" s="15" customFormat="1" ht="24" customHeight="1">
      <c r="A258" s="46"/>
      <c r="B258" s="46"/>
      <c r="C258" s="46"/>
      <c r="D258" s="154"/>
      <c r="E258" s="103"/>
      <c r="F258" s="103"/>
      <c r="G258" s="103"/>
      <c r="H258" s="103"/>
      <c r="I258" s="103"/>
      <c r="J258" s="103"/>
      <c r="K258" s="103"/>
      <c r="L258" s="103"/>
      <c r="M258" s="103"/>
      <c r="N258" s="68"/>
      <c r="O258" s="528" t="s">
        <v>539</v>
      </c>
      <c r="P258" s="402"/>
      <c r="Q258" s="402"/>
      <c r="R258" s="398"/>
      <c r="S258" s="398"/>
      <c r="T258" s="398"/>
      <c r="U258" s="398"/>
      <c r="V258" s="398"/>
      <c r="W258" s="442"/>
      <c r="X258" s="442"/>
      <c r="Y258" s="442"/>
      <c r="Z258" s="442"/>
      <c r="AA258" s="442"/>
      <c r="AB258" s="598" t="s">
        <v>704</v>
      </c>
      <c r="AC258" s="130"/>
      <c r="AD258" s="130">
        <v>700000</v>
      </c>
      <c r="AE258" s="131" t="s">
        <v>775</v>
      </c>
      <c r="AF258" s="16"/>
      <c r="AG258" s="16"/>
    </row>
    <row r="259" spans="1:33" s="15" customFormat="1" ht="24" customHeight="1">
      <c r="A259" s="46"/>
      <c r="B259" s="46"/>
      <c r="C259" s="46"/>
      <c r="D259" s="151"/>
      <c r="E259" s="103"/>
      <c r="F259" s="103"/>
      <c r="G259" s="103"/>
      <c r="H259" s="103"/>
      <c r="I259" s="103"/>
      <c r="J259" s="103"/>
      <c r="K259" s="103"/>
      <c r="L259" s="103"/>
      <c r="M259" s="103"/>
      <c r="N259" s="68"/>
      <c r="O259" s="443" t="s">
        <v>315</v>
      </c>
      <c r="P259" s="443"/>
      <c r="Q259" s="443"/>
      <c r="R259" s="443"/>
      <c r="S259" s="442"/>
      <c r="T259" s="442"/>
      <c r="U259" s="443"/>
      <c r="V259" s="442"/>
      <c r="W259" s="442"/>
      <c r="X259" s="442"/>
      <c r="Y259" s="442"/>
      <c r="Z259" s="442"/>
      <c r="AA259" s="442"/>
      <c r="AB259" s="442" t="s">
        <v>213</v>
      </c>
      <c r="AC259" s="442"/>
      <c r="AD259" s="442">
        <v>60000</v>
      </c>
      <c r="AE259" s="131" t="s">
        <v>25</v>
      </c>
      <c r="AF259" s="16"/>
      <c r="AG259" s="16"/>
    </row>
    <row r="260" spans="1:33" s="15" customFormat="1" ht="24" customHeight="1">
      <c r="A260" s="46"/>
      <c r="B260" s="46"/>
      <c r="C260" s="46"/>
      <c r="D260" s="151"/>
      <c r="E260" s="103"/>
      <c r="F260" s="103"/>
      <c r="G260" s="103"/>
      <c r="H260" s="103"/>
      <c r="I260" s="103"/>
      <c r="J260" s="103"/>
      <c r="K260" s="103"/>
      <c r="L260" s="103"/>
      <c r="M260" s="103"/>
      <c r="N260" s="68"/>
      <c r="O260" s="570" t="s">
        <v>643</v>
      </c>
      <c r="P260" s="570"/>
      <c r="Q260" s="570"/>
      <c r="R260" s="570"/>
      <c r="S260" s="569"/>
      <c r="T260" s="569"/>
      <c r="U260" s="570"/>
      <c r="V260" s="569"/>
      <c r="W260" s="569"/>
      <c r="X260" s="569"/>
      <c r="Y260" s="569"/>
      <c r="Z260" s="569"/>
      <c r="AA260" s="569"/>
      <c r="AB260" s="569" t="s">
        <v>642</v>
      </c>
      <c r="AC260" s="569"/>
      <c r="AD260" s="569">
        <v>150000</v>
      </c>
      <c r="AE260" s="131" t="s">
        <v>775</v>
      </c>
      <c r="AF260" s="16"/>
    </row>
    <row r="261" spans="1:33" s="15" customFormat="1" ht="24" customHeight="1">
      <c r="A261" s="46"/>
      <c r="B261" s="46"/>
      <c r="C261" s="46"/>
      <c r="D261" s="151"/>
      <c r="E261" s="103"/>
      <c r="F261" s="103"/>
      <c r="G261" s="103"/>
      <c r="H261" s="103"/>
      <c r="I261" s="103"/>
      <c r="J261" s="103"/>
      <c r="K261" s="103"/>
      <c r="L261" s="103"/>
      <c r="M261" s="103"/>
      <c r="N261" s="68"/>
      <c r="O261" s="570" t="s">
        <v>644</v>
      </c>
      <c r="P261" s="570"/>
      <c r="Q261" s="570"/>
      <c r="R261" s="570"/>
      <c r="S261" s="570"/>
      <c r="T261" s="569"/>
      <c r="U261" s="569"/>
      <c r="V261" s="569"/>
      <c r="W261" s="569"/>
      <c r="X261" s="569"/>
      <c r="Y261" s="569"/>
      <c r="Z261" s="569"/>
      <c r="AA261" s="569"/>
      <c r="AB261" s="277" t="s">
        <v>152</v>
      </c>
      <c r="AC261" s="280"/>
      <c r="AD261" s="277">
        <v>450000</v>
      </c>
      <c r="AE261" s="131" t="s">
        <v>25</v>
      </c>
      <c r="AF261" s="16"/>
    </row>
    <row r="262" spans="1:33" s="15" customFormat="1" ht="24" customHeight="1">
      <c r="A262" s="46"/>
      <c r="B262" s="46"/>
      <c r="C262" s="59"/>
      <c r="D262" s="152"/>
      <c r="E262" s="105"/>
      <c r="F262" s="105"/>
      <c r="G262" s="105"/>
      <c r="H262" s="105"/>
      <c r="I262" s="105"/>
      <c r="J262" s="105"/>
      <c r="K262" s="105"/>
      <c r="L262" s="105"/>
      <c r="M262" s="105"/>
      <c r="N262" s="82"/>
      <c r="O262" s="441"/>
      <c r="P262" s="441"/>
      <c r="Q262" s="441"/>
      <c r="R262" s="441"/>
      <c r="S262" s="441"/>
      <c r="T262" s="440"/>
      <c r="U262" s="440"/>
      <c r="V262" s="440"/>
      <c r="W262" s="440"/>
      <c r="X262" s="440"/>
      <c r="Y262" s="440"/>
      <c r="Z262" s="440"/>
      <c r="AA262" s="440"/>
      <c r="AB262" s="440"/>
      <c r="AC262" s="413"/>
      <c r="AD262" s="455"/>
      <c r="AE262" s="401"/>
      <c r="AF262" s="16"/>
    </row>
    <row r="263" spans="1:33" s="15" customFormat="1" ht="24" customHeight="1">
      <c r="A263" s="46"/>
      <c r="B263" s="46"/>
      <c r="C263" s="36" t="s">
        <v>316</v>
      </c>
      <c r="D263" s="153">
        <v>3010</v>
      </c>
      <c r="E263" s="107">
        <f>ROUND(AD263/1000,0)</f>
        <v>3010</v>
      </c>
      <c r="F263" s="108">
        <f>SUMIF($AB$264:$AB$269,"보조",$AD$264:$AD$269)/1000</f>
        <v>0</v>
      </c>
      <c r="G263" s="108">
        <f>SUMIF($AB$264:$AB$269,"7종",$AD$264:$AD$269)/1000</f>
        <v>0</v>
      </c>
      <c r="H263" s="108">
        <f>SUMIF($AB$264:$AB$269,"4종",$AD$264:$AD$269)/1000</f>
        <v>0</v>
      </c>
      <c r="I263" s="108">
        <f>SUMIF($AB$264:$AB$269,"후원",$AD$264:$AD$269)/1000</f>
        <v>2110</v>
      </c>
      <c r="J263" s="108">
        <f>SUMIF($AB$264:$AB$269,"입소",$AD$264:$AD$269)/1000</f>
        <v>770</v>
      </c>
      <c r="K263" s="108">
        <f>SUMIF($AB$264:$AB$269,"법인",$AD$264:$AD$269)/1000</f>
        <v>0</v>
      </c>
      <c r="L263" s="108">
        <f>SUMIF($AB$264:$AB$269,"잡수",$AD$264:$AD$269)/1000</f>
        <v>130</v>
      </c>
      <c r="M263" s="107">
        <f>E263-D263</f>
        <v>0</v>
      </c>
      <c r="N263" s="115">
        <f>IF(D263=0,0,M263/D263)</f>
        <v>0</v>
      </c>
      <c r="O263" s="288"/>
      <c r="P263" s="305"/>
      <c r="Q263" s="305"/>
      <c r="R263" s="451"/>
      <c r="S263" s="451"/>
      <c r="T263" s="451"/>
      <c r="U263" s="451"/>
      <c r="V263" s="451"/>
      <c r="W263" s="452" t="s">
        <v>130</v>
      </c>
      <c r="X263" s="452"/>
      <c r="Y263" s="452"/>
      <c r="Z263" s="452"/>
      <c r="AA263" s="452"/>
      <c r="AB263" s="452"/>
      <c r="AC263" s="453"/>
      <c r="AD263" s="453">
        <f>SUM(AD264:AD268)</f>
        <v>3010000</v>
      </c>
      <c r="AE263" s="454" t="s">
        <v>25</v>
      </c>
      <c r="AF263" s="16"/>
    </row>
    <row r="264" spans="1:33" s="15" customFormat="1" ht="24" customHeight="1">
      <c r="A264" s="46"/>
      <c r="B264" s="46"/>
      <c r="C264" s="46" t="s">
        <v>317</v>
      </c>
      <c r="D264" s="151"/>
      <c r="E264" s="103"/>
      <c r="F264" s="103"/>
      <c r="G264" s="103"/>
      <c r="H264" s="103"/>
      <c r="I264" s="103"/>
      <c r="J264" s="103"/>
      <c r="K264" s="103"/>
      <c r="L264" s="103"/>
      <c r="M264" s="103"/>
      <c r="N264" s="68"/>
      <c r="O264" s="409" t="s">
        <v>722</v>
      </c>
      <c r="P264" s="409"/>
      <c r="Q264" s="409"/>
      <c r="R264" s="409"/>
      <c r="S264" s="598"/>
      <c r="T264" s="297"/>
      <c r="U264" s="297"/>
      <c r="V264" s="598"/>
      <c r="W264" s="599"/>
      <c r="X264" s="598"/>
      <c r="Y264" s="409"/>
      <c r="Z264" s="409"/>
      <c r="AA264" s="409"/>
      <c r="AB264" s="409" t="s">
        <v>816</v>
      </c>
      <c r="AC264" s="409"/>
      <c r="AD264" s="447">
        <v>770000</v>
      </c>
      <c r="AE264" s="412" t="s">
        <v>775</v>
      </c>
      <c r="AF264" s="16"/>
    </row>
    <row r="265" spans="1:33" s="15" customFormat="1" ht="24" customHeight="1">
      <c r="A265" s="46"/>
      <c r="B265" s="46"/>
      <c r="C265" s="46"/>
      <c r="D265" s="151"/>
      <c r="E265" s="103"/>
      <c r="F265" s="103"/>
      <c r="G265" s="103"/>
      <c r="H265" s="103"/>
      <c r="I265" s="103"/>
      <c r="J265" s="103"/>
      <c r="K265" s="103"/>
      <c r="L265" s="103"/>
      <c r="M265" s="103"/>
      <c r="N265" s="68"/>
      <c r="O265" s="409" t="s">
        <v>732</v>
      </c>
      <c r="P265" s="409"/>
      <c r="Q265" s="409"/>
      <c r="R265" s="409"/>
      <c r="S265" s="598"/>
      <c r="T265" s="297"/>
      <c r="U265" s="297"/>
      <c r="V265" s="598"/>
      <c r="W265" s="599"/>
      <c r="X265" s="598"/>
      <c r="Y265" s="409"/>
      <c r="Z265" s="409"/>
      <c r="AA265" s="409"/>
      <c r="AB265" s="409" t="s">
        <v>704</v>
      </c>
      <c r="AC265" s="409"/>
      <c r="AD265" s="447">
        <v>260000</v>
      </c>
      <c r="AE265" s="412" t="s">
        <v>775</v>
      </c>
      <c r="AF265" s="16"/>
    </row>
    <row r="266" spans="1:33" s="15" customFormat="1" ht="24" customHeight="1">
      <c r="A266" s="46"/>
      <c r="B266" s="46"/>
      <c r="C266" s="46"/>
      <c r="D266" s="151"/>
      <c r="E266" s="103"/>
      <c r="F266" s="103"/>
      <c r="G266" s="103"/>
      <c r="H266" s="103"/>
      <c r="I266" s="103"/>
      <c r="J266" s="103"/>
      <c r="K266" s="103"/>
      <c r="L266" s="103"/>
      <c r="M266" s="103"/>
      <c r="N266" s="68"/>
      <c r="O266" s="409" t="s">
        <v>723</v>
      </c>
      <c r="P266" s="409"/>
      <c r="Q266" s="409"/>
      <c r="R266" s="409"/>
      <c r="S266" s="598"/>
      <c r="T266" s="297"/>
      <c r="U266" s="297"/>
      <c r="V266" s="598"/>
      <c r="W266" s="599"/>
      <c r="X266" s="598"/>
      <c r="Y266" s="409"/>
      <c r="Z266" s="409"/>
      <c r="AA266" s="409"/>
      <c r="AB266" s="409" t="s">
        <v>704</v>
      </c>
      <c r="AC266" s="409"/>
      <c r="AD266" s="447">
        <v>1700000</v>
      </c>
      <c r="AE266" s="412" t="s">
        <v>775</v>
      </c>
      <c r="AF266" s="16"/>
    </row>
    <row r="267" spans="1:33" s="15" customFormat="1" ht="24" customHeight="1">
      <c r="A267" s="46"/>
      <c r="B267" s="46"/>
      <c r="C267" s="46"/>
      <c r="D267" s="151"/>
      <c r="E267" s="103"/>
      <c r="F267" s="103"/>
      <c r="G267" s="103"/>
      <c r="H267" s="103"/>
      <c r="I267" s="103"/>
      <c r="J267" s="103"/>
      <c r="K267" s="103"/>
      <c r="L267" s="103"/>
      <c r="M267" s="103"/>
      <c r="N267" s="68"/>
      <c r="O267" s="409" t="s">
        <v>724</v>
      </c>
      <c r="P267" s="409"/>
      <c r="Q267" s="409"/>
      <c r="R267" s="409"/>
      <c r="S267" s="598"/>
      <c r="T267" s="297"/>
      <c r="U267" s="297"/>
      <c r="V267" s="598"/>
      <c r="W267" s="599"/>
      <c r="X267" s="598"/>
      <c r="Y267" s="409"/>
      <c r="Z267" s="409"/>
      <c r="AA267" s="409"/>
      <c r="AB267" s="409" t="s">
        <v>704</v>
      </c>
      <c r="AC267" s="409"/>
      <c r="AD267" s="447">
        <v>150000</v>
      </c>
      <c r="AE267" s="412" t="s">
        <v>775</v>
      </c>
      <c r="AF267" s="16"/>
    </row>
    <row r="268" spans="1:33" s="15" customFormat="1" ht="24" customHeight="1">
      <c r="A268" s="46"/>
      <c r="B268" s="46"/>
      <c r="C268" s="46"/>
      <c r="D268" s="151"/>
      <c r="E268" s="103"/>
      <c r="F268" s="103"/>
      <c r="G268" s="103"/>
      <c r="H268" s="103"/>
      <c r="I268" s="103"/>
      <c r="J268" s="103"/>
      <c r="K268" s="103"/>
      <c r="L268" s="103"/>
      <c r="M268" s="103"/>
      <c r="N268" s="68"/>
      <c r="O268" s="409" t="s">
        <v>725</v>
      </c>
      <c r="P268" s="409"/>
      <c r="Q268" s="409"/>
      <c r="R268" s="409"/>
      <c r="S268" s="598"/>
      <c r="T268" s="297"/>
      <c r="U268" s="297"/>
      <c r="V268" s="598"/>
      <c r="W268" s="599"/>
      <c r="X268" s="598"/>
      <c r="Y268" s="409"/>
      <c r="Z268" s="409"/>
      <c r="AA268" s="409"/>
      <c r="AB268" s="409" t="s">
        <v>91</v>
      </c>
      <c r="AC268" s="409"/>
      <c r="AD268" s="447">
        <v>130000</v>
      </c>
      <c r="AE268" s="412" t="s">
        <v>775</v>
      </c>
      <c r="AF268" s="16"/>
    </row>
    <row r="269" spans="1:33" s="15" customFormat="1" ht="24" customHeight="1">
      <c r="A269" s="46"/>
      <c r="B269" s="46"/>
      <c r="C269" s="59"/>
      <c r="D269" s="152"/>
      <c r="E269" s="105"/>
      <c r="F269" s="105"/>
      <c r="G269" s="105"/>
      <c r="H269" s="105"/>
      <c r="I269" s="105"/>
      <c r="J269" s="105"/>
      <c r="K269" s="105"/>
      <c r="L269" s="105"/>
      <c r="M269" s="105"/>
      <c r="N269" s="82"/>
      <c r="O269" s="448"/>
      <c r="P269" s="448"/>
      <c r="Q269" s="448"/>
      <c r="R269" s="448"/>
      <c r="S269" s="440"/>
      <c r="T269" s="400"/>
      <c r="U269" s="400"/>
      <c r="V269" s="440"/>
      <c r="W269" s="441"/>
      <c r="X269" s="440"/>
      <c r="Y269" s="448"/>
      <c r="Z269" s="448"/>
      <c r="AA269" s="448"/>
      <c r="AB269" s="448"/>
      <c r="AC269" s="448"/>
      <c r="AD269" s="449"/>
      <c r="AE269" s="450"/>
      <c r="AF269" s="16"/>
    </row>
    <row r="270" spans="1:33" s="15" customFormat="1" ht="24" customHeight="1">
      <c r="A270" s="46"/>
      <c r="B270" s="46"/>
      <c r="C270" s="36" t="s">
        <v>318</v>
      </c>
      <c r="D270" s="153">
        <v>8900</v>
      </c>
      <c r="E270" s="107">
        <f>ROUND(AD270/1000,0)</f>
        <v>12044</v>
      </c>
      <c r="F270" s="108">
        <f>SUMIF($AB$271:$AB$276,"보조",$AD$271:$AD$276)/1000</f>
        <v>0</v>
      </c>
      <c r="G270" s="108">
        <f>SUMIF($AB$271:$AB$276,"7종",$AD$271:$AD$276)/1000</f>
        <v>0</v>
      </c>
      <c r="H270" s="108">
        <f>SUMIF($AB$271:$AB$276,"4종",$AD$271:$AD$276)/1000</f>
        <v>0</v>
      </c>
      <c r="I270" s="108">
        <f>SUMIF($AB$271:$AB$276,"후원",$AD$271:$AD$276)/1000</f>
        <v>12044</v>
      </c>
      <c r="J270" s="108">
        <f>SUMIF($AB$271:$AB$276,"입소",$AD$271:$AD$276)/1000</f>
        <v>0</v>
      </c>
      <c r="K270" s="108">
        <f>SUMIF($AB$271:$AB$276,"법인",$AD$271:$AD$276)/1000</f>
        <v>0</v>
      </c>
      <c r="L270" s="108">
        <f>SUMIF($AB$271:$AB$276,"잡수",$AD$271:$AD$276)/1000</f>
        <v>0</v>
      </c>
      <c r="M270" s="117">
        <f>E270-D270</f>
        <v>3144</v>
      </c>
      <c r="N270" s="115">
        <f>IF(D270=0,0,M270/D270)</f>
        <v>0.35325842696629212</v>
      </c>
      <c r="O270" s="288"/>
      <c r="P270" s="305"/>
      <c r="Q270" s="305"/>
      <c r="R270" s="451"/>
      <c r="S270" s="451"/>
      <c r="T270" s="451"/>
      <c r="U270" s="451"/>
      <c r="V270" s="451"/>
      <c r="W270" s="452" t="s">
        <v>130</v>
      </c>
      <c r="X270" s="452"/>
      <c r="Y270" s="452"/>
      <c r="Z270" s="452"/>
      <c r="AA270" s="452"/>
      <c r="AB270" s="452"/>
      <c r="AC270" s="453"/>
      <c r="AD270" s="453">
        <f>SUM(AD271:AD276)</f>
        <v>12044000</v>
      </c>
      <c r="AE270" s="454" t="s">
        <v>25</v>
      </c>
      <c r="AF270" s="16"/>
    </row>
    <row r="271" spans="1:33" s="15" customFormat="1" ht="24" customHeight="1">
      <c r="A271" s="46"/>
      <c r="B271" s="46"/>
      <c r="C271" s="46" t="s">
        <v>310</v>
      </c>
      <c r="D271" s="151"/>
      <c r="E271" s="103"/>
      <c r="F271" s="103"/>
      <c r="G271" s="103"/>
      <c r="H271" s="103"/>
      <c r="I271" s="103"/>
      <c r="J271" s="103"/>
      <c r="K271" s="103"/>
      <c r="L271" s="103"/>
      <c r="M271" s="103"/>
      <c r="N271" s="68"/>
      <c r="O271" s="602" t="s">
        <v>736</v>
      </c>
      <c r="P271" s="409"/>
      <c r="Q271" s="409"/>
      <c r="R271" s="409"/>
      <c r="S271" s="409"/>
      <c r="T271" s="409"/>
      <c r="U271" s="409"/>
      <c r="V271" s="409"/>
      <c r="W271" s="409"/>
      <c r="X271" s="409"/>
      <c r="Y271" s="409"/>
      <c r="Z271" s="409"/>
      <c r="AA271" s="409"/>
      <c r="AB271" s="409" t="s">
        <v>704</v>
      </c>
      <c r="AC271" s="409"/>
      <c r="AD271" s="447">
        <v>1900000</v>
      </c>
      <c r="AE271" s="412" t="s">
        <v>775</v>
      </c>
      <c r="AF271" s="16"/>
    </row>
    <row r="272" spans="1:33" s="15" customFormat="1" ht="24" customHeight="1">
      <c r="A272" s="46"/>
      <c r="B272" s="46"/>
      <c r="C272" s="46"/>
      <c r="D272" s="151"/>
      <c r="E272" s="103"/>
      <c r="F272" s="103"/>
      <c r="G272" s="103"/>
      <c r="H272" s="103"/>
      <c r="I272" s="103"/>
      <c r="J272" s="103"/>
      <c r="K272" s="103"/>
      <c r="L272" s="103"/>
      <c r="M272" s="103"/>
      <c r="N272" s="68"/>
      <c r="O272" s="602" t="s">
        <v>734</v>
      </c>
      <c r="P272" s="409"/>
      <c r="Q272" s="409"/>
      <c r="R272" s="409"/>
      <c r="S272" s="409"/>
      <c r="T272" s="409"/>
      <c r="U272" s="409"/>
      <c r="V272" s="409"/>
      <c r="W272" s="409"/>
      <c r="X272" s="409"/>
      <c r="Y272" s="409"/>
      <c r="Z272" s="409"/>
      <c r="AA272" s="409"/>
      <c r="AB272" s="409" t="s">
        <v>704</v>
      </c>
      <c r="AC272" s="409"/>
      <c r="AD272" s="447">
        <v>3200000</v>
      </c>
      <c r="AE272" s="412" t="s">
        <v>775</v>
      </c>
      <c r="AF272" s="16"/>
    </row>
    <row r="273" spans="1:32" s="15" customFormat="1" ht="24" customHeight="1">
      <c r="A273" s="46"/>
      <c r="B273" s="46"/>
      <c r="C273" s="46"/>
      <c r="D273" s="151"/>
      <c r="E273" s="103"/>
      <c r="F273" s="103"/>
      <c r="G273" s="103"/>
      <c r="H273" s="103"/>
      <c r="I273" s="103"/>
      <c r="J273" s="103"/>
      <c r="K273" s="103"/>
      <c r="L273" s="103"/>
      <c r="M273" s="103"/>
      <c r="N273" s="68"/>
      <c r="O273" s="602" t="s">
        <v>735</v>
      </c>
      <c r="P273" s="409"/>
      <c r="Q273" s="409"/>
      <c r="R273" s="409"/>
      <c r="S273" s="409"/>
      <c r="T273" s="409"/>
      <c r="U273" s="409"/>
      <c r="V273" s="409"/>
      <c r="W273" s="409"/>
      <c r="X273" s="409"/>
      <c r="Y273" s="409"/>
      <c r="Z273" s="409"/>
      <c r="AA273" s="409"/>
      <c r="AB273" s="409" t="s">
        <v>704</v>
      </c>
      <c r="AC273" s="409"/>
      <c r="AD273" s="447">
        <v>2000000</v>
      </c>
      <c r="AE273" s="412" t="s">
        <v>775</v>
      </c>
      <c r="AF273" s="16"/>
    </row>
    <row r="274" spans="1:32" s="15" customFormat="1" ht="24" customHeight="1">
      <c r="A274" s="46"/>
      <c r="B274" s="46"/>
      <c r="C274" s="46"/>
      <c r="D274" s="151"/>
      <c r="E274" s="103"/>
      <c r="F274" s="103"/>
      <c r="G274" s="103"/>
      <c r="H274" s="103"/>
      <c r="I274" s="103"/>
      <c r="J274" s="103"/>
      <c r="K274" s="103"/>
      <c r="L274" s="103"/>
      <c r="M274" s="103"/>
      <c r="N274" s="68"/>
      <c r="O274" s="443" t="s">
        <v>319</v>
      </c>
      <c r="P274" s="409"/>
      <c r="Q274" s="409"/>
      <c r="R274" s="409"/>
      <c r="S274" s="409"/>
      <c r="T274" s="409"/>
      <c r="U274" s="409"/>
      <c r="V274" s="409"/>
      <c r="W274" s="409"/>
      <c r="X274" s="409"/>
      <c r="Y274" s="409" t="s">
        <v>571</v>
      </c>
      <c r="Z274" s="409"/>
      <c r="AA274" s="409"/>
      <c r="AB274" s="409" t="s">
        <v>570</v>
      </c>
      <c r="AC274" s="409"/>
      <c r="AD274" s="447">
        <v>1800000</v>
      </c>
      <c r="AE274" s="412" t="s">
        <v>775</v>
      </c>
      <c r="AF274" s="16"/>
    </row>
    <row r="275" spans="1:32" s="15" customFormat="1" ht="24" customHeight="1">
      <c r="A275" s="46"/>
      <c r="B275" s="46"/>
      <c r="C275" s="46"/>
      <c r="D275" s="151"/>
      <c r="E275" s="103"/>
      <c r="F275" s="103"/>
      <c r="G275" s="103"/>
      <c r="H275" s="103"/>
      <c r="I275" s="103"/>
      <c r="J275" s="103"/>
      <c r="K275" s="103"/>
      <c r="L275" s="103"/>
      <c r="M275" s="103"/>
      <c r="N275" s="68"/>
      <c r="O275" s="439" t="s">
        <v>858</v>
      </c>
      <c r="P275" s="409"/>
      <c r="Q275" s="409"/>
      <c r="R275" s="409"/>
      <c r="S275" s="409"/>
      <c r="T275" s="409"/>
      <c r="U275" s="409"/>
      <c r="V275" s="409"/>
      <c r="W275" s="409"/>
      <c r="X275" s="409"/>
      <c r="Y275" s="409" t="s">
        <v>569</v>
      </c>
      <c r="Z275" s="409"/>
      <c r="AA275" s="409"/>
      <c r="AB275" s="409" t="s">
        <v>857</v>
      </c>
      <c r="AC275" s="409"/>
      <c r="AD275" s="652">
        <v>1144000</v>
      </c>
      <c r="AE275" s="653" t="s">
        <v>859</v>
      </c>
      <c r="AF275" s="16"/>
    </row>
    <row r="276" spans="1:32" s="15" customFormat="1" ht="24" customHeight="1">
      <c r="A276" s="46"/>
      <c r="B276" s="46"/>
      <c r="C276" s="59"/>
      <c r="D276" s="152"/>
      <c r="E276" s="105"/>
      <c r="F276" s="105"/>
      <c r="G276" s="105"/>
      <c r="H276" s="105"/>
      <c r="I276" s="105"/>
      <c r="J276" s="105"/>
      <c r="K276" s="105"/>
      <c r="L276" s="105"/>
      <c r="M276" s="105"/>
      <c r="N276" s="82"/>
      <c r="O276" s="281" t="s">
        <v>860</v>
      </c>
      <c r="P276" s="441"/>
      <c r="Q276" s="441"/>
      <c r="R276" s="441"/>
      <c r="S276" s="441"/>
      <c r="T276" s="440"/>
      <c r="U276" s="440"/>
      <c r="V276" s="440"/>
      <c r="W276" s="440"/>
      <c r="X276" s="440"/>
      <c r="Y276" s="440"/>
      <c r="Z276" s="440"/>
      <c r="AA276" s="440"/>
      <c r="AB276" s="637" t="s">
        <v>844</v>
      </c>
      <c r="AC276" s="413"/>
      <c r="AD276" s="654">
        <v>2000000</v>
      </c>
      <c r="AE276" s="302" t="s">
        <v>854</v>
      </c>
      <c r="AF276" s="16"/>
    </row>
    <row r="277" spans="1:32" s="15" customFormat="1" ht="24" customHeight="1">
      <c r="A277" s="46"/>
      <c r="B277" s="46"/>
      <c r="C277" s="36" t="s">
        <v>320</v>
      </c>
      <c r="D277" s="153">
        <v>7936</v>
      </c>
      <c r="E277" s="107">
        <f>ROUND(AD277/1000,0)</f>
        <v>7936</v>
      </c>
      <c r="F277" s="108">
        <f>SUMIF($AB$278:$AB$285,"보조",$AD$278:$AD$285)/1000</f>
        <v>0</v>
      </c>
      <c r="G277" s="108">
        <f>SUMIF($AB$278:$AB$285,"7종",$AD$278:$AD$285)/1000</f>
        <v>0</v>
      </c>
      <c r="H277" s="108">
        <f>SUMIF($AB$278:$AB$285,"4종",$AD$278:$AD$285)/1000</f>
        <v>0</v>
      </c>
      <c r="I277" s="108">
        <f>SUMIF($AB$278:$AB$285,"후원",$AD$278:$AD$285)/1000</f>
        <v>2186</v>
      </c>
      <c r="J277" s="108">
        <f>SUMIF($AB$278:$AB$285,"입소",$AD$278:$AD$285)/1000</f>
        <v>5750</v>
      </c>
      <c r="K277" s="108">
        <f>SUMIF($AB$278:$AB$285,"법인",$AD$278:$AD$285)/1000</f>
        <v>0</v>
      </c>
      <c r="L277" s="108">
        <f>SUMIF($AB$278:$AB$285,"잡수",$AD$278:$AD$285)/1000</f>
        <v>0</v>
      </c>
      <c r="M277" s="107">
        <f>E277-D277</f>
        <v>0</v>
      </c>
      <c r="N277" s="115">
        <f>IF(D277=0,0,M277/D277)</f>
        <v>0</v>
      </c>
      <c r="O277" s="309"/>
      <c r="P277" s="309"/>
      <c r="Q277" s="309"/>
      <c r="R277" s="309"/>
      <c r="S277" s="309"/>
      <c r="T277" s="293"/>
      <c r="U277" s="293"/>
      <c r="V277" s="293"/>
      <c r="W277" s="452" t="s">
        <v>130</v>
      </c>
      <c r="X277" s="452"/>
      <c r="Y277" s="452"/>
      <c r="Z277" s="452"/>
      <c r="AA277" s="452"/>
      <c r="AB277" s="452"/>
      <c r="AC277" s="453"/>
      <c r="AD277" s="453">
        <f>SUM(AD278:AD284)</f>
        <v>7936000</v>
      </c>
      <c r="AE277" s="454" t="s">
        <v>25</v>
      </c>
      <c r="AF277" s="16"/>
    </row>
    <row r="278" spans="1:32" s="15" customFormat="1" ht="24" customHeight="1">
      <c r="A278" s="46"/>
      <c r="B278" s="46"/>
      <c r="C278" s="46" t="s">
        <v>310</v>
      </c>
      <c r="D278" s="151"/>
      <c r="E278" s="103"/>
      <c r="F278" s="103"/>
      <c r="G278" s="103"/>
      <c r="H278" s="103"/>
      <c r="I278" s="103"/>
      <c r="J278" s="103"/>
      <c r="K278" s="103"/>
      <c r="L278" s="103"/>
      <c r="M278" s="103"/>
      <c r="N278" s="68"/>
      <c r="O278" s="602" t="s">
        <v>737</v>
      </c>
      <c r="P278" s="570"/>
      <c r="Q278" s="570"/>
      <c r="R278" s="570"/>
      <c r="S278" s="570"/>
      <c r="T278" s="569"/>
      <c r="U278" s="569"/>
      <c r="V278" s="569"/>
      <c r="W278" s="569"/>
      <c r="X278" s="569"/>
      <c r="Y278" s="569"/>
      <c r="Z278" s="569"/>
      <c r="AA278" s="584"/>
      <c r="AB278" s="631" t="s">
        <v>816</v>
      </c>
      <c r="AC278" s="130"/>
      <c r="AD278" s="591">
        <v>1750000</v>
      </c>
      <c r="AE278" s="131" t="s">
        <v>56</v>
      </c>
      <c r="AF278" s="587"/>
    </row>
    <row r="279" spans="1:32" s="15" customFormat="1" ht="24" customHeight="1">
      <c r="A279" s="46"/>
      <c r="B279" s="46"/>
      <c r="C279" s="46"/>
      <c r="D279" s="151"/>
      <c r="E279" s="103"/>
      <c r="F279" s="103"/>
      <c r="G279" s="103"/>
      <c r="H279" s="103"/>
      <c r="I279" s="103"/>
      <c r="J279" s="103"/>
      <c r="K279" s="103"/>
      <c r="L279" s="103"/>
      <c r="M279" s="103"/>
      <c r="N279" s="68"/>
      <c r="O279" s="602" t="s">
        <v>739</v>
      </c>
      <c r="P279" s="583"/>
      <c r="Q279" s="583"/>
      <c r="R279" s="583"/>
      <c r="S279" s="583"/>
      <c r="T279" s="582"/>
      <c r="U279" s="582"/>
      <c r="V279" s="582"/>
      <c r="W279" s="582"/>
      <c r="X279" s="582"/>
      <c r="Y279" s="582"/>
      <c r="Z279" s="582"/>
      <c r="AA279" s="584"/>
      <c r="AB279" s="631" t="s">
        <v>816</v>
      </c>
      <c r="AC279" s="130"/>
      <c r="AD279" s="591">
        <v>1710000</v>
      </c>
      <c r="AE279" s="131" t="s">
        <v>56</v>
      </c>
      <c r="AF279" s="587"/>
    </row>
    <row r="280" spans="1:32" s="15" customFormat="1" ht="24" customHeight="1">
      <c r="A280" s="46"/>
      <c r="B280" s="46"/>
      <c r="C280" s="46"/>
      <c r="D280" s="151"/>
      <c r="E280" s="103"/>
      <c r="F280" s="103"/>
      <c r="G280" s="103"/>
      <c r="H280" s="103"/>
      <c r="I280" s="103"/>
      <c r="J280" s="103"/>
      <c r="K280" s="103"/>
      <c r="L280" s="103"/>
      <c r="M280" s="103"/>
      <c r="N280" s="68"/>
      <c r="O280" s="409" t="s">
        <v>738</v>
      </c>
      <c r="P280" s="402"/>
      <c r="Q280" s="402"/>
      <c r="R280" s="398"/>
      <c r="S280" s="398"/>
      <c r="T280" s="398"/>
      <c r="U280" s="398"/>
      <c r="V280" s="398"/>
      <c r="W280" s="569"/>
      <c r="X280" s="569"/>
      <c r="Y280" s="569"/>
      <c r="Z280" s="569"/>
      <c r="AA280" s="584"/>
      <c r="AB280" s="601" t="s">
        <v>152</v>
      </c>
      <c r="AC280" s="607"/>
      <c r="AD280" s="607">
        <v>935000</v>
      </c>
      <c r="AE280" s="131" t="s">
        <v>56</v>
      </c>
      <c r="AF280" s="587"/>
    </row>
    <row r="281" spans="1:32" s="15" customFormat="1" ht="24" customHeight="1">
      <c r="A281" s="46"/>
      <c r="B281" s="46"/>
      <c r="C281" s="46"/>
      <c r="D281" s="151"/>
      <c r="E281" s="103"/>
      <c r="F281" s="103"/>
      <c r="G281" s="103"/>
      <c r="H281" s="103"/>
      <c r="I281" s="103"/>
      <c r="J281" s="103"/>
      <c r="K281" s="103"/>
      <c r="L281" s="103"/>
      <c r="M281" s="103"/>
      <c r="N281" s="68"/>
      <c r="O281" s="409"/>
      <c r="P281" s="402"/>
      <c r="Q281" s="402"/>
      <c r="R281" s="398"/>
      <c r="S281" s="398"/>
      <c r="T281" s="398"/>
      <c r="U281" s="398"/>
      <c r="V281" s="398"/>
      <c r="W281" s="601"/>
      <c r="X281" s="601"/>
      <c r="Y281" s="601"/>
      <c r="Z281" s="601"/>
      <c r="AA281" s="601"/>
      <c r="AB281" s="601" t="s">
        <v>766</v>
      </c>
      <c r="AC281" s="607"/>
      <c r="AD281" s="607">
        <v>765000</v>
      </c>
      <c r="AE281" s="131" t="s">
        <v>56</v>
      </c>
      <c r="AF281" s="587"/>
    </row>
    <row r="282" spans="1:32" s="15" customFormat="1" ht="24" customHeight="1">
      <c r="A282" s="46"/>
      <c r="B282" s="46"/>
      <c r="C282" s="46"/>
      <c r="D282" s="151"/>
      <c r="E282" s="103"/>
      <c r="F282" s="103"/>
      <c r="G282" s="103"/>
      <c r="H282" s="103"/>
      <c r="I282" s="103"/>
      <c r="J282" s="103"/>
      <c r="K282" s="103"/>
      <c r="L282" s="103"/>
      <c r="M282" s="103"/>
      <c r="N282" s="68"/>
      <c r="O282" s="409" t="s">
        <v>740</v>
      </c>
      <c r="P282" s="402"/>
      <c r="Q282" s="402"/>
      <c r="R282" s="398"/>
      <c r="S282" s="398"/>
      <c r="T282" s="398"/>
      <c r="U282" s="398"/>
      <c r="V282" s="398"/>
      <c r="W282" s="582"/>
      <c r="X282" s="582"/>
      <c r="Y282" s="582"/>
      <c r="Z282" s="582"/>
      <c r="AA282" s="584"/>
      <c r="AB282" s="409" t="s">
        <v>152</v>
      </c>
      <c r="AC282" s="409"/>
      <c r="AD282" s="607">
        <v>1215000</v>
      </c>
      <c r="AE282" s="412" t="s">
        <v>56</v>
      </c>
      <c r="AF282" s="587"/>
    </row>
    <row r="283" spans="1:32" s="15" customFormat="1" ht="24" customHeight="1">
      <c r="A283" s="46"/>
      <c r="B283" s="46"/>
      <c r="C283" s="46"/>
      <c r="D283" s="151"/>
      <c r="E283" s="103"/>
      <c r="F283" s="103"/>
      <c r="G283" s="103"/>
      <c r="H283" s="103"/>
      <c r="I283" s="103"/>
      <c r="J283" s="103"/>
      <c r="K283" s="103"/>
      <c r="L283" s="103"/>
      <c r="M283" s="103"/>
      <c r="N283" s="68"/>
      <c r="O283" s="409"/>
      <c r="P283" s="402"/>
      <c r="Q283" s="402"/>
      <c r="R283" s="398"/>
      <c r="S283" s="398"/>
      <c r="T283" s="398"/>
      <c r="U283" s="398"/>
      <c r="V283" s="398"/>
      <c r="W283" s="601"/>
      <c r="X283" s="601"/>
      <c r="Y283" s="601"/>
      <c r="Z283" s="601"/>
      <c r="AA283" s="601"/>
      <c r="AB283" s="409" t="s">
        <v>766</v>
      </c>
      <c r="AC283" s="409"/>
      <c r="AD283" s="607">
        <v>1525000</v>
      </c>
      <c r="AE283" s="412" t="s">
        <v>56</v>
      </c>
      <c r="AF283" s="587"/>
    </row>
    <row r="284" spans="1:32" s="15" customFormat="1" ht="24" customHeight="1">
      <c r="A284" s="46"/>
      <c r="B284" s="46"/>
      <c r="C284" s="46"/>
      <c r="D284" s="151"/>
      <c r="E284" s="103"/>
      <c r="F284" s="103"/>
      <c r="G284" s="103"/>
      <c r="H284" s="103"/>
      <c r="I284" s="103"/>
      <c r="J284" s="103"/>
      <c r="K284" s="103"/>
      <c r="L284" s="103"/>
      <c r="M284" s="103"/>
      <c r="N284" s="68"/>
      <c r="O284" s="409" t="s">
        <v>741</v>
      </c>
      <c r="P284" s="409"/>
      <c r="Q284" s="409"/>
      <c r="R284" s="409"/>
      <c r="S284" s="409"/>
      <c r="T284" s="409"/>
      <c r="U284" s="409"/>
      <c r="V284" s="409"/>
      <c r="W284" s="409"/>
      <c r="X284" s="409"/>
      <c r="Y284" s="409"/>
      <c r="Z284" s="409"/>
      <c r="AA284" s="409"/>
      <c r="AB284" s="409" t="s">
        <v>152</v>
      </c>
      <c r="AC284" s="409"/>
      <c r="AD284" s="130">
        <v>36000</v>
      </c>
      <c r="AE284" s="412" t="s">
        <v>56</v>
      </c>
      <c r="AF284" s="587"/>
    </row>
    <row r="285" spans="1:32" s="15" customFormat="1" ht="24" customHeight="1">
      <c r="A285" s="46"/>
      <c r="B285" s="46"/>
      <c r="C285" s="59"/>
      <c r="D285" s="152"/>
      <c r="E285" s="105"/>
      <c r="F285" s="105"/>
      <c r="G285" s="105"/>
      <c r="H285" s="105"/>
      <c r="I285" s="105"/>
      <c r="J285" s="105"/>
      <c r="K285" s="105"/>
      <c r="L285" s="105"/>
      <c r="M285" s="105"/>
      <c r="N285" s="82"/>
      <c r="O285" s="448"/>
      <c r="P285" s="448"/>
      <c r="Q285" s="448"/>
      <c r="R285" s="448"/>
      <c r="S285" s="448"/>
      <c r="T285" s="448"/>
      <c r="U285" s="448"/>
      <c r="V285" s="448"/>
      <c r="W285" s="448"/>
      <c r="X285" s="448"/>
      <c r="Y285" s="448"/>
      <c r="Z285" s="448"/>
      <c r="AA285" s="448"/>
      <c r="AB285" s="448"/>
      <c r="AC285" s="448"/>
      <c r="AD285" s="449"/>
      <c r="AE285" s="450"/>
      <c r="AF285" s="16"/>
    </row>
    <row r="286" spans="1:32" s="15" customFormat="1" ht="24" customHeight="1">
      <c r="A286" s="46"/>
      <c r="B286" s="46"/>
      <c r="C286" s="116" t="s">
        <v>790</v>
      </c>
      <c r="D286" s="153">
        <v>4682</v>
      </c>
      <c r="E286" s="107">
        <f>ROUND(AD286/1000,0)</f>
        <v>5382</v>
      </c>
      <c r="F286" s="108">
        <f>SUMIF($AB$287:$AB$289,"보조",$AD$287:$AD$289)/1000</f>
        <v>0</v>
      </c>
      <c r="G286" s="108">
        <f>SUMIF($AB$287:$AB$289,"7종",$AD$287:$AD$289)/1000</f>
        <v>0</v>
      </c>
      <c r="H286" s="108">
        <f>SUMIF($AB$287:$AB$289,"4종",$AD$287:$AD$289)/1000</f>
        <v>0</v>
      </c>
      <c r="I286" s="108">
        <f>SUMIF($AB$287:$AB$289,"후원",$AD$287:$AD$289)/1000</f>
        <v>3500</v>
      </c>
      <c r="J286" s="108">
        <f>SUMIF($AB$287:$AB$289,"입소",$AD$287:$AD$289)/1000</f>
        <v>1882</v>
      </c>
      <c r="K286" s="108">
        <f>SUMIF($AB$287:$AB$289,"법인",$AD$287:$AD$289)/1000</f>
        <v>0</v>
      </c>
      <c r="L286" s="108">
        <f>SUMIF($AB$287:$AB$289,"잡수",$AD$287:$AD$289)/1000</f>
        <v>0</v>
      </c>
      <c r="M286" s="117">
        <f>E286-D286</f>
        <v>700</v>
      </c>
      <c r="N286" s="115">
        <f>IF(D286=0,0,M286/D286)</f>
        <v>0.149508756941478</v>
      </c>
      <c r="O286" s="456"/>
      <c r="P286" s="456"/>
      <c r="Q286" s="456"/>
      <c r="R286" s="456"/>
      <c r="S286" s="456"/>
      <c r="T286" s="456"/>
      <c r="U286" s="456"/>
      <c r="V286" s="456"/>
      <c r="W286" s="452" t="s">
        <v>130</v>
      </c>
      <c r="X286" s="452"/>
      <c r="Y286" s="452"/>
      <c r="Z286" s="452"/>
      <c r="AA286" s="452"/>
      <c r="AB286" s="452"/>
      <c r="AC286" s="453"/>
      <c r="AD286" s="453">
        <f>SUM(AD287:AD289)</f>
        <v>5382000</v>
      </c>
      <c r="AE286" s="454" t="s">
        <v>25</v>
      </c>
      <c r="AF286" s="16"/>
    </row>
    <row r="287" spans="1:32" s="15" customFormat="1" ht="24" customHeight="1">
      <c r="A287" s="46"/>
      <c r="B287" s="46"/>
      <c r="C287" s="621" t="s">
        <v>791</v>
      </c>
      <c r="D287" s="151"/>
      <c r="E287" s="103"/>
      <c r="F287" s="103"/>
      <c r="G287" s="103"/>
      <c r="H287" s="103"/>
      <c r="I287" s="103"/>
      <c r="J287" s="103"/>
      <c r="K287" s="103"/>
      <c r="L287" s="103"/>
      <c r="M287" s="103"/>
      <c r="N287" s="68"/>
      <c r="O287" s="409" t="s">
        <v>745</v>
      </c>
      <c r="P287" s="409"/>
      <c r="Q287" s="409"/>
      <c r="R287" s="409"/>
      <c r="S287" s="584"/>
      <c r="T287" s="297" t="s">
        <v>646</v>
      </c>
      <c r="U287" s="297" t="s">
        <v>26</v>
      </c>
      <c r="V287" s="584"/>
      <c r="W287" s="585" t="s">
        <v>654</v>
      </c>
      <c r="X287" s="584"/>
      <c r="Y287" s="409"/>
      <c r="Z287" s="409" t="s">
        <v>656</v>
      </c>
      <c r="AA287" s="409"/>
      <c r="AB287" s="409" t="s">
        <v>658</v>
      </c>
      <c r="AC287" s="409"/>
      <c r="AD287" s="447">
        <v>608000</v>
      </c>
      <c r="AE287" s="412" t="s">
        <v>775</v>
      </c>
      <c r="AF287" s="16"/>
    </row>
    <row r="288" spans="1:32" s="15" customFormat="1" ht="24" customHeight="1">
      <c r="A288" s="46"/>
      <c r="B288" s="46"/>
      <c r="C288" s="46"/>
      <c r="D288" s="151"/>
      <c r="E288" s="103"/>
      <c r="F288" s="103"/>
      <c r="G288" s="103"/>
      <c r="H288" s="103"/>
      <c r="I288" s="103"/>
      <c r="J288" s="103"/>
      <c r="K288" s="103"/>
      <c r="L288" s="103"/>
      <c r="M288" s="103"/>
      <c r="N288" s="68"/>
      <c r="O288" s="409" t="s">
        <v>874</v>
      </c>
      <c r="P288" s="409"/>
      <c r="Q288" s="409"/>
      <c r="R288" s="409"/>
      <c r="S288" s="584"/>
      <c r="T288" s="297" t="s">
        <v>646</v>
      </c>
      <c r="U288" s="297" t="s">
        <v>26</v>
      </c>
      <c r="V288" s="584"/>
      <c r="W288" s="585" t="s">
        <v>654</v>
      </c>
      <c r="X288" s="584"/>
      <c r="Y288" s="409" t="s">
        <v>743</v>
      </c>
      <c r="Z288" s="409"/>
      <c r="AA288" s="409"/>
      <c r="AB288" s="409" t="s">
        <v>152</v>
      </c>
      <c r="AC288" s="409"/>
      <c r="AD288" s="652">
        <v>3500000</v>
      </c>
      <c r="AE288" s="653" t="s">
        <v>854</v>
      </c>
      <c r="AF288" s="16"/>
    </row>
    <row r="289" spans="1:32" s="15" customFormat="1" ht="24" customHeight="1">
      <c r="A289" s="46"/>
      <c r="B289" s="46"/>
      <c r="C289" s="59"/>
      <c r="D289" s="152"/>
      <c r="E289" s="105"/>
      <c r="F289" s="105"/>
      <c r="G289" s="105"/>
      <c r="H289" s="105"/>
      <c r="I289" s="105"/>
      <c r="J289" s="105"/>
      <c r="K289" s="105"/>
      <c r="L289" s="105"/>
      <c r="M289" s="105"/>
      <c r="N289" s="82"/>
      <c r="O289" s="448"/>
      <c r="P289" s="448"/>
      <c r="Q289" s="448"/>
      <c r="R289" s="448"/>
      <c r="S289" s="584"/>
      <c r="T289" s="297" t="s">
        <v>646</v>
      </c>
      <c r="U289" s="297" t="s">
        <v>26</v>
      </c>
      <c r="V289" s="584"/>
      <c r="W289" s="585" t="s">
        <v>654</v>
      </c>
      <c r="X289" s="584"/>
      <c r="Y289" s="409"/>
      <c r="Z289" s="409" t="s">
        <v>656</v>
      </c>
      <c r="AA289" s="409"/>
      <c r="AB289" s="409" t="s">
        <v>213</v>
      </c>
      <c r="AC289" s="409"/>
      <c r="AD289" s="447">
        <v>1274000</v>
      </c>
      <c r="AE289" s="412" t="s">
        <v>775</v>
      </c>
      <c r="AF289" s="16"/>
    </row>
    <row r="290" spans="1:32" s="15" customFormat="1" ht="24" customHeight="1">
      <c r="A290" s="46"/>
      <c r="B290" s="46"/>
      <c r="C290" s="36" t="s">
        <v>321</v>
      </c>
      <c r="D290" s="153">
        <v>22694</v>
      </c>
      <c r="E290" s="107">
        <f>ROUND(AD290/1000,0)</f>
        <v>22694</v>
      </c>
      <c r="F290" s="108">
        <f>SUMIF($AB$291:$AB$294,"보조",$AD$291:$AD$294)/1000</f>
        <v>0</v>
      </c>
      <c r="G290" s="108">
        <f>SUMIF($AB$291:$AB$294,"7종",$AD$291:$AD$294)/1000</f>
        <v>5000</v>
      </c>
      <c r="H290" s="108">
        <f>SUMIF($AB$291:$AB$294,"4종",$AD$291:$AD$294)/1000</f>
        <v>0</v>
      </c>
      <c r="I290" s="108">
        <f>SUMIF($AB$291:$AB$294,"후원",$AD$291:$AD$294)/1000</f>
        <v>17694</v>
      </c>
      <c r="J290" s="108">
        <f>SUMIF($AB$291:$AB$294,"입소",$AD$291:$AD$294)/1000</f>
        <v>0</v>
      </c>
      <c r="K290" s="108">
        <f>SUMIF($AB$291:$AB$294,"법인",$AD$291:$AD$294)/1000</f>
        <v>0</v>
      </c>
      <c r="L290" s="108">
        <f>SUMIF($AB$291:$AB$294,"잡수",$AD$291:$AD$294)/1000</f>
        <v>0</v>
      </c>
      <c r="M290" s="107">
        <f>E290-D290</f>
        <v>0</v>
      </c>
      <c r="N290" s="115">
        <f>IF(D290=0,0,M290/D290)</f>
        <v>0</v>
      </c>
      <c r="O290" s="288"/>
      <c r="P290" s="305"/>
      <c r="Q290" s="305"/>
      <c r="R290" s="451"/>
      <c r="S290" s="451"/>
      <c r="T290" s="451"/>
      <c r="U290" s="451"/>
      <c r="V290" s="451"/>
      <c r="W290" s="452" t="s">
        <v>130</v>
      </c>
      <c r="X290" s="452"/>
      <c r="Y290" s="452"/>
      <c r="Z290" s="452"/>
      <c r="AA290" s="452"/>
      <c r="AB290" s="452"/>
      <c r="AC290" s="453"/>
      <c r="AD290" s="453">
        <f>SUM(AD291:AD294)</f>
        <v>22694000</v>
      </c>
      <c r="AE290" s="454" t="s">
        <v>25</v>
      </c>
      <c r="AF290" s="16"/>
    </row>
    <row r="291" spans="1:32" s="15" customFormat="1" ht="24" customHeight="1">
      <c r="A291" s="46"/>
      <c r="B291" s="46"/>
      <c r="C291" s="46" t="s">
        <v>322</v>
      </c>
      <c r="D291" s="151"/>
      <c r="E291" s="103"/>
      <c r="F291" s="103"/>
      <c r="G291" s="103"/>
      <c r="H291" s="103"/>
      <c r="I291" s="103"/>
      <c r="J291" s="103"/>
      <c r="K291" s="103"/>
      <c r="L291" s="103"/>
      <c r="M291" s="103"/>
      <c r="N291" s="68"/>
      <c r="O291" s="409" t="s">
        <v>742</v>
      </c>
      <c r="P291" s="409"/>
      <c r="Q291" s="409"/>
      <c r="R291" s="409"/>
      <c r="S291" s="409"/>
      <c r="T291" s="409"/>
      <c r="U291" s="409"/>
      <c r="V291" s="409"/>
      <c r="W291" s="409"/>
      <c r="X291" s="409"/>
      <c r="Y291" s="409" t="s">
        <v>743</v>
      </c>
      <c r="Z291" s="409"/>
      <c r="AA291" s="409"/>
      <c r="AB291" s="409" t="s">
        <v>704</v>
      </c>
      <c r="AC291" s="409"/>
      <c r="AD291" s="447">
        <v>15000000</v>
      </c>
      <c r="AE291" s="412" t="s">
        <v>775</v>
      </c>
      <c r="AF291" s="16"/>
    </row>
    <row r="292" spans="1:32" s="15" customFormat="1" ht="24" customHeight="1">
      <c r="A292" s="46"/>
      <c r="B292" s="46"/>
      <c r="C292" s="46" t="s">
        <v>310</v>
      </c>
      <c r="D292" s="151"/>
      <c r="E292" s="103"/>
      <c r="F292" s="103"/>
      <c r="G292" s="103"/>
      <c r="H292" s="103"/>
      <c r="I292" s="103"/>
      <c r="J292" s="103"/>
      <c r="K292" s="103"/>
      <c r="L292" s="103"/>
      <c r="M292" s="103"/>
      <c r="N292" s="68"/>
      <c r="O292" s="409" t="s">
        <v>744</v>
      </c>
      <c r="P292" s="409"/>
      <c r="Q292" s="409"/>
      <c r="R292" s="409"/>
      <c r="S292" s="409"/>
      <c r="T292" s="409"/>
      <c r="U292" s="409"/>
      <c r="V292" s="409"/>
      <c r="W292" s="409"/>
      <c r="X292" s="409"/>
      <c r="Y292" s="409"/>
      <c r="Z292" s="409"/>
      <c r="AA292" s="409"/>
      <c r="AB292" s="409" t="s">
        <v>203</v>
      </c>
      <c r="AC292" s="409"/>
      <c r="AD292" s="447">
        <v>5000000</v>
      </c>
      <c r="AE292" s="412" t="s">
        <v>775</v>
      </c>
      <c r="AF292" s="16"/>
    </row>
    <row r="293" spans="1:32" s="15" customFormat="1" ht="24" customHeight="1">
      <c r="A293" s="46"/>
      <c r="B293" s="46"/>
      <c r="C293" s="46"/>
      <c r="D293" s="151"/>
      <c r="E293" s="103"/>
      <c r="F293" s="103"/>
      <c r="G293" s="103"/>
      <c r="H293" s="103"/>
      <c r="I293" s="103"/>
      <c r="J293" s="103"/>
      <c r="K293" s="103"/>
      <c r="L293" s="103"/>
      <c r="M293" s="103"/>
      <c r="N293" s="68"/>
      <c r="O293" s="409"/>
      <c r="P293" s="409"/>
      <c r="Q293" s="409"/>
      <c r="R293" s="409"/>
      <c r="S293" s="409"/>
      <c r="T293" s="409"/>
      <c r="U293" s="409"/>
      <c r="V293" s="409"/>
      <c r="W293" s="409"/>
      <c r="X293" s="409"/>
      <c r="Y293" s="409"/>
      <c r="Z293" s="409"/>
      <c r="AA293" s="409"/>
      <c r="AB293" s="409" t="s">
        <v>152</v>
      </c>
      <c r="AC293" s="409"/>
      <c r="AD293" s="447">
        <v>2694000</v>
      </c>
      <c r="AE293" s="412" t="s">
        <v>775</v>
      </c>
      <c r="AF293" s="16"/>
    </row>
    <row r="294" spans="1:32" s="15" customFormat="1" ht="24" customHeight="1">
      <c r="A294" s="46"/>
      <c r="B294" s="46"/>
      <c r="C294" s="46"/>
      <c r="D294" s="151"/>
      <c r="E294" s="103"/>
      <c r="F294" s="103"/>
      <c r="G294" s="103"/>
      <c r="H294" s="103"/>
      <c r="I294" s="103"/>
      <c r="J294" s="103"/>
      <c r="K294" s="103"/>
      <c r="L294" s="103"/>
      <c r="M294" s="103"/>
      <c r="N294" s="68"/>
      <c r="O294" s="409"/>
      <c r="P294" s="409"/>
      <c r="Q294" s="409"/>
      <c r="R294" s="409"/>
      <c r="S294" s="409"/>
      <c r="T294" s="409"/>
      <c r="U294" s="409"/>
      <c r="V294" s="409"/>
      <c r="W294" s="409"/>
      <c r="X294" s="409"/>
      <c r="Y294" s="409"/>
      <c r="Z294" s="409"/>
      <c r="AA294" s="409"/>
      <c r="AB294" s="409"/>
      <c r="AC294" s="409"/>
      <c r="AD294" s="447"/>
      <c r="AE294" s="412"/>
      <c r="AF294" s="16"/>
    </row>
    <row r="295" spans="1:32" s="15" customFormat="1" ht="24" customHeight="1">
      <c r="A295" s="46"/>
      <c r="B295" s="46"/>
      <c r="C295" s="116" t="s">
        <v>792</v>
      </c>
      <c r="D295" s="153">
        <v>6335</v>
      </c>
      <c r="E295" s="107">
        <f>ROUND(AD295/1000,0)</f>
        <v>6335</v>
      </c>
      <c r="F295" s="108">
        <f>SUMIF($AB$296:$AB$301,"보조",$AD$296:$AD$301)/1000</f>
        <v>0</v>
      </c>
      <c r="G295" s="108">
        <f>SUMIF($AB$296:$AB$301,"7종",$AD$296:$AD$301)/1000</f>
        <v>0</v>
      </c>
      <c r="H295" s="108">
        <f>SUMIF($AB$296:$AB$301,"4종",$AD$296:$AD$301)/1000</f>
        <v>0</v>
      </c>
      <c r="I295" s="108">
        <f>SUMIF($AB$296:$AB$301,"후원",$AD$296:$AD$301)/1000</f>
        <v>2051</v>
      </c>
      <c r="J295" s="108">
        <f>SUMIF($AB$296:$AB$301,"입소",$AD$296:$AD$301)/1000</f>
        <v>4284</v>
      </c>
      <c r="K295" s="108">
        <f>SUMIF($AB$296:$AB$301,"법인",$AD$296:$AD$301)/1000</f>
        <v>0</v>
      </c>
      <c r="L295" s="108">
        <f>SUMIF($AB$296:$AB$301,"잡수",$AD$296:$AD$301)/1000</f>
        <v>0</v>
      </c>
      <c r="M295" s="107">
        <f>E295-D295</f>
        <v>0</v>
      </c>
      <c r="N295" s="115">
        <f>IF(D295=0,0,M295/D295)</f>
        <v>0</v>
      </c>
      <c r="O295" s="288"/>
      <c r="P295" s="305"/>
      <c r="Q295" s="305"/>
      <c r="R295" s="451"/>
      <c r="S295" s="451"/>
      <c r="T295" s="451"/>
      <c r="U295" s="451"/>
      <c r="V295" s="451"/>
      <c r="W295" s="452" t="s">
        <v>130</v>
      </c>
      <c r="X295" s="452"/>
      <c r="Y295" s="452"/>
      <c r="Z295" s="452"/>
      <c r="AA295" s="452"/>
      <c r="AB295" s="452"/>
      <c r="AC295" s="453"/>
      <c r="AD295" s="453">
        <f>SUM(AD296:AD300)</f>
        <v>6335000</v>
      </c>
      <c r="AE295" s="454" t="s">
        <v>25</v>
      </c>
      <c r="AF295" s="16"/>
    </row>
    <row r="296" spans="1:32" s="15" customFormat="1" ht="24" customHeight="1">
      <c r="A296" s="46"/>
      <c r="B296" s="46"/>
      <c r="C296" s="621" t="s">
        <v>791</v>
      </c>
      <c r="D296" s="151"/>
      <c r="E296" s="103"/>
      <c r="F296" s="103"/>
      <c r="G296" s="103"/>
      <c r="H296" s="103"/>
      <c r="I296" s="103"/>
      <c r="J296" s="103"/>
      <c r="K296" s="103"/>
      <c r="L296" s="103"/>
      <c r="M296" s="103"/>
      <c r="N296" s="68"/>
      <c r="O296" s="602" t="s">
        <v>746</v>
      </c>
      <c r="P296" s="402"/>
      <c r="Q296" s="402"/>
      <c r="R296" s="398"/>
      <c r="S296" s="398"/>
      <c r="T296" s="398"/>
      <c r="U296" s="398"/>
      <c r="V296" s="398"/>
      <c r="W296" s="442"/>
      <c r="X296" s="442"/>
      <c r="Y296" s="442"/>
      <c r="Z296" s="442"/>
      <c r="AA296" s="442"/>
      <c r="AB296" s="444" t="s">
        <v>347</v>
      </c>
      <c r="AC296" s="130"/>
      <c r="AD296" s="130">
        <v>315000</v>
      </c>
      <c r="AE296" s="131" t="s">
        <v>775</v>
      </c>
      <c r="AF296" s="16"/>
    </row>
    <row r="297" spans="1:32" s="15" customFormat="1" ht="24" customHeight="1">
      <c r="A297" s="46"/>
      <c r="B297" s="46"/>
      <c r="C297" s="621"/>
      <c r="D297" s="151"/>
      <c r="E297" s="103"/>
      <c r="F297" s="103"/>
      <c r="G297" s="103"/>
      <c r="H297" s="103"/>
      <c r="I297" s="103"/>
      <c r="J297" s="103"/>
      <c r="K297" s="103"/>
      <c r="L297" s="103"/>
      <c r="M297" s="103"/>
      <c r="N297" s="68"/>
      <c r="O297" s="602" t="s">
        <v>747</v>
      </c>
      <c r="P297" s="402"/>
      <c r="Q297" s="402"/>
      <c r="R297" s="398"/>
      <c r="S297" s="398"/>
      <c r="T297" s="398"/>
      <c r="U297" s="398"/>
      <c r="V297" s="398"/>
      <c r="W297" s="569"/>
      <c r="X297" s="569"/>
      <c r="Y297" s="569"/>
      <c r="Z297" s="569"/>
      <c r="AA297" s="569"/>
      <c r="AB297" s="601" t="s">
        <v>152</v>
      </c>
      <c r="AC297" s="130"/>
      <c r="AD297" s="130">
        <v>1166000</v>
      </c>
      <c r="AE297" s="131" t="s">
        <v>775</v>
      </c>
      <c r="AF297" s="16"/>
    </row>
    <row r="298" spans="1:32" s="15" customFormat="1" ht="24" customHeight="1">
      <c r="A298" s="46"/>
      <c r="B298" s="46"/>
      <c r="C298" s="46"/>
      <c r="D298" s="151"/>
      <c r="E298" s="103"/>
      <c r="F298" s="103"/>
      <c r="G298" s="103"/>
      <c r="H298" s="103"/>
      <c r="I298" s="103"/>
      <c r="J298" s="103"/>
      <c r="K298" s="103"/>
      <c r="L298" s="103"/>
      <c r="M298" s="103"/>
      <c r="N298" s="68"/>
      <c r="O298" s="602"/>
      <c r="P298" s="402"/>
      <c r="Q298" s="402"/>
      <c r="R298" s="398"/>
      <c r="S298" s="398"/>
      <c r="T298" s="398"/>
      <c r="U298" s="398"/>
      <c r="V298" s="398"/>
      <c r="W298" s="601"/>
      <c r="X298" s="601"/>
      <c r="Y298" s="601"/>
      <c r="Z298" s="601"/>
      <c r="AA298" s="601"/>
      <c r="AB298" s="601" t="s">
        <v>766</v>
      </c>
      <c r="AC298" s="607"/>
      <c r="AD298" s="607">
        <v>324000</v>
      </c>
      <c r="AE298" s="131" t="s">
        <v>775</v>
      </c>
      <c r="AF298" s="16"/>
    </row>
    <row r="299" spans="1:32" s="15" customFormat="1" ht="24" customHeight="1">
      <c r="A299" s="46"/>
      <c r="B299" s="46"/>
      <c r="C299" s="46"/>
      <c r="D299" s="151"/>
      <c r="E299" s="103"/>
      <c r="F299" s="103"/>
      <c r="G299" s="103"/>
      <c r="H299" s="103"/>
      <c r="I299" s="103"/>
      <c r="J299" s="103"/>
      <c r="K299" s="103"/>
      <c r="L299" s="103"/>
      <c r="M299" s="103"/>
      <c r="N299" s="68"/>
      <c r="O299" s="602" t="s">
        <v>748</v>
      </c>
      <c r="P299" s="402"/>
      <c r="Q299" s="402"/>
      <c r="R299" s="398"/>
      <c r="S299" s="398"/>
      <c r="T299" s="398"/>
      <c r="U299" s="398"/>
      <c r="V299" s="398"/>
      <c r="W299" s="555"/>
      <c r="X299" s="555"/>
      <c r="Y299" s="409"/>
      <c r="Z299" s="555"/>
      <c r="AA299" s="555"/>
      <c r="AB299" s="601" t="s">
        <v>213</v>
      </c>
      <c r="AC299" s="130"/>
      <c r="AD299" s="130">
        <v>3960000</v>
      </c>
      <c r="AE299" s="131" t="s">
        <v>775</v>
      </c>
      <c r="AF299" s="16"/>
    </row>
    <row r="300" spans="1:32" s="15" customFormat="1" ht="24" customHeight="1">
      <c r="A300" s="46"/>
      <c r="B300" s="46"/>
      <c r="C300" s="46"/>
      <c r="D300" s="151"/>
      <c r="E300" s="103"/>
      <c r="F300" s="103"/>
      <c r="G300" s="103"/>
      <c r="H300" s="103"/>
      <c r="I300" s="103"/>
      <c r="J300" s="103"/>
      <c r="K300" s="103"/>
      <c r="L300" s="103"/>
      <c r="M300" s="103"/>
      <c r="N300" s="68"/>
      <c r="O300" s="443"/>
      <c r="P300" s="402"/>
      <c r="Q300" s="402"/>
      <c r="R300" s="398"/>
      <c r="S300" s="398"/>
      <c r="T300" s="398"/>
      <c r="U300" s="398"/>
      <c r="V300" s="398"/>
      <c r="W300" s="442"/>
      <c r="X300" s="442"/>
      <c r="Y300" s="442"/>
      <c r="Z300" s="442"/>
      <c r="AA300" s="442"/>
      <c r="AB300" s="555" t="s">
        <v>581</v>
      </c>
      <c r="AC300" s="130"/>
      <c r="AD300" s="130">
        <v>570000</v>
      </c>
      <c r="AE300" s="131" t="s">
        <v>775</v>
      </c>
      <c r="AF300" s="16"/>
    </row>
    <row r="301" spans="1:32" s="15" customFormat="1" ht="24" customHeight="1">
      <c r="A301" s="46"/>
      <c r="B301" s="46"/>
      <c r="C301" s="59"/>
      <c r="D301" s="152"/>
      <c r="E301" s="105"/>
      <c r="F301" s="105"/>
      <c r="G301" s="105"/>
      <c r="H301" s="105"/>
      <c r="I301" s="105"/>
      <c r="J301" s="105"/>
      <c r="K301" s="105"/>
      <c r="L301" s="105"/>
      <c r="M301" s="105"/>
      <c r="N301" s="82"/>
      <c r="O301" s="441"/>
      <c r="P301" s="292"/>
      <c r="Q301" s="292"/>
      <c r="R301" s="457"/>
      <c r="S301" s="457"/>
      <c r="T301" s="457"/>
      <c r="U301" s="457"/>
      <c r="V301" s="457"/>
      <c r="W301" s="440"/>
      <c r="X301" s="440"/>
      <c r="Y301" s="440"/>
      <c r="Z301" s="440"/>
      <c r="AA301" s="440"/>
      <c r="AB301" s="440"/>
      <c r="AC301" s="413"/>
      <c r="AD301" s="413"/>
      <c r="AE301" s="401"/>
      <c r="AF301" s="16"/>
    </row>
    <row r="302" spans="1:32" s="15" customFormat="1" ht="24" customHeight="1">
      <c r="A302" s="46"/>
      <c r="B302" s="46"/>
      <c r="C302" s="116" t="s">
        <v>793</v>
      </c>
      <c r="D302" s="153">
        <v>22070</v>
      </c>
      <c r="E302" s="107">
        <f>ROUND(AD302/1000,0)</f>
        <v>22070</v>
      </c>
      <c r="F302" s="108">
        <f>SUMIF($AB$303:$AB$312,"보조",$AD$303:$AD$312)/1000</f>
        <v>0</v>
      </c>
      <c r="G302" s="108">
        <f>SUMIF($AB$303:$AB$312,"7종",$AD$303:$AD$312)/1000</f>
        <v>0</v>
      </c>
      <c r="H302" s="108">
        <f>SUMIF($AB$303:$AB$312,"4종",$AD$303:$AD$312)/1000</f>
        <v>0</v>
      </c>
      <c r="I302" s="108">
        <f>SUMIF($AB$303:$AB$312,"후원",$AD$303:$AD$312)/1000</f>
        <v>3203</v>
      </c>
      <c r="J302" s="108">
        <f>SUMIF($AB$303:$AB$312,"입소",$AD$303:$AD$312)/1000</f>
        <v>7867</v>
      </c>
      <c r="K302" s="108">
        <f>SUMIF($AB$303:$AB$312,"법인",$AD$303:$AD$312)/1000</f>
        <v>11000</v>
      </c>
      <c r="L302" s="108">
        <f>SUMIF($AB$303:$AB$312,"잡수",$AD$303:$AD$312)/1000</f>
        <v>0</v>
      </c>
      <c r="M302" s="107">
        <f>E302-D302</f>
        <v>0</v>
      </c>
      <c r="N302" s="115">
        <f>IF(D302=0,0,M302/D302)</f>
        <v>0</v>
      </c>
      <c r="O302" s="309"/>
      <c r="P302" s="305"/>
      <c r="Q302" s="305"/>
      <c r="R302" s="451"/>
      <c r="S302" s="451"/>
      <c r="T302" s="451"/>
      <c r="U302" s="451"/>
      <c r="V302" s="451"/>
      <c r="W302" s="452" t="s">
        <v>130</v>
      </c>
      <c r="X302" s="452"/>
      <c r="Y302" s="452"/>
      <c r="Z302" s="452"/>
      <c r="AA302" s="452"/>
      <c r="AB302" s="452"/>
      <c r="AC302" s="453"/>
      <c r="AD302" s="453">
        <f>SUM(AD303:AD313)</f>
        <v>22070000</v>
      </c>
      <c r="AE302" s="454" t="s">
        <v>25</v>
      </c>
      <c r="AF302" s="16"/>
    </row>
    <row r="303" spans="1:32" s="15" customFormat="1" ht="24" customHeight="1">
      <c r="A303" s="46"/>
      <c r="B303" s="46"/>
      <c r="C303" s="621" t="s">
        <v>794</v>
      </c>
      <c r="D303" s="151"/>
      <c r="E303" s="103"/>
      <c r="F303" s="103"/>
      <c r="G303" s="103"/>
      <c r="H303" s="103"/>
      <c r="I303" s="103"/>
      <c r="J303" s="103"/>
      <c r="K303" s="103"/>
      <c r="L303" s="103"/>
      <c r="M303" s="103"/>
      <c r="N303" s="68"/>
      <c r="O303" s="602" t="s">
        <v>750</v>
      </c>
      <c r="P303" s="402"/>
      <c r="Q303" s="402"/>
      <c r="R303" s="398"/>
      <c r="S303" s="398"/>
      <c r="T303" s="398"/>
      <c r="U303" s="398"/>
      <c r="V303" s="398"/>
      <c r="W303" s="442"/>
      <c r="X303" s="442"/>
      <c r="Y303" s="442"/>
      <c r="Z303" s="442"/>
      <c r="AA303" s="442"/>
      <c r="AB303" s="551" t="s">
        <v>563</v>
      </c>
      <c r="AC303" s="130"/>
      <c r="AD303" s="130">
        <v>1000000</v>
      </c>
      <c r="AE303" s="131" t="s">
        <v>775</v>
      </c>
      <c r="AF303" s="16"/>
    </row>
    <row r="304" spans="1:32" s="15" customFormat="1" ht="24" customHeight="1">
      <c r="A304" s="46"/>
      <c r="B304" s="46"/>
      <c r="C304" s="608"/>
      <c r="D304" s="151"/>
      <c r="E304" s="103"/>
      <c r="F304" s="103"/>
      <c r="G304" s="103"/>
      <c r="H304" s="103"/>
      <c r="I304" s="103"/>
      <c r="J304" s="103"/>
      <c r="K304" s="103"/>
      <c r="L304" s="103"/>
      <c r="M304" s="103"/>
      <c r="N304" s="68"/>
      <c r="O304" s="602"/>
      <c r="P304" s="402"/>
      <c r="Q304" s="402"/>
      <c r="R304" s="398"/>
      <c r="S304" s="398"/>
      <c r="T304" s="398"/>
      <c r="U304" s="398"/>
      <c r="V304" s="398"/>
      <c r="W304" s="601"/>
      <c r="X304" s="601"/>
      <c r="Y304" s="601"/>
      <c r="Z304" s="601"/>
      <c r="AA304" s="601"/>
      <c r="AB304" s="601" t="s">
        <v>766</v>
      </c>
      <c r="AC304" s="607"/>
      <c r="AD304" s="607">
        <v>2200000</v>
      </c>
      <c r="AE304" s="131" t="s">
        <v>775</v>
      </c>
      <c r="AF304" s="16"/>
    </row>
    <row r="305" spans="1:32" s="15" customFormat="1" ht="24" customHeight="1">
      <c r="A305" s="46"/>
      <c r="B305" s="46"/>
      <c r="C305" s="46"/>
      <c r="D305" s="151"/>
      <c r="E305" s="103"/>
      <c r="F305" s="103"/>
      <c r="G305" s="103"/>
      <c r="H305" s="103"/>
      <c r="I305" s="103"/>
      <c r="J305" s="103"/>
      <c r="K305" s="103"/>
      <c r="L305" s="103"/>
      <c r="M305" s="103"/>
      <c r="N305" s="68"/>
      <c r="O305" s="602" t="s">
        <v>751</v>
      </c>
      <c r="P305" s="402"/>
      <c r="Q305" s="402"/>
      <c r="R305" s="398"/>
      <c r="S305" s="398"/>
      <c r="T305" s="398"/>
      <c r="U305" s="398"/>
      <c r="V305" s="398"/>
      <c r="W305" s="569"/>
      <c r="X305" s="569"/>
      <c r="Y305" s="569"/>
      <c r="Z305" s="569"/>
      <c r="AA305" s="569"/>
      <c r="AB305" s="569" t="s">
        <v>645</v>
      </c>
      <c r="AC305" s="130"/>
      <c r="AD305" s="130">
        <v>1339000</v>
      </c>
      <c r="AE305" s="131" t="s">
        <v>775</v>
      </c>
      <c r="AF305" s="16"/>
    </row>
    <row r="306" spans="1:32" s="15" customFormat="1" ht="24" customHeight="1">
      <c r="A306" s="46"/>
      <c r="B306" s="46"/>
      <c r="C306" s="46"/>
      <c r="D306" s="151"/>
      <c r="E306" s="103"/>
      <c r="F306" s="103"/>
      <c r="G306" s="103"/>
      <c r="H306" s="103"/>
      <c r="I306" s="103"/>
      <c r="J306" s="103"/>
      <c r="K306" s="103"/>
      <c r="L306" s="103"/>
      <c r="M306" s="103"/>
      <c r="N306" s="68"/>
      <c r="O306" s="602"/>
      <c r="P306" s="402"/>
      <c r="Q306" s="402"/>
      <c r="R306" s="398"/>
      <c r="S306" s="398"/>
      <c r="T306" s="398"/>
      <c r="U306" s="398"/>
      <c r="V306" s="398"/>
      <c r="W306" s="601"/>
      <c r="X306" s="601"/>
      <c r="Y306" s="601"/>
      <c r="Z306" s="601"/>
      <c r="AA306" s="601"/>
      <c r="AB306" s="601" t="s">
        <v>766</v>
      </c>
      <c r="AC306" s="607"/>
      <c r="AD306" s="607">
        <v>2230000</v>
      </c>
      <c r="AE306" s="131" t="s">
        <v>775</v>
      </c>
      <c r="AF306" s="16"/>
    </row>
    <row r="307" spans="1:32" s="15" customFormat="1" ht="24" customHeight="1">
      <c r="A307" s="46"/>
      <c r="B307" s="46"/>
      <c r="C307" s="46"/>
      <c r="D307" s="151"/>
      <c r="E307" s="103"/>
      <c r="F307" s="103"/>
      <c r="G307" s="103"/>
      <c r="H307" s="103"/>
      <c r="I307" s="103"/>
      <c r="J307" s="103"/>
      <c r="K307" s="103"/>
      <c r="L307" s="103"/>
      <c r="M307" s="103"/>
      <c r="N307" s="68"/>
      <c r="O307" s="602" t="s">
        <v>752</v>
      </c>
      <c r="P307" s="402"/>
      <c r="Q307" s="402"/>
      <c r="R307" s="398"/>
      <c r="S307" s="398"/>
      <c r="T307" s="398"/>
      <c r="U307" s="398"/>
      <c r="V307" s="398"/>
      <c r="W307" s="598"/>
      <c r="X307" s="598"/>
      <c r="Y307" s="598"/>
      <c r="Z307" s="598"/>
      <c r="AA307" s="598"/>
      <c r="AB307" s="598" t="s">
        <v>213</v>
      </c>
      <c r="AC307" s="130"/>
      <c r="AD307" s="130">
        <v>1070000</v>
      </c>
      <c r="AE307" s="131" t="s">
        <v>775</v>
      </c>
      <c r="AF307" s="587"/>
    </row>
    <row r="308" spans="1:32" s="15" customFormat="1" ht="24" customHeight="1">
      <c r="A308" s="46"/>
      <c r="B308" s="46"/>
      <c r="C308" s="46"/>
      <c r="D308" s="151"/>
      <c r="E308" s="103"/>
      <c r="F308" s="103"/>
      <c r="G308" s="103"/>
      <c r="H308" s="103"/>
      <c r="I308" s="103"/>
      <c r="J308" s="103"/>
      <c r="K308" s="103"/>
      <c r="L308" s="103"/>
      <c r="M308" s="103"/>
      <c r="N308" s="68"/>
      <c r="O308" s="602" t="s">
        <v>753</v>
      </c>
      <c r="P308" s="402"/>
      <c r="Q308" s="402"/>
      <c r="R308" s="398"/>
      <c r="S308" s="398"/>
      <c r="T308" s="398"/>
      <c r="U308" s="398"/>
      <c r="V308" s="398"/>
      <c r="W308" s="598"/>
      <c r="X308" s="598"/>
      <c r="Y308" s="598"/>
      <c r="Z308" s="598"/>
      <c r="AA308" s="598"/>
      <c r="AB308" s="598" t="s">
        <v>152</v>
      </c>
      <c r="AC308" s="130"/>
      <c r="AD308" s="130">
        <v>119000</v>
      </c>
      <c r="AE308" s="131" t="s">
        <v>775</v>
      </c>
      <c r="AF308" s="587"/>
    </row>
    <row r="309" spans="1:32" s="15" customFormat="1" ht="24" customHeight="1">
      <c r="A309" s="46"/>
      <c r="B309" s="46"/>
      <c r="C309" s="46"/>
      <c r="D309" s="151"/>
      <c r="E309" s="103"/>
      <c r="F309" s="103"/>
      <c r="G309" s="103"/>
      <c r="H309" s="103"/>
      <c r="I309" s="103"/>
      <c r="J309" s="103"/>
      <c r="K309" s="103"/>
      <c r="L309" s="103"/>
      <c r="M309" s="103"/>
      <c r="N309" s="68"/>
      <c r="O309" s="602" t="s">
        <v>754</v>
      </c>
      <c r="P309" s="402"/>
      <c r="Q309" s="402"/>
      <c r="R309" s="398"/>
      <c r="S309" s="398"/>
      <c r="T309" s="398"/>
      <c r="U309" s="398"/>
      <c r="V309" s="398"/>
      <c r="W309" s="598"/>
      <c r="X309" s="598"/>
      <c r="Y309" s="598"/>
      <c r="Z309" s="598"/>
      <c r="AA309" s="598"/>
      <c r="AB309" s="598" t="s">
        <v>152</v>
      </c>
      <c r="AC309" s="130"/>
      <c r="AD309" s="130">
        <v>315000</v>
      </c>
      <c r="AE309" s="131" t="s">
        <v>775</v>
      </c>
      <c r="AF309" s="587"/>
    </row>
    <row r="310" spans="1:32" s="15" customFormat="1" ht="24" customHeight="1">
      <c r="A310" s="46"/>
      <c r="B310" s="46"/>
      <c r="C310" s="46"/>
      <c r="D310" s="151"/>
      <c r="E310" s="103"/>
      <c r="F310" s="103"/>
      <c r="G310" s="103"/>
      <c r="H310" s="103"/>
      <c r="I310" s="103"/>
      <c r="J310" s="103"/>
      <c r="K310" s="103"/>
      <c r="L310" s="103"/>
      <c r="M310" s="103"/>
      <c r="N310" s="68"/>
      <c r="O310" s="602" t="s">
        <v>755</v>
      </c>
      <c r="P310" s="402"/>
      <c r="Q310" s="402"/>
      <c r="R310" s="398"/>
      <c r="S310" s="398"/>
      <c r="T310" s="398"/>
      <c r="U310" s="398"/>
      <c r="V310" s="398"/>
      <c r="W310" s="598"/>
      <c r="X310" s="598"/>
      <c r="Y310" s="598"/>
      <c r="Z310" s="598"/>
      <c r="AA310" s="598"/>
      <c r="AB310" s="598" t="s">
        <v>152</v>
      </c>
      <c r="AC310" s="130"/>
      <c r="AD310" s="130">
        <v>430000</v>
      </c>
      <c r="AE310" s="131" t="s">
        <v>775</v>
      </c>
      <c r="AF310" s="587"/>
    </row>
    <row r="311" spans="1:32" s="15" customFormat="1" ht="24" customHeight="1">
      <c r="A311" s="46"/>
      <c r="B311" s="46"/>
      <c r="C311" s="46"/>
      <c r="D311" s="151"/>
      <c r="E311" s="103"/>
      <c r="F311" s="103"/>
      <c r="G311" s="103"/>
      <c r="H311" s="103"/>
      <c r="I311" s="103"/>
      <c r="J311" s="103"/>
      <c r="K311" s="103"/>
      <c r="L311" s="103"/>
      <c r="M311" s="103"/>
      <c r="N311" s="68"/>
      <c r="O311" s="613"/>
      <c r="P311" s="402"/>
      <c r="Q311" s="402"/>
      <c r="R311" s="398"/>
      <c r="S311" s="398"/>
      <c r="T311" s="398"/>
      <c r="U311" s="398"/>
      <c r="V311" s="398"/>
      <c r="W311" s="612"/>
      <c r="X311" s="612"/>
      <c r="Y311" s="612"/>
      <c r="Z311" s="612"/>
      <c r="AA311" s="612"/>
      <c r="AB311" s="612" t="s">
        <v>781</v>
      </c>
      <c r="AC311" s="611"/>
      <c r="AD311" s="611">
        <v>2367000</v>
      </c>
      <c r="AE311" s="131" t="s">
        <v>775</v>
      </c>
      <c r="AF311" s="587"/>
    </row>
    <row r="312" spans="1:32" s="15" customFormat="1" ht="24" customHeight="1">
      <c r="A312" s="46"/>
      <c r="B312" s="46"/>
      <c r="C312" s="46"/>
      <c r="D312" s="151"/>
      <c r="E312" s="103"/>
      <c r="F312" s="103"/>
      <c r="G312" s="103"/>
      <c r="H312" s="103"/>
      <c r="I312" s="103"/>
      <c r="J312" s="103"/>
      <c r="K312" s="103"/>
      <c r="L312" s="103"/>
      <c r="M312" s="103"/>
      <c r="N312" s="68"/>
      <c r="O312" s="613" t="s">
        <v>777</v>
      </c>
      <c r="P312" s="613"/>
      <c r="Q312" s="613"/>
      <c r="R312" s="613"/>
      <c r="S312" s="612">
        <v>1100000</v>
      </c>
      <c r="T312" s="297" t="s">
        <v>778</v>
      </c>
      <c r="U312" s="297" t="s">
        <v>26</v>
      </c>
      <c r="V312" s="612">
        <v>10</v>
      </c>
      <c r="W312" s="613" t="s">
        <v>779</v>
      </c>
      <c r="X312" s="612" t="s">
        <v>27</v>
      </c>
      <c r="Y312" s="612"/>
      <c r="Z312" s="612"/>
      <c r="AA312" s="612"/>
      <c r="AB312" s="612" t="s">
        <v>171</v>
      </c>
      <c r="AC312" s="612"/>
      <c r="AD312" s="612">
        <v>11000000</v>
      </c>
      <c r="AE312" s="131" t="s">
        <v>775</v>
      </c>
      <c r="AF312" s="16"/>
    </row>
    <row r="313" spans="1:32" s="15" customFormat="1" ht="24" customHeight="1">
      <c r="A313" s="46"/>
      <c r="B313" s="46"/>
      <c r="C313" s="46"/>
      <c r="D313" s="151"/>
      <c r="E313" s="103"/>
      <c r="F313" s="103"/>
      <c r="G313" s="103"/>
      <c r="H313" s="103"/>
      <c r="I313" s="103"/>
      <c r="J313" s="103"/>
      <c r="K313" s="103"/>
      <c r="L313" s="103"/>
      <c r="M313" s="103"/>
      <c r="N313" s="68"/>
      <c r="O313" s="613" t="s">
        <v>780</v>
      </c>
      <c r="P313" s="613"/>
      <c r="Q313" s="613"/>
      <c r="R313" s="613"/>
      <c r="S313" s="612"/>
      <c r="T313" s="297"/>
      <c r="U313" s="297"/>
      <c r="V313" s="612"/>
      <c r="W313" s="613"/>
      <c r="X313" s="612"/>
      <c r="Y313" s="612"/>
      <c r="Z313" s="612"/>
      <c r="AA313" s="612"/>
      <c r="AB313" s="612" t="s">
        <v>171</v>
      </c>
      <c r="AC313" s="612"/>
      <c r="AD313" s="612">
        <v>0</v>
      </c>
      <c r="AE313" s="131" t="s">
        <v>775</v>
      </c>
      <c r="AF313" s="16"/>
    </row>
    <row r="314" spans="1:32" s="15" customFormat="1" ht="24" customHeight="1">
      <c r="A314" s="46"/>
      <c r="B314" s="46"/>
      <c r="C314" s="46"/>
      <c r="D314" s="151"/>
      <c r="E314" s="103"/>
      <c r="F314" s="103"/>
      <c r="G314" s="103"/>
      <c r="H314" s="103"/>
      <c r="I314" s="103"/>
      <c r="J314" s="103"/>
      <c r="K314" s="103"/>
      <c r="L314" s="103"/>
      <c r="M314" s="103"/>
      <c r="N314" s="68"/>
      <c r="O314" s="439"/>
      <c r="P314" s="260"/>
      <c r="Q314" s="260"/>
      <c r="R314" s="256"/>
      <c r="S314" s="256"/>
      <c r="T314" s="256"/>
      <c r="U314" s="256"/>
      <c r="V314" s="256"/>
      <c r="W314" s="378"/>
      <c r="X314" s="378"/>
      <c r="Y314" s="378"/>
      <c r="Z314" s="378"/>
      <c r="AA314" s="378"/>
      <c r="AB314" s="612"/>
      <c r="AC314" s="539"/>
      <c r="AD314" s="611"/>
      <c r="AE314" s="131"/>
      <c r="AF314" s="16"/>
    </row>
    <row r="315" spans="1:32" s="15" customFormat="1" ht="24" customHeight="1">
      <c r="A315" s="46"/>
      <c r="B315" s="46"/>
      <c r="C315" s="36" t="s">
        <v>756</v>
      </c>
      <c r="D315" s="153">
        <v>5688</v>
      </c>
      <c r="E315" s="107">
        <f>ROUND(AD315/1000,0)</f>
        <v>5748</v>
      </c>
      <c r="F315" s="108">
        <f>SUMIF($AB$316:$AB$320,"보조",$AD$316:$AD$320)/1000</f>
        <v>0</v>
      </c>
      <c r="G315" s="108">
        <f>SUMIF($AB$316:$AB$320,"7종",$AD$316:$AD$320)/1000</f>
        <v>0</v>
      </c>
      <c r="H315" s="108">
        <f>SUMIF($AB$316:$AB$320,"4종",$AD$316:$AD$320)/1000</f>
        <v>0</v>
      </c>
      <c r="I315" s="108">
        <f>SUMIF($AB$316:$AB$320,"후원",$AD$316:$AD$320)/1000</f>
        <v>4348</v>
      </c>
      <c r="J315" s="108">
        <f>SUMIF($AB$316:$AB$320,"입소",$AD$316:$AD$320)/1000</f>
        <v>1400</v>
      </c>
      <c r="K315" s="108">
        <f>SUMIF($AB$316:$AB$320,"법인",$AD$316:$AD$320)/1000</f>
        <v>0</v>
      </c>
      <c r="L315" s="108">
        <f>SUMIF($AB$316:$AB$320,"잡수",$AD$316:$AD$320)/1000</f>
        <v>0</v>
      </c>
      <c r="M315" s="117">
        <f>E315-D315</f>
        <v>60</v>
      </c>
      <c r="N315" s="115">
        <f>IF(D315=0,0,M315/D315)</f>
        <v>1.0548523206751054E-2</v>
      </c>
      <c r="O315" s="309"/>
      <c r="P315" s="305"/>
      <c r="Q315" s="305"/>
      <c r="R315" s="451"/>
      <c r="S315" s="451"/>
      <c r="T315" s="451"/>
      <c r="U315" s="451"/>
      <c r="V315" s="451"/>
      <c r="W315" s="452" t="s">
        <v>130</v>
      </c>
      <c r="X315" s="452"/>
      <c r="Y315" s="452"/>
      <c r="Z315" s="452"/>
      <c r="AA315" s="452"/>
      <c r="AB315" s="452"/>
      <c r="AC315" s="453"/>
      <c r="AD315" s="453">
        <f>SUM(AD316:AD319)</f>
        <v>5748000</v>
      </c>
      <c r="AE315" s="454" t="s">
        <v>25</v>
      </c>
      <c r="AF315" s="16"/>
    </row>
    <row r="316" spans="1:32" s="15" customFormat="1" ht="24" customHeight="1">
      <c r="A316" s="46"/>
      <c r="B316" s="46"/>
      <c r="C316" s="46" t="s">
        <v>757</v>
      </c>
      <c r="D316" s="151"/>
      <c r="E316" s="103"/>
      <c r="F316" s="103"/>
      <c r="G316" s="103"/>
      <c r="H316" s="103"/>
      <c r="I316" s="103"/>
      <c r="J316" s="103"/>
      <c r="K316" s="103"/>
      <c r="L316" s="103"/>
      <c r="M316" s="103"/>
      <c r="N316" s="68"/>
      <c r="O316" s="602" t="s">
        <v>758</v>
      </c>
      <c r="P316" s="402"/>
      <c r="Q316" s="402"/>
      <c r="R316" s="398"/>
      <c r="S316" s="398"/>
      <c r="T316" s="398"/>
      <c r="U316" s="398"/>
      <c r="V316" s="398"/>
      <c r="W316" s="584"/>
      <c r="X316" s="584"/>
      <c r="Y316" s="584"/>
      <c r="Z316" s="584"/>
      <c r="AA316" s="584"/>
      <c r="AB316" s="601" t="s">
        <v>152</v>
      </c>
      <c r="AC316" s="130"/>
      <c r="AD316" s="130">
        <v>1156000</v>
      </c>
      <c r="AE316" s="131" t="s">
        <v>775</v>
      </c>
      <c r="AF316" s="16"/>
    </row>
    <row r="317" spans="1:32" s="15" customFormat="1" ht="24" customHeight="1">
      <c r="A317" s="46"/>
      <c r="B317" s="46"/>
      <c r="C317" s="46"/>
      <c r="D317" s="151"/>
      <c r="E317" s="103"/>
      <c r="F317" s="103"/>
      <c r="G317" s="103"/>
      <c r="H317" s="103"/>
      <c r="I317" s="103"/>
      <c r="J317" s="103"/>
      <c r="K317" s="103"/>
      <c r="L317" s="103"/>
      <c r="M317" s="103"/>
      <c r="N317" s="68"/>
      <c r="O317" s="602" t="s">
        <v>759</v>
      </c>
      <c r="P317" s="402"/>
      <c r="Q317" s="402"/>
      <c r="R317" s="398"/>
      <c r="S317" s="398"/>
      <c r="T317" s="398"/>
      <c r="U317" s="398"/>
      <c r="V317" s="398"/>
      <c r="W317" s="584"/>
      <c r="X317" s="584"/>
      <c r="Y317" s="584"/>
      <c r="Z317" s="584"/>
      <c r="AA317" s="584"/>
      <c r="AB317" s="601" t="s">
        <v>152</v>
      </c>
      <c r="AC317" s="130"/>
      <c r="AD317" s="130">
        <v>1472000</v>
      </c>
      <c r="AE317" s="131" t="s">
        <v>775</v>
      </c>
      <c r="AF317" s="16"/>
    </row>
    <row r="318" spans="1:32" s="15" customFormat="1" ht="24" customHeight="1">
      <c r="A318" s="46"/>
      <c r="B318" s="46"/>
      <c r="C318" s="46"/>
      <c r="D318" s="151"/>
      <c r="E318" s="103"/>
      <c r="F318" s="103"/>
      <c r="G318" s="103"/>
      <c r="H318" s="103"/>
      <c r="I318" s="103"/>
      <c r="J318" s="103"/>
      <c r="K318" s="103"/>
      <c r="L318" s="103"/>
      <c r="M318" s="103"/>
      <c r="N318" s="68"/>
      <c r="O318" s="602" t="s">
        <v>760</v>
      </c>
      <c r="P318" s="402"/>
      <c r="Q318" s="402"/>
      <c r="R318" s="398"/>
      <c r="S318" s="398"/>
      <c r="T318" s="398"/>
      <c r="U318" s="398"/>
      <c r="V318" s="398"/>
      <c r="W318" s="584"/>
      <c r="X318" s="584"/>
      <c r="Y318" s="601"/>
      <c r="Z318" s="584"/>
      <c r="AA318" s="584"/>
      <c r="AB318" s="584" t="s">
        <v>658</v>
      </c>
      <c r="AC318" s="130"/>
      <c r="AD318" s="130">
        <v>1400000</v>
      </c>
      <c r="AE318" s="131" t="s">
        <v>775</v>
      </c>
      <c r="AF318" s="16"/>
    </row>
    <row r="319" spans="1:32" s="15" customFormat="1" ht="24" customHeight="1">
      <c r="A319" s="46"/>
      <c r="B319" s="46"/>
      <c r="C319" s="46"/>
      <c r="D319" s="151"/>
      <c r="E319" s="103"/>
      <c r="F319" s="103"/>
      <c r="G319" s="103"/>
      <c r="H319" s="103"/>
      <c r="I319" s="103"/>
      <c r="J319" s="103"/>
      <c r="K319" s="103"/>
      <c r="L319" s="103"/>
      <c r="M319" s="103"/>
      <c r="N319" s="68"/>
      <c r="O319" s="585"/>
      <c r="P319" s="402"/>
      <c r="Q319" s="402"/>
      <c r="R319" s="398"/>
      <c r="S319" s="398"/>
      <c r="T319" s="398"/>
      <c r="U319" s="398"/>
      <c r="V319" s="398"/>
      <c r="W319" s="584"/>
      <c r="X319" s="584"/>
      <c r="Y319" s="601"/>
      <c r="Z319" s="584"/>
      <c r="AA319" s="584"/>
      <c r="AB319" s="584" t="s">
        <v>648</v>
      </c>
      <c r="AC319" s="130"/>
      <c r="AD319" s="130">
        <v>1720000</v>
      </c>
      <c r="AE319" s="131" t="s">
        <v>646</v>
      </c>
      <c r="AF319" s="16"/>
    </row>
    <row r="320" spans="1:32" s="15" customFormat="1" ht="24" customHeight="1">
      <c r="A320" s="46"/>
      <c r="B320" s="46"/>
      <c r="C320" s="59"/>
      <c r="D320" s="152"/>
      <c r="E320" s="105"/>
      <c r="F320" s="105"/>
      <c r="G320" s="105"/>
      <c r="H320" s="105"/>
      <c r="I320" s="105"/>
      <c r="J320" s="105"/>
      <c r="K320" s="105"/>
      <c r="L320" s="105"/>
      <c r="M320" s="105"/>
      <c r="N320" s="82"/>
      <c r="O320" s="441"/>
      <c r="P320" s="292"/>
      <c r="Q320" s="292"/>
      <c r="R320" s="457"/>
      <c r="S320" s="457"/>
      <c r="T320" s="457"/>
      <c r="U320" s="457"/>
      <c r="V320" s="457"/>
      <c r="W320" s="440"/>
      <c r="X320" s="440"/>
      <c r="Y320" s="440"/>
      <c r="Z320" s="440"/>
      <c r="AA320" s="440"/>
      <c r="AB320" s="440"/>
      <c r="AC320" s="413"/>
      <c r="AD320" s="413"/>
      <c r="AE320" s="401"/>
      <c r="AF320" s="16"/>
    </row>
    <row r="321" spans="1:32" s="15" customFormat="1" ht="24" customHeight="1">
      <c r="A321" s="46"/>
      <c r="B321" s="46"/>
      <c r="C321" s="36" t="s">
        <v>324</v>
      </c>
      <c r="D321" s="153">
        <v>2168</v>
      </c>
      <c r="E321" s="107">
        <f>ROUND(AD321/1000,0)</f>
        <v>2168</v>
      </c>
      <c r="F321" s="108">
        <f>SUMIF($AB$322:$AB$326,"보조",$AD$322:$AD$326)/1000</f>
        <v>0</v>
      </c>
      <c r="G321" s="108">
        <f>SUMIF($AB$322:$AB$326,"7종",$AD$322:$AD$326)/1000</f>
        <v>0</v>
      </c>
      <c r="H321" s="108">
        <f>SUMIF($AB$322:$AB$326,"4종",$AD$322:$AD$326)/1000</f>
        <v>0</v>
      </c>
      <c r="I321" s="108">
        <f>SUMIF($AB$322:$AB$326,"후원",$AD$322:$AD$326)/1000</f>
        <v>1058</v>
      </c>
      <c r="J321" s="108">
        <f>SUMIF($AB$322:$AB$326,"입소",$AD$322:$AD$326)/1000</f>
        <v>1110</v>
      </c>
      <c r="K321" s="108">
        <f>SUMIF($AB$322:$AB$326,"법인",$AD$322:$AD$326)/1000</f>
        <v>0</v>
      </c>
      <c r="L321" s="108">
        <f>SUMIF($AB$322:$AB$326,"잡수",$AD$322:$AD$326)/1000</f>
        <v>0</v>
      </c>
      <c r="M321" s="117">
        <f>E321-D321</f>
        <v>0</v>
      </c>
      <c r="N321" s="115">
        <f>IF(D321=0,0,M321/D321)</f>
        <v>0</v>
      </c>
      <c r="O321" s="309"/>
      <c r="P321" s="305"/>
      <c r="Q321" s="305"/>
      <c r="R321" s="451"/>
      <c r="S321" s="451"/>
      <c r="T321" s="451"/>
      <c r="U321" s="451"/>
      <c r="V321" s="451"/>
      <c r="W321" s="452" t="s">
        <v>130</v>
      </c>
      <c r="X321" s="452"/>
      <c r="Y321" s="452"/>
      <c r="Z321" s="452"/>
      <c r="AA321" s="452"/>
      <c r="AB321" s="452"/>
      <c r="AC321" s="453"/>
      <c r="AD321" s="453">
        <f>SUM(AD322:AD326)</f>
        <v>2168000</v>
      </c>
      <c r="AE321" s="454" t="s">
        <v>25</v>
      </c>
      <c r="AF321" s="16"/>
    </row>
    <row r="322" spans="1:32" s="15" customFormat="1" ht="24" customHeight="1">
      <c r="A322" s="46"/>
      <c r="B322" s="46"/>
      <c r="C322" s="46" t="s">
        <v>310</v>
      </c>
      <c r="D322" s="151"/>
      <c r="E322" s="103"/>
      <c r="F322" s="103"/>
      <c r="G322" s="103"/>
      <c r="H322" s="103"/>
      <c r="I322" s="103"/>
      <c r="J322" s="103"/>
      <c r="K322" s="103"/>
      <c r="L322" s="103"/>
      <c r="M322" s="103"/>
      <c r="N322" s="68"/>
      <c r="O322" s="602" t="s">
        <v>767</v>
      </c>
      <c r="P322" s="402"/>
      <c r="Q322" s="402"/>
      <c r="R322" s="398"/>
      <c r="S322" s="398"/>
      <c r="T322" s="398"/>
      <c r="U322" s="398"/>
      <c r="V322" s="398"/>
      <c r="W322" s="598"/>
      <c r="X322" s="598"/>
      <c r="Y322" s="598"/>
      <c r="Z322" s="598"/>
      <c r="AA322" s="598"/>
      <c r="AB322" s="598" t="s">
        <v>704</v>
      </c>
      <c r="AC322" s="130"/>
      <c r="AD322" s="130">
        <v>80000</v>
      </c>
      <c r="AE322" s="131" t="s">
        <v>775</v>
      </c>
      <c r="AF322" s="16"/>
    </row>
    <row r="323" spans="1:32" s="15" customFormat="1" ht="24" customHeight="1">
      <c r="A323" s="46"/>
      <c r="B323" s="46"/>
      <c r="C323" s="46"/>
      <c r="D323" s="151"/>
      <c r="E323" s="103"/>
      <c r="F323" s="103"/>
      <c r="G323" s="103"/>
      <c r="H323" s="103"/>
      <c r="I323" s="103"/>
      <c r="J323" s="103"/>
      <c r="K323" s="103"/>
      <c r="L323" s="103"/>
      <c r="M323" s="103"/>
      <c r="N323" s="68"/>
      <c r="O323" s="443" t="s">
        <v>325</v>
      </c>
      <c r="P323" s="402"/>
      <c r="Q323" s="402"/>
      <c r="R323" s="398"/>
      <c r="S323" s="398"/>
      <c r="T323" s="398"/>
      <c r="U323" s="398"/>
      <c r="V323" s="398"/>
      <c r="W323" s="442"/>
      <c r="X323" s="442"/>
      <c r="Y323" s="442"/>
      <c r="Z323" s="442"/>
      <c r="AA323" s="442"/>
      <c r="AB323" s="601" t="s">
        <v>152</v>
      </c>
      <c r="AC323" s="130"/>
      <c r="AD323" s="130">
        <v>240000</v>
      </c>
      <c r="AE323" s="131" t="s">
        <v>775</v>
      </c>
      <c r="AF323" s="16"/>
    </row>
    <row r="324" spans="1:32" s="15" customFormat="1" ht="24" customHeight="1">
      <c r="A324" s="46"/>
      <c r="B324" s="46"/>
      <c r="C324" s="46"/>
      <c r="D324" s="151"/>
      <c r="E324" s="103"/>
      <c r="F324" s="103"/>
      <c r="G324" s="103"/>
      <c r="H324" s="103"/>
      <c r="I324" s="103"/>
      <c r="J324" s="103"/>
      <c r="K324" s="103"/>
      <c r="L324" s="103"/>
      <c r="M324" s="103"/>
      <c r="N324" s="68"/>
      <c r="O324" s="602" t="s">
        <v>761</v>
      </c>
      <c r="P324" s="402"/>
      <c r="Q324" s="402"/>
      <c r="R324" s="398"/>
      <c r="S324" s="398"/>
      <c r="T324" s="398"/>
      <c r="U324" s="398"/>
      <c r="V324" s="398"/>
      <c r="W324" s="444"/>
      <c r="X324" s="444"/>
      <c r="Y324" s="444"/>
      <c r="Z324" s="444"/>
      <c r="AA324" s="444"/>
      <c r="AB324" s="601" t="s">
        <v>152</v>
      </c>
      <c r="AC324" s="130"/>
      <c r="AD324" s="130">
        <v>100000</v>
      </c>
      <c r="AE324" s="131" t="s">
        <v>775</v>
      </c>
      <c r="AF324" s="16"/>
    </row>
    <row r="325" spans="1:32" s="15" customFormat="1" ht="24" customHeight="1">
      <c r="A325" s="46"/>
      <c r="B325" s="46"/>
      <c r="C325" s="46"/>
      <c r="D325" s="151"/>
      <c r="E325" s="103"/>
      <c r="F325" s="103"/>
      <c r="G325" s="103"/>
      <c r="H325" s="103"/>
      <c r="I325" s="103"/>
      <c r="J325" s="103"/>
      <c r="K325" s="103"/>
      <c r="L325" s="103"/>
      <c r="M325" s="103"/>
      <c r="N325" s="68"/>
      <c r="O325" s="602" t="s">
        <v>762</v>
      </c>
      <c r="P325" s="402"/>
      <c r="Q325" s="402"/>
      <c r="R325" s="398"/>
      <c r="S325" s="398"/>
      <c r="T325" s="398"/>
      <c r="U325" s="398"/>
      <c r="V325" s="398"/>
      <c r="W325" s="442"/>
      <c r="X325" s="442"/>
      <c r="Y325" s="442"/>
      <c r="Z325" s="442"/>
      <c r="AA325" s="442"/>
      <c r="AB325" s="601" t="s">
        <v>152</v>
      </c>
      <c r="AC325" s="130"/>
      <c r="AD325" s="539">
        <v>638000</v>
      </c>
      <c r="AE325" s="628" t="s">
        <v>854</v>
      </c>
      <c r="AF325" s="16"/>
    </row>
    <row r="326" spans="1:32" s="15" customFormat="1" ht="24" customHeight="1">
      <c r="A326" s="46"/>
      <c r="B326" s="46"/>
      <c r="C326" s="59"/>
      <c r="D326" s="152"/>
      <c r="E326" s="105"/>
      <c r="F326" s="105"/>
      <c r="G326" s="105"/>
      <c r="H326" s="105"/>
      <c r="I326" s="105"/>
      <c r="J326" s="105"/>
      <c r="K326" s="105"/>
      <c r="L326" s="105"/>
      <c r="M326" s="105"/>
      <c r="N326" s="82"/>
      <c r="O326" s="600" t="s">
        <v>763</v>
      </c>
      <c r="P326" s="292"/>
      <c r="Q326" s="292"/>
      <c r="R326" s="457"/>
      <c r="S326" s="457"/>
      <c r="T326" s="457"/>
      <c r="U326" s="457"/>
      <c r="V326" s="457"/>
      <c r="W326" s="440"/>
      <c r="X326" s="440"/>
      <c r="Y326" s="440"/>
      <c r="Z326" s="440"/>
      <c r="AA326" s="440"/>
      <c r="AB326" s="629" t="s">
        <v>816</v>
      </c>
      <c r="AC326" s="413"/>
      <c r="AD326" s="301">
        <v>1110000</v>
      </c>
      <c r="AE326" s="628" t="s">
        <v>854</v>
      </c>
      <c r="AF326" s="16"/>
    </row>
    <row r="327" spans="1:32" s="15" customFormat="1" ht="24" customHeight="1">
      <c r="A327" s="46"/>
      <c r="B327" s="46"/>
      <c r="C327" s="36" t="s">
        <v>326</v>
      </c>
      <c r="D327" s="153">
        <v>2349</v>
      </c>
      <c r="E327" s="107">
        <f>ROUND(AD327/1000,0)</f>
        <v>2349</v>
      </c>
      <c r="F327" s="108">
        <f>SUMIF($AB$328:$AB$334,"보조",$AD$328:$AD$334)/1000</f>
        <v>0</v>
      </c>
      <c r="G327" s="108">
        <f>SUMIF($AB$328:$AB$334,"7종",$AD$328:$AD$334)/1000</f>
        <v>0</v>
      </c>
      <c r="H327" s="108">
        <f>SUMIF($AB$328:$AB$334,"4종",$AD$328:$AD$334)/1000</f>
        <v>0</v>
      </c>
      <c r="I327" s="108">
        <f>SUMIF($AB$328:$AB$334,"후원",$AD$328:$AD$334)/1000</f>
        <v>308</v>
      </c>
      <c r="J327" s="108">
        <f>SUMIF($AB$328:$AB$334,"입소",$AD$328:$AD$334)/1000</f>
        <v>2041</v>
      </c>
      <c r="K327" s="108">
        <f>SUMIF($AB$328:$AB$334,"법인",$AD$328:$AD$334)/1000</f>
        <v>0</v>
      </c>
      <c r="L327" s="108">
        <f>SUMIF($AB$328:$AB$334,"잡수",$AD$328:$AD$334)/1000</f>
        <v>0</v>
      </c>
      <c r="M327" s="107">
        <f>E327-D327</f>
        <v>0</v>
      </c>
      <c r="N327" s="115">
        <f>IF(D327=0,0,M327/D327)</f>
        <v>0</v>
      </c>
      <c r="O327" s="309"/>
      <c r="P327" s="305"/>
      <c r="Q327" s="305"/>
      <c r="R327" s="451"/>
      <c r="S327" s="451"/>
      <c r="T327" s="451"/>
      <c r="U327" s="451"/>
      <c r="V327" s="451"/>
      <c r="W327" s="452" t="s">
        <v>130</v>
      </c>
      <c r="X327" s="452"/>
      <c r="Y327" s="452"/>
      <c r="Z327" s="452"/>
      <c r="AA327" s="452"/>
      <c r="AB327" s="452"/>
      <c r="AC327" s="453"/>
      <c r="AD327" s="453">
        <f>SUM(AD328:AD334)</f>
        <v>2349000</v>
      </c>
      <c r="AE327" s="454" t="s">
        <v>25</v>
      </c>
      <c r="AF327" s="16"/>
    </row>
    <row r="328" spans="1:32" s="15" customFormat="1" ht="24" customHeight="1">
      <c r="A328" s="46"/>
      <c r="B328" s="46"/>
      <c r="C328" s="46" t="s">
        <v>322</v>
      </c>
      <c r="D328" s="151"/>
      <c r="E328" s="103"/>
      <c r="F328" s="103"/>
      <c r="G328" s="103"/>
      <c r="H328" s="103"/>
      <c r="I328" s="103"/>
      <c r="J328" s="103"/>
      <c r="K328" s="103"/>
      <c r="L328" s="103"/>
      <c r="M328" s="103"/>
      <c r="N328" s="68"/>
      <c r="O328" s="443" t="s">
        <v>327</v>
      </c>
      <c r="P328" s="402"/>
      <c r="Q328" s="402"/>
      <c r="R328" s="398"/>
      <c r="S328" s="398"/>
      <c r="T328" s="398"/>
      <c r="U328" s="398"/>
      <c r="V328" s="398"/>
      <c r="W328" s="442"/>
      <c r="X328" s="442"/>
      <c r="Y328" s="442"/>
      <c r="Z328" s="442"/>
      <c r="AA328" s="442"/>
      <c r="AB328" s="631" t="s">
        <v>816</v>
      </c>
      <c r="AC328" s="130"/>
      <c r="AD328" s="130">
        <v>1111000</v>
      </c>
      <c r="AE328" s="131" t="s">
        <v>775</v>
      </c>
      <c r="AF328" s="16"/>
    </row>
    <row r="329" spans="1:32" s="15" customFormat="1" ht="24" customHeight="1">
      <c r="A329" s="46"/>
      <c r="B329" s="46"/>
      <c r="C329" s="46" t="s">
        <v>310</v>
      </c>
      <c r="D329" s="151"/>
      <c r="E329" s="103"/>
      <c r="F329" s="103"/>
      <c r="G329" s="103"/>
      <c r="H329" s="103"/>
      <c r="I329" s="103"/>
      <c r="J329" s="103"/>
      <c r="K329" s="103"/>
      <c r="L329" s="103"/>
      <c r="M329" s="103"/>
      <c r="N329" s="68"/>
      <c r="O329" s="599" t="s">
        <v>729</v>
      </c>
      <c r="P329" s="402"/>
      <c r="Q329" s="402"/>
      <c r="R329" s="398"/>
      <c r="S329" s="398"/>
      <c r="T329" s="398"/>
      <c r="U329" s="398"/>
      <c r="V329" s="398"/>
      <c r="W329" s="442"/>
      <c r="X329" s="442"/>
      <c r="Y329" s="442"/>
      <c r="Z329" s="442"/>
      <c r="AA329" s="442"/>
      <c r="AB329" s="442" t="s">
        <v>323</v>
      </c>
      <c r="AC329" s="130"/>
      <c r="AD329" s="130">
        <v>128000</v>
      </c>
      <c r="AE329" s="131" t="s">
        <v>775</v>
      </c>
      <c r="AF329" s="16"/>
    </row>
    <row r="330" spans="1:32" s="15" customFormat="1" ht="24" customHeight="1">
      <c r="A330" s="46"/>
      <c r="B330" s="46"/>
      <c r="C330" s="46"/>
      <c r="D330" s="151"/>
      <c r="E330" s="103"/>
      <c r="F330" s="103"/>
      <c r="G330" s="103"/>
      <c r="H330" s="103"/>
      <c r="I330" s="103"/>
      <c r="J330" s="103"/>
      <c r="K330" s="103"/>
      <c r="L330" s="103"/>
      <c r="M330" s="103"/>
      <c r="N330" s="68"/>
      <c r="O330" s="599" t="s">
        <v>730</v>
      </c>
      <c r="P330" s="402"/>
      <c r="Q330" s="402"/>
      <c r="R330" s="398"/>
      <c r="S330" s="398"/>
      <c r="T330" s="398"/>
      <c r="U330" s="398"/>
      <c r="V330" s="398"/>
      <c r="W330" s="442"/>
      <c r="X330" s="442"/>
      <c r="Y330" s="442"/>
      <c r="Z330" s="442"/>
      <c r="AA330" s="442"/>
      <c r="AB330" s="442" t="s">
        <v>323</v>
      </c>
      <c r="AC330" s="130"/>
      <c r="AD330" s="130">
        <v>45000</v>
      </c>
      <c r="AE330" s="131" t="s">
        <v>775</v>
      </c>
      <c r="AF330" s="16"/>
    </row>
    <row r="331" spans="1:32" s="15" customFormat="1" ht="24" customHeight="1">
      <c r="A331" s="46"/>
      <c r="B331" s="46"/>
      <c r="C331" s="46"/>
      <c r="D331" s="151"/>
      <c r="E331" s="103"/>
      <c r="F331" s="103"/>
      <c r="G331" s="103"/>
      <c r="H331" s="103"/>
      <c r="I331" s="103"/>
      <c r="J331" s="103"/>
      <c r="K331" s="103"/>
      <c r="L331" s="103"/>
      <c r="M331" s="103"/>
      <c r="N331" s="68"/>
      <c r="O331" s="599" t="s">
        <v>726</v>
      </c>
      <c r="P331" s="402"/>
      <c r="Q331" s="402"/>
      <c r="R331" s="398"/>
      <c r="S331" s="398"/>
      <c r="T331" s="398"/>
      <c r="U331" s="398"/>
      <c r="V331" s="398"/>
      <c r="W331" s="598"/>
      <c r="X331" s="598"/>
      <c r="Y331" s="598"/>
      <c r="Z331" s="598"/>
      <c r="AA331" s="598"/>
      <c r="AB331" s="631" t="s">
        <v>213</v>
      </c>
      <c r="AC331" s="130"/>
      <c r="AD331" s="130">
        <v>400000</v>
      </c>
      <c r="AE331" s="131" t="s">
        <v>775</v>
      </c>
      <c r="AF331" s="16"/>
    </row>
    <row r="332" spans="1:32" s="15" customFormat="1" ht="24" customHeight="1">
      <c r="A332" s="46"/>
      <c r="B332" s="46"/>
      <c r="C332" s="46"/>
      <c r="D332" s="151"/>
      <c r="E332" s="103"/>
      <c r="F332" s="103"/>
      <c r="G332" s="103"/>
      <c r="H332" s="103"/>
      <c r="I332" s="103"/>
      <c r="J332" s="103"/>
      <c r="K332" s="103"/>
      <c r="L332" s="103"/>
      <c r="M332" s="103"/>
      <c r="N332" s="68"/>
      <c r="O332" s="599" t="s">
        <v>731</v>
      </c>
      <c r="P332" s="402"/>
      <c r="Q332" s="402"/>
      <c r="R332" s="398"/>
      <c r="S332" s="398"/>
      <c r="T332" s="398"/>
      <c r="U332" s="398"/>
      <c r="V332" s="398"/>
      <c r="W332" s="598"/>
      <c r="X332" s="598"/>
      <c r="Y332" s="598"/>
      <c r="Z332" s="598"/>
      <c r="AA332" s="598"/>
      <c r="AB332" s="631" t="s">
        <v>213</v>
      </c>
      <c r="AC332" s="130"/>
      <c r="AD332" s="130">
        <v>530000</v>
      </c>
      <c r="AE332" s="131" t="s">
        <v>775</v>
      </c>
      <c r="AF332" s="16"/>
    </row>
    <row r="333" spans="1:32" s="15" customFormat="1" ht="24" customHeight="1">
      <c r="A333" s="46"/>
      <c r="B333" s="46"/>
      <c r="C333" s="46"/>
      <c r="D333" s="151"/>
      <c r="E333" s="103"/>
      <c r="F333" s="103"/>
      <c r="G333" s="103"/>
      <c r="H333" s="103"/>
      <c r="I333" s="103"/>
      <c r="J333" s="103"/>
      <c r="K333" s="103"/>
      <c r="L333" s="103"/>
      <c r="M333" s="103"/>
      <c r="N333" s="68"/>
      <c r="O333" s="599" t="s">
        <v>727</v>
      </c>
      <c r="P333" s="402"/>
      <c r="Q333" s="402"/>
      <c r="R333" s="398"/>
      <c r="S333" s="398"/>
      <c r="T333" s="398"/>
      <c r="U333" s="398"/>
      <c r="V333" s="398"/>
      <c r="W333" s="598"/>
      <c r="X333" s="598"/>
      <c r="Y333" s="598"/>
      <c r="Z333" s="598"/>
      <c r="AA333" s="598"/>
      <c r="AB333" s="598" t="s">
        <v>704</v>
      </c>
      <c r="AC333" s="130"/>
      <c r="AD333" s="130">
        <v>135000</v>
      </c>
      <c r="AE333" s="131" t="s">
        <v>775</v>
      </c>
      <c r="AF333" s="16"/>
    </row>
    <row r="334" spans="1:32" s="15" customFormat="1" ht="24" customHeight="1">
      <c r="A334" s="46"/>
      <c r="B334" s="46"/>
      <c r="C334" s="59"/>
      <c r="D334" s="152"/>
      <c r="E334" s="105"/>
      <c r="F334" s="105"/>
      <c r="G334" s="105"/>
      <c r="H334" s="105"/>
      <c r="I334" s="105"/>
      <c r="J334" s="105"/>
      <c r="K334" s="105"/>
      <c r="L334" s="105"/>
      <c r="M334" s="105"/>
      <c r="N334" s="82"/>
      <c r="O334" s="597" t="s">
        <v>728</v>
      </c>
      <c r="P334" s="292"/>
      <c r="Q334" s="292"/>
      <c r="R334" s="457"/>
      <c r="S334" s="457"/>
      <c r="T334" s="457"/>
      <c r="U334" s="457"/>
      <c r="V334" s="457"/>
      <c r="W334" s="596"/>
      <c r="X334" s="596"/>
      <c r="Y334" s="596"/>
      <c r="Z334" s="596"/>
      <c r="AA334" s="596"/>
      <c r="AB334" s="598" t="s">
        <v>704</v>
      </c>
      <c r="AC334" s="413"/>
      <c r="AD334" s="413">
        <v>0</v>
      </c>
      <c r="AE334" s="131" t="s">
        <v>677</v>
      </c>
      <c r="AF334" s="16"/>
    </row>
    <row r="335" spans="1:32" s="15" customFormat="1" ht="24" customHeight="1">
      <c r="A335" s="46"/>
      <c r="B335" s="46"/>
      <c r="C335" s="36" t="s">
        <v>328</v>
      </c>
      <c r="D335" s="153">
        <v>100</v>
      </c>
      <c r="E335" s="107">
        <f>ROUND(AD335/1000,0)</f>
        <v>100</v>
      </c>
      <c r="F335" s="108">
        <f>SUMIF($AB$336:$AB$340,"보조",$AD$336:$AD$340)/1000</f>
        <v>0</v>
      </c>
      <c r="G335" s="108">
        <f>SUMIF($AB$336:$AB$340,"7종",$AD$336:$AD$340)/1000</f>
        <v>0</v>
      </c>
      <c r="H335" s="108">
        <f>SUMIF($AB$336:$AB$340,"4종",$AD$336:$AD$340)/1000</f>
        <v>0</v>
      </c>
      <c r="I335" s="108">
        <f>SUMIF($AB$336:$AB$340,"후원",$AD$336:$AD$340)/1000</f>
        <v>100</v>
      </c>
      <c r="J335" s="108">
        <f>SUMIF($AB$336:$AB$340,"입소",$AD$336:$AD$340)/1000</f>
        <v>0</v>
      </c>
      <c r="K335" s="108">
        <f>SUMIF($AB$336:$AB$340,"법인",$AD$336:$AD$340)/1000</f>
        <v>0</v>
      </c>
      <c r="L335" s="108">
        <f>SUMIF($AB$336:$AB$340,"잡수",$AD$336:$AD$340)/1000</f>
        <v>0</v>
      </c>
      <c r="M335" s="107">
        <f>E335-D335</f>
        <v>0</v>
      </c>
      <c r="N335" s="115">
        <f>IF(D335=0,0,M335/D335)</f>
        <v>0</v>
      </c>
      <c r="O335" s="288"/>
      <c r="P335" s="305"/>
      <c r="Q335" s="305"/>
      <c r="R335" s="451"/>
      <c r="S335" s="451"/>
      <c r="T335" s="451"/>
      <c r="U335" s="451"/>
      <c r="V335" s="451"/>
      <c r="W335" s="452" t="s">
        <v>130</v>
      </c>
      <c r="X335" s="452"/>
      <c r="Y335" s="452"/>
      <c r="Z335" s="452"/>
      <c r="AA335" s="452"/>
      <c r="AB335" s="452"/>
      <c r="AC335" s="453"/>
      <c r="AD335" s="453">
        <f>SUM(AD336:AD339)</f>
        <v>100000</v>
      </c>
      <c r="AE335" s="454" t="s">
        <v>25</v>
      </c>
      <c r="AF335" s="16"/>
    </row>
    <row r="336" spans="1:32" s="15" customFormat="1" ht="24" customHeight="1">
      <c r="A336" s="46"/>
      <c r="B336" s="46"/>
      <c r="C336" s="46" t="s">
        <v>322</v>
      </c>
      <c r="D336" s="151"/>
      <c r="E336" s="103"/>
      <c r="F336" s="103"/>
      <c r="G336" s="103"/>
      <c r="H336" s="103"/>
      <c r="I336" s="103"/>
      <c r="J336" s="103"/>
      <c r="K336" s="103"/>
      <c r="L336" s="103"/>
      <c r="M336" s="103"/>
      <c r="N336" s="68"/>
      <c r="O336" s="557" t="s">
        <v>605</v>
      </c>
      <c r="P336" s="402"/>
      <c r="Q336" s="402"/>
      <c r="R336" s="398"/>
      <c r="S336" s="398"/>
      <c r="T336" s="398"/>
      <c r="U336" s="398"/>
      <c r="V336" s="398"/>
      <c r="W336" s="556"/>
      <c r="X336" s="556"/>
      <c r="Y336" s="556"/>
      <c r="Z336" s="556"/>
      <c r="AA336" s="556"/>
      <c r="AB336" s="556" t="s">
        <v>606</v>
      </c>
      <c r="AC336" s="130"/>
      <c r="AD336" s="130">
        <v>0</v>
      </c>
      <c r="AE336" s="131" t="s">
        <v>588</v>
      </c>
      <c r="AF336" s="16"/>
    </row>
    <row r="337" spans="1:32" s="15" customFormat="1" ht="24" customHeight="1">
      <c r="A337" s="46"/>
      <c r="B337" s="46"/>
      <c r="C337" s="46"/>
      <c r="D337" s="151"/>
      <c r="E337" s="103"/>
      <c r="F337" s="103"/>
      <c r="G337" s="103"/>
      <c r="H337" s="103"/>
      <c r="I337" s="103"/>
      <c r="J337" s="103"/>
      <c r="K337" s="103"/>
      <c r="L337" s="103"/>
      <c r="M337" s="103"/>
      <c r="N337" s="68"/>
      <c r="O337" s="557" t="s">
        <v>607</v>
      </c>
      <c r="P337" s="402"/>
      <c r="Q337" s="402"/>
      <c r="R337" s="398"/>
      <c r="S337" s="556">
        <v>15000</v>
      </c>
      <c r="T337" s="297" t="s">
        <v>588</v>
      </c>
      <c r="U337" s="297" t="s">
        <v>26</v>
      </c>
      <c r="V337" s="556">
        <v>4</v>
      </c>
      <c r="W337" s="557" t="s">
        <v>602</v>
      </c>
      <c r="X337" s="556"/>
      <c r="Y337" s="409"/>
      <c r="Z337" s="409" t="s">
        <v>591</v>
      </c>
      <c r="AA337" s="409"/>
      <c r="AB337" s="409" t="s">
        <v>152</v>
      </c>
      <c r="AC337" s="409"/>
      <c r="AD337" s="447">
        <f>S337*V337</f>
        <v>60000</v>
      </c>
      <c r="AE337" s="131" t="s">
        <v>56</v>
      </c>
      <c r="AF337" s="16"/>
    </row>
    <row r="338" spans="1:32" s="15" customFormat="1" ht="24" customHeight="1">
      <c r="A338" s="46"/>
      <c r="B338" s="46"/>
      <c r="C338" s="46"/>
      <c r="D338" s="151"/>
      <c r="E338" s="103"/>
      <c r="F338" s="103"/>
      <c r="G338" s="103"/>
      <c r="H338" s="103"/>
      <c r="I338" s="103"/>
      <c r="J338" s="103"/>
      <c r="K338" s="103"/>
      <c r="L338" s="103"/>
      <c r="M338" s="103"/>
      <c r="N338" s="68"/>
      <c r="O338" s="557" t="s">
        <v>608</v>
      </c>
      <c r="P338" s="402"/>
      <c r="Q338" s="402"/>
      <c r="R338" s="398"/>
      <c r="S338" s="556"/>
      <c r="T338" s="297"/>
      <c r="U338" s="297"/>
      <c r="V338" s="556"/>
      <c r="W338" s="557"/>
      <c r="X338" s="556"/>
      <c r="Y338" s="409"/>
      <c r="Z338" s="409"/>
      <c r="AA338" s="409"/>
      <c r="AB338" s="409" t="s">
        <v>606</v>
      </c>
      <c r="AC338" s="409"/>
      <c r="AD338" s="447">
        <v>0</v>
      </c>
      <c r="AE338" s="131" t="s">
        <v>56</v>
      </c>
      <c r="AF338" s="16"/>
    </row>
    <row r="339" spans="1:32" s="15" customFormat="1" ht="24" customHeight="1">
      <c r="A339" s="46"/>
      <c r="B339" s="46"/>
      <c r="C339" s="46"/>
      <c r="D339" s="151"/>
      <c r="E339" s="103"/>
      <c r="F339" s="103"/>
      <c r="G339" s="103"/>
      <c r="H339" s="103"/>
      <c r="I339" s="103"/>
      <c r="J339" s="103"/>
      <c r="K339" s="103"/>
      <c r="L339" s="103"/>
      <c r="M339" s="103"/>
      <c r="N339" s="68"/>
      <c r="O339" s="602" t="s">
        <v>771</v>
      </c>
      <c r="P339" s="402"/>
      <c r="Q339" s="402"/>
      <c r="R339" s="398"/>
      <c r="S339" s="442"/>
      <c r="T339" s="297"/>
      <c r="U339" s="297"/>
      <c r="V339" s="442"/>
      <c r="W339" s="443"/>
      <c r="X339" s="442"/>
      <c r="Y339" s="409"/>
      <c r="Z339" s="409"/>
      <c r="AA339" s="409"/>
      <c r="AB339" s="409" t="s">
        <v>152</v>
      </c>
      <c r="AC339" s="409"/>
      <c r="AD339" s="447">
        <v>40000</v>
      </c>
      <c r="AE339" s="131" t="s">
        <v>56</v>
      </c>
      <c r="AF339" s="16"/>
    </row>
    <row r="340" spans="1:32" s="15" customFormat="1" ht="24" customHeight="1">
      <c r="A340" s="46"/>
      <c r="B340" s="46"/>
      <c r="C340" s="59"/>
      <c r="D340" s="152"/>
      <c r="E340" s="105"/>
      <c r="F340" s="105"/>
      <c r="G340" s="105"/>
      <c r="H340" s="105"/>
      <c r="I340" s="105"/>
      <c r="J340" s="105"/>
      <c r="K340" s="105"/>
      <c r="L340" s="105"/>
      <c r="M340" s="105"/>
      <c r="N340" s="82"/>
      <c r="O340" s="441"/>
      <c r="P340" s="292"/>
      <c r="Q340" s="292"/>
      <c r="R340" s="457"/>
      <c r="S340" s="457"/>
      <c r="T340" s="457"/>
      <c r="U340" s="457"/>
      <c r="V340" s="457"/>
      <c r="W340" s="440"/>
      <c r="X340" s="440"/>
      <c r="Y340" s="440"/>
      <c r="Z340" s="440"/>
      <c r="AA340" s="440"/>
      <c r="AB340" s="440"/>
      <c r="AC340" s="413"/>
      <c r="AD340" s="413"/>
      <c r="AE340" s="401"/>
      <c r="AF340" s="16"/>
    </row>
    <row r="341" spans="1:32" s="11" customFormat="1" ht="21" customHeight="1">
      <c r="A341" s="106" t="s">
        <v>148</v>
      </c>
      <c r="B341" s="736" t="s">
        <v>20</v>
      </c>
      <c r="C341" s="737"/>
      <c r="D341" s="166">
        <f>SUM(D342)</f>
        <v>240</v>
      </c>
      <c r="E341" s="166">
        <f>SUM(E342)</f>
        <v>240</v>
      </c>
      <c r="F341" s="166">
        <f t="shared" ref="F341:L341" si="13">SUM(F342)</f>
        <v>205</v>
      </c>
      <c r="G341" s="166">
        <f t="shared" si="13"/>
        <v>30</v>
      </c>
      <c r="H341" s="166">
        <f t="shared" si="13"/>
        <v>5</v>
      </c>
      <c r="I341" s="166">
        <f t="shared" si="13"/>
        <v>0</v>
      </c>
      <c r="J341" s="166">
        <f t="shared" si="13"/>
        <v>0</v>
      </c>
      <c r="K341" s="166">
        <f t="shared" si="13"/>
        <v>0</v>
      </c>
      <c r="L341" s="166">
        <f t="shared" si="13"/>
        <v>0</v>
      </c>
      <c r="M341" s="166">
        <f>E341-D341</f>
        <v>0</v>
      </c>
      <c r="N341" s="167">
        <f>IF(D341=0,0,M341/D341)</f>
        <v>0</v>
      </c>
      <c r="O341" s="95" t="s">
        <v>151</v>
      </c>
      <c r="P341" s="168"/>
      <c r="Q341" s="168"/>
      <c r="R341" s="168"/>
      <c r="S341" s="169"/>
      <c r="T341" s="169"/>
      <c r="U341" s="169"/>
      <c r="V341" s="169"/>
      <c r="W341" s="169"/>
      <c r="X341" s="169"/>
      <c r="Y341" s="169"/>
      <c r="Z341" s="169"/>
      <c r="AA341" s="169"/>
      <c r="AB341" s="169"/>
      <c r="AC341" s="169"/>
      <c r="AD341" s="169">
        <f>SUM(AD342)</f>
        <v>240000</v>
      </c>
      <c r="AE341" s="170" t="s">
        <v>25</v>
      </c>
      <c r="AF341" s="1"/>
    </row>
    <row r="342" spans="1:32" s="11" customFormat="1" ht="21" customHeight="1">
      <c r="A342" s="184" t="s">
        <v>150</v>
      </c>
      <c r="B342" s="46" t="s">
        <v>148</v>
      </c>
      <c r="C342" s="46" t="s">
        <v>148</v>
      </c>
      <c r="D342" s="151">
        <v>240</v>
      </c>
      <c r="E342" s="103">
        <f>AD342/1000</f>
        <v>240</v>
      </c>
      <c r="F342" s="108">
        <f>SUMIF($AB$343:$AB$353,"보조",$AD$343:$AD$353)/1000</f>
        <v>205</v>
      </c>
      <c r="G342" s="108">
        <f>SUMIF($AB$343:$AB$353,"7종",$AD$343:$AD$353)/1000</f>
        <v>30</v>
      </c>
      <c r="H342" s="108">
        <f>SUMIF($AB$343:$AB$353,"4종",$AD$343:$AD$353)/1000</f>
        <v>5</v>
      </c>
      <c r="I342" s="108">
        <f>SUMIF($AB$343:$AB$353,"후원",$AD$343:$AD$353)/1000</f>
        <v>0</v>
      </c>
      <c r="J342" s="108">
        <f>SUMIF($AB$343:$AB$353,"입소",$AD$343:$AD$353)/1000</f>
        <v>0</v>
      </c>
      <c r="K342" s="108">
        <f>SUMIF($AB$343:$AB$353,"법인",$AD$343:$AD$353)/1000</f>
        <v>0</v>
      </c>
      <c r="L342" s="108">
        <f>SUMIF($AB$343:$AB$353,"잡수",$AD$343:$AD$353)/1000</f>
        <v>0</v>
      </c>
      <c r="M342" s="103">
        <f>E342-D342</f>
        <v>0</v>
      </c>
      <c r="N342" s="68">
        <f>IF(D342=0,0,M342/D342)</f>
        <v>0</v>
      </c>
      <c r="O342" s="292" t="s">
        <v>199</v>
      </c>
      <c r="P342" s="32"/>
      <c r="Q342" s="32"/>
      <c r="R342" s="32"/>
      <c r="S342" s="32"/>
      <c r="T342" s="33"/>
      <c r="U342" s="33"/>
      <c r="V342" s="33"/>
      <c r="W342" s="33"/>
      <c r="X342" s="33"/>
      <c r="Y342" s="169" t="s">
        <v>137</v>
      </c>
      <c r="Z342" s="97"/>
      <c r="AA342" s="97"/>
      <c r="AB342" s="97"/>
      <c r="AC342" s="112"/>
      <c r="AD342" s="112">
        <f>ROUNDUP(SUM(AD343:AD352),-3)</f>
        <v>240000</v>
      </c>
      <c r="AE342" s="113" t="s">
        <v>25</v>
      </c>
      <c r="AF342" s="1"/>
    </row>
    <row r="343" spans="1:32" ht="21" customHeight="1">
      <c r="A343" s="45"/>
      <c r="B343" s="46" t="s">
        <v>149</v>
      </c>
      <c r="C343" s="46" t="s">
        <v>149</v>
      </c>
      <c r="D343" s="151"/>
      <c r="E343" s="103"/>
      <c r="F343" s="103"/>
      <c r="G343" s="103"/>
      <c r="H343" s="103"/>
      <c r="I343" s="103"/>
      <c r="J343" s="103"/>
      <c r="K343" s="103"/>
      <c r="L343" s="103"/>
      <c r="M343" s="103"/>
      <c r="N343" s="68"/>
      <c r="O343" s="443" t="s">
        <v>333</v>
      </c>
      <c r="P343" s="377"/>
      <c r="Q343" s="377"/>
      <c r="R343" s="377"/>
      <c r="S343" s="376"/>
      <c r="T343" s="376"/>
      <c r="U343" s="376"/>
      <c r="V343" s="376"/>
      <c r="W343" s="376"/>
      <c r="X343" s="376"/>
      <c r="Y343" s="376"/>
      <c r="Z343" s="376"/>
      <c r="AA343" s="376"/>
      <c r="AB343" s="552" t="s">
        <v>565</v>
      </c>
      <c r="AC343" s="376"/>
      <c r="AD343" s="66">
        <v>0</v>
      </c>
      <c r="AE343" s="131" t="s">
        <v>25</v>
      </c>
    </row>
    <row r="344" spans="1:32" ht="21" customHeight="1">
      <c r="A344" s="45"/>
      <c r="B344" s="46"/>
      <c r="C344" s="46"/>
      <c r="D344" s="151"/>
      <c r="E344" s="103"/>
      <c r="F344" s="103"/>
      <c r="G344" s="103"/>
      <c r="H344" s="103"/>
      <c r="I344" s="103"/>
      <c r="J344" s="103"/>
      <c r="K344" s="103"/>
      <c r="L344" s="103"/>
      <c r="M344" s="103"/>
      <c r="N344" s="68"/>
      <c r="O344" s="377" t="s">
        <v>292</v>
      </c>
      <c r="P344" s="377"/>
      <c r="Q344" s="377"/>
      <c r="R344" s="377"/>
      <c r="S344" s="376"/>
      <c r="T344" s="376"/>
      <c r="U344" s="376"/>
      <c r="V344" s="376"/>
      <c r="W344" s="376"/>
      <c r="X344" s="376"/>
      <c r="Y344" s="376"/>
      <c r="Z344" s="376"/>
      <c r="AA344" s="376"/>
      <c r="AB344" s="552" t="s">
        <v>565</v>
      </c>
      <c r="AC344" s="376"/>
      <c r="AD344" s="66">
        <v>200000</v>
      </c>
      <c r="AE344" s="131" t="s">
        <v>261</v>
      </c>
    </row>
    <row r="345" spans="1:32" ht="21" customHeight="1">
      <c r="A345" s="45"/>
      <c r="B345" s="46"/>
      <c r="C345" s="46"/>
      <c r="D345" s="151"/>
      <c r="E345" s="103"/>
      <c r="F345" s="103"/>
      <c r="G345" s="103"/>
      <c r="H345" s="103"/>
      <c r="I345" s="103"/>
      <c r="J345" s="103"/>
      <c r="K345" s="103"/>
      <c r="L345" s="103"/>
      <c r="M345" s="103"/>
      <c r="N345" s="68"/>
      <c r="O345" s="443" t="s">
        <v>334</v>
      </c>
      <c r="P345" s="377"/>
      <c r="Q345" s="377"/>
      <c r="R345" s="377"/>
      <c r="S345" s="376"/>
      <c r="T345" s="376"/>
      <c r="U345" s="376"/>
      <c r="V345" s="376"/>
      <c r="W345" s="376"/>
      <c r="X345" s="376"/>
      <c r="Y345" s="376"/>
      <c r="Z345" s="376"/>
      <c r="AA345" s="376"/>
      <c r="AB345" s="552" t="s">
        <v>565</v>
      </c>
      <c r="AC345" s="376"/>
      <c r="AD345" s="66">
        <v>0</v>
      </c>
      <c r="AE345" s="131" t="s">
        <v>261</v>
      </c>
    </row>
    <row r="346" spans="1:32" ht="21" customHeight="1">
      <c r="A346" s="45"/>
      <c r="B346" s="46"/>
      <c r="C346" s="46"/>
      <c r="D346" s="151"/>
      <c r="E346" s="103"/>
      <c r="F346" s="103"/>
      <c r="G346" s="103"/>
      <c r="H346" s="103"/>
      <c r="I346" s="103"/>
      <c r="J346" s="103"/>
      <c r="K346" s="103"/>
      <c r="L346" s="103"/>
      <c r="M346" s="103"/>
      <c r="N346" s="68"/>
      <c r="O346" s="377" t="s">
        <v>293</v>
      </c>
      <c r="P346" s="377"/>
      <c r="Q346" s="377"/>
      <c r="R346" s="377"/>
      <c r="S346" s="376"/>
      <c r="T346" s="376"/>
      <c r="U346" s="376"/>
      <c r="V346" s="376"/>
      <c r="W346" s="376"/>
      <c r="X346" s="376"/>
      <c r="Y346" s="376"/>
      <c r="Z346" s="376"/>
      <c r="AA346" s="376"/>
      <c r="AB346" s="552" t="s">
        <v>572</v>
      </c>
      <c r="AC346" s="376"/>
      <c r="AD346" s="66">
        <v>5000</v>
      </c>
      <c r="AE346" s="131" t="s">
        <v>261</v>
      </c>
    </row>
    <row r="347" spans="1:32" ht="21" customHeight="1">
      <c r="A347" s="45"/>
      <c r="B347" s="46"/>
      <c r="C347" s="46"/>
      <c r="D347" s="151"/>
      <c r="E347" s="103"/>
      <c r="F347" s="103"/>
      <c r="G347" s="103"/>
      <c r="H347" s="103"/>
      <c r="I347" s="103"/>
      <c r="J347" s="103"/>
      <c r="K347" s="103"/>
      <c r="L347" s="103"/>
      <c r="M347" s="103"/>
      <c r="N347" s="68"/>
      <c r="O347" s="443" t="s">
        <v>335</v>
      </c>
      <c r="P347" s="377"/>
      <c r="Q347" s="377"/>
      <c r="R347" s="377"/>
      <c r="S347" s="376"/>
      <c r="T347" s="376"/>
      <c r="U347" s="376"/>
      <c r="V347" s="376"/>
      <c r="W347" s="376"/>
      <c r="X347" s="376"/>
      <c r="Y347" s="376"/>
      <c r="Z347" s="376"/>
      <c r="AA347" s="376"/>
      <c r="AB347" s="552" t="s">
        <v>573</v>
      </c>
      <c r="AC347" s="376"/>
      <c r="AD347" s="66">
        <v>0</v>
      </c>
      <c r="AE347" s="131" t="s">
        <v>25</v>
      </c>
    </row>
    <row r="348" spans="1:32" ht="21" customHeight="1">
      <c r="A348" s="45"/>
      <c r="B348" s="46"/>
      <c r="C348" s="46"/>
      <c r="D348" s="151"/>
      <c r="E348" s="103"/>
      <c r="F348" s="103"/>
      <c r="G348" s="103"/>
      <c r="H348" s="103"/>
      <c r="I348" s="103"/>
      <c r="J348" s="103"/>
      <c r="K348" s="103"/>
      <c r="L348" s="103"/>
      <c r="M348" s="103"/>
      <c r="N348" s="68"/>
      <c r="O348" s="377" t="s">
        <v>294</v>
      </c>
      <c r="P348" s="377"/>
      <c r="Q348" s="377"/>
      <c r="R348" s="377"/>
      <c r="S348" s="376"/>
      <c r="T348" s="376"/>
      <c r="U348" s="376"/>
      <c r="V348" s="376"/>
      <c r="W348" s="376"/>
      <c r="X348" s="376"/>
      <c r="Y348" s="376"/>
      <c r="Z348" s="376"/>
      <c r="AA348" s="376"/>
      <c r="AB348" s="552" t="s">
        <v>573</v>
      </c>
      <c r="AC348" s="376"/>
      <c r="AD348" s="66">
        <v>5000</v>
      </c>
      <c r="AE348" s="131" t="s">
        <v>261</v>
      </c>
    </row>
    <row r="349" spans="1:32" ht="21" customHeight="1">
      <c r="A349" s="45"/>
      <c r="B349" s="46"/>
      <c r="C349" s="46"/>
      <c r="D349" s="151"/>
      <c r="E349" s="103"/>
      <c r="F349" s="103"/>
      <c r="G349" s="103"/>
      <c r="H349" s="103"/>
      <c r="I349" s="103"/>
      <c r="J349" s="103"/>
      <c r="K349" s="103"/>
      <c r="L349" s="103"/>
      <c r="M349" s="103"/>
      <c r="N349" s="68"/>
      <c r="O349" s="443" t="s">
        <v>336</v>
      </c>
      <c r="P349" s="377"/>
      <c r="Q349" s="377"/>
      <c r="R349" s="377"/>
      <c r="S349" s="376"/>
      <c r="T349" s="376"/>
      <c r="U349" s="376"/>
      <c r="V349" s="376"/>
      <c r="W349" s="376"/>
      <c r="X349" s="376"/>
      <c r="Y349" s="376"/>
      <c r="Z349" s="376"/>
      <c r="AA349" s="376"/>
      <c r="AB349" s="552" t="s">
        <v>574</v>
      </c>
      <c r="AC349" s="376"/>
      <c r="AD349" s="66">
        <v>0</v>
      </c>
      <c r="AE349" s="131" t="s">
        <v>25</v>
      </c>
    </row>
    <row r="350" spans="1:32" ht="21" customHeight="1">
      <c r="A350" s="45"/>
      <c r="B350" s="46"/>
      <c r="C350" s="46"/>
      <c r="D350" s="151"/>
      <c r="E350" s="103"/>
      <c r="F350" s="103"/>
      <c r="G350" s="103"/>
      <c r="H350" s="103"/>
      <c r="I350" s="103"/>
      <c r="J350" s="103"/>
      <c r="K350" s="103"/>
      <c r="L350" s="103"/>
      <c r="M350" s="103"/>
      <c r="N350" s="68"/>
      <c r="O350" s="377" t="s">
        <v>295</v>
      </c>
      <c r="P350" s="377"/>
      <c r="Q350" s="377"/>
      <c r="R350" s="377"/>
      <c r="S350" s="376"/>
      <c r="T350" s="376"/>
      <c r="U350" s="376"/>
      <c r="V350" s="376"/>
      <c r="W350" s="376"/>
      <c r="X350" s="376"/>
      <c r="Y350" s="376"/>
      <c r="Z350" s="376"/>
      <c r="AA350" s="376"/>
      <c r="AB350" s="552" t="s">
        <v>574</v>
      </c>
      <c r="AC350" s="376"/>
      <c r="AD350" s="66">
        <v>25000</v>
      </c>
      <c r="AE350" s="131" t="s">
        <v>261</v>
      </c>
    </row>
    <row r="351" spans="1:32" ht="21" customHeight="1">
      <c r="A351" s="45"/>
      <c r="B351" s="46"/>
      <c r="C351" s="46"/>
      <c r="D351" s="151"/>
      <c r="E351" s="103"/>
      <c r="F351" s="103"/>
      <c r="G351" s="103"/>
      <c r="H351" s="103"/>
      <c r="I351" s="103"/>
      <c r="J351" s="103"/>
      <c r="K351" s="103"/>
      <c r="L351" s="103"/>
      <c r="M351" s="103"/>
      <c r="N351" s="68"/>
      <c r="O351" s="557" t="s">
        <v>603</v>
      </c>
      <c r="P351" s="377"/>
      <c r="Q351" s="377"/>
      <c r="R351" s="377"/>
      <c r="S351" s="376"/>
      <c r="T351" s="376"/>
      <c r="U351" s="376"/>
      <c r="V351" s="376"/>
      <c r="W351" s="376"/>
      <c r="X351" s="376"/>
      <c r="Y351" s="376"/>
      <c r="Z351" s="376"/>
      <c r="AA351" s="376"/>
      <c r="AB351" s="552" t="s">
        <v>574</v>
      </c>
      <c r="AC351" s="376"/>
      <c r="AD351" s="66">
        <v>0</v>
      </c>
      <c r="AE351" s="131" t="s">
        <v>25</v>
      </c>
    </row>
    <row r="352" spans="1:32" ht="21" customHeight="1">
      <c r="A352" s="45"/>
      <c r="B352" s="46"/>
      <c r="C352" s="46"/>
      <c r="D352" s="151"/>
      <c r="E352" s="103"/>
      <c r="F352" s="103"/>
      <c r="G352" s="103"/>
      <c r="H352" s="103"/>
      <c r="I352" s="103"/>
      <c r="J352" s="103"/>
      <c r="K352" s="103"/>
      <c r="L352" s="103"/>
      <c r="M352" s="103"/>
      <c r="N352" s="68"/>
      <c r="O352" s="557" t="s">
        <v>604</v>
      </c>
      <c r="P352" s="377"/>
      <c r="Q352" s="377"/>
      <c r="R352" s="377"/>
      <c r="S352" s="376"/>
      <c r="T352" s="376"/>
      <c r="U352" s="376"/>
      <c r="V352" s="376"/>
      <c r="W352" s="376"/>
      <c r="X352" s="376"/>
      <c r="Y352" s="376"/>
      <c r="Z352" s="376"/>
      <c r="AA352" s="376"/>
      <c r="AB352" s="552" t="s">
        <v>574</v>
      </c>
      <c r="AC352" s="376"/>
      <c r="AD352" s="66">
        <v>5000</v>
      </c>
      <c r="AE352" s="131" t="s">
        <v>25</v>
      </c>
    </row>
    <row r="353" spans="1:32" s="14" customFormat="1" ht="21" customHeight="1">
      <c r="A353" s="45"/>
      <c r="B353" s="59"/>
      <c r="C353" s="47"/>
      <c r="D353" s="151"/>
      <c r="E353" s="103"/>
      <c r="F353" s="103"/>
      <c r="G353" s="103"/>
      <c r="H353" s="103"/>
      <c r="I353" s="103"/>
      <c r="J353" s="103"/>
      <c r="K353" s="103"/>
      <c r="L353" s="103"/>
      <c r="M353" s="103"/>
      <c r="N353" s="68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1"/>
      <c r="AE353" s="57"/>
      <c r="AF353" s="4"/>
    </row>
    <row r="354" spans="1:32" s="11" customFormat="1" ht="21" customHeight="1">
      <c r="A354" s="35" t="s">
        <v>88</v>
      </c>
      <c r="B354" s="736" t="s">
        <v>20</v>
      </c>
      <c r="C354" s="737"/>
      <c r="D354" s="166">
        <f>D355</f>
        <v>0</v>
      </c>
      <c r="E354" s="166">
        <f>E355</f>
        <v>0</v>
      </c>
      <c r="F354" s="166">
        <f t="shared" ref="F354:L354" si="14">F355</f>
        <v>0</v>
      </c>
      <c r="G354" s="166">
        <f t="shared" si="14"/>
        <v>0</v>
      </c>
      <c r="H354" s="166">
        <f t="shared" si="14"/>
        <v>0</v>
      </c>
      <c r="I354" s="166">
        <f t="shared" si="14"/>
        <v>0</v>
      </c>
      <c r="J354" s="166">
        <f t="shared" si="14"/>
        <v>0</v>
      </c>
      <c r="K354" s="166">
        <f t="shared" si="14"/>
        <v>0</v>
      </c>
      <c r="L354" s="166">
        <f t="shared" si="14"/>
        <v>0</v>
      </c>
      <c r="M354" s="166">
        <f>E354-D354</f>
        <v>0</v>
      </c>
      <c r="N354" s="167">
        <f>IF(D354=0,0,M354/D354)</f>
        <v>0</v>
      </c>
      <c r="O354" s="168" t="s">
        <v>88</v>
      </c>
      <c r="P354" s="168"/>
      <c r="Q354" s="168"/>
      <c r="R354" s="168"/>
      <c r="S354" s="169"/>
      <c r="T354" s="169"/>
      <c r="U354" s="169"/>
      <c r="V354" s="169"/>
      <c r="W354" s="169"/>
      <c r="X354" s="169"/>
      <c r="Y354" s="169"/>
      <c r="Z354" s="169"/>
      <c r="AA354" s="169"/>
      <c r="AB354" s="169"/>
      <c r="AC354" s="169"/>
      <c r="AD354" s="169">
        <f>SUM(AD355)</f>
        <v>0</v>
      </c>
      <c r="AE354" s="170" t="s">
        <v>25</v>
      </c>
      <c r="AF354" s="1"/>
    </row>
    <row r="355" spans="1:32" s="11" customFormat="1" ht="21" customHeight="1">
      <c r="A355" s="45"/>
      <c r="B355" s="46" t="s">
        <v>88</v>
      </c>
      <c r="C355" s="46" t="s">
        <v>88</v>
      </c>
      <c r="D355" s="151">
        <v>0</v>
      </c>
      <c r="E355" s="103">
        <f>AD355/1000</f>
        <v>0</v>
      </c>
      <c r="F355" s="108">
        <f>SUMIF($AB$356:$AB$356,"보조",$AD$356:$AD$356)/1000</f>
        <v>0</v>
      </c>
      <c r="G355" s="108">
        <f>SUMIF($AB$356:$AB$356,"7종",$AD$356:$AD$356)/1000</f>
        <v>0</v>
      </c>
      <c r="H355" s="108">
        <f>SUMIF($AB$356:$AB$356,"4종",$AD$356:$AD$356)/1000</f>
        <v>0</v>
      </c>
      <c r="I355" s="108">
        <f>SUMIF($AB$356:$AB$356,"후원",$AD$356:$AD$356)/1000</f>
        <v>0</v>
      </c>
      <c r="J355" s="108">
        <f>SUMIF($AB$356:$AB$356,"입소",$AD$356:$AD$356)/1000</f>
        <v>0</v>
      </c>
      <c r="K355" s="108">
        <f>SUMIF($AB$356:$AB$356,"법인",$AD$356:$AD$356)/1000</f>
        <v>0</v>
      </c>
      <c r="L355" s="108">
        <f>SUMIF($AB$356:$AB$356,"잡수",$AD$356:$AD$356)/1000</f>
        <v>0</v>
      </c>
      <c r="M355" s="103">
        <f>E355-D355</f>
        <v>0</v>
      </c>
      <c r="N355" s="68">
        <f>IF(D355=0,0,M355/D355)</f>
        <v>0</v>
      </c>
      <c r="O355" s="110" t="s">
        <v>89</v>
      </c>
      <c r="P355" s="32"/>
      <c r="Q355" s="32"/>
      <c r="R355" s="32"/>
      <c r="S355" s="32"/>
      <c r="T355" s="33"/>
      <c r="U355" s="33"/>
      <c r="V355" s="33"/>
      <c r="W355" s="33"/>
      <c r="X355" s="33"/>
      <c r="Y355" s="169" t="s">
        <v>137</v>
      </c>
      <c r="Z355" s="97"/>
      <c r="AA355" s="97"/>
      <c r="AB355" s="97"/>
      <c r="AC355" s="112"/>
      <c r="AD355" s="112">
        <v>0</v>
      </c>
      <c r="AE355" s="113" t="s">
        <v>25</v>
      </c>
      <c r="AF355" s="1"/>
    </row>
    <row r="356" spans="1:32" s="1" customFormat="1" ht="21" customHeight="1" thickBot="1">
      <c r="A356" s="132"/>
      <c r="B356" s="46"/>
      <c r="C356" s="46"/>
      <c r="D356" s="151"/>
      <c r="E356" s="103"/>
      <c r="F356" s="103"/>
      <c r="G356" s="103"/>
      <c r="H356" s="103"/>
      <c r="I356" s="103"/>
      <c r="J356" s="103"/>
      <c r="K356" s="103"/>
      <c r="L356" s="103"/>
      <c r="M356" s="103"/>
      <c r="N356" s="68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135"/>
    </row>
    <row r="357" spans="1:32" s="11" customFormat="1" ht="21" customHeight="1">
      <c r="A357" s="35" t="s">
        <v>21</v>
      </c>
      <c r="B357" s="734" t="s">
        <v>20</v>
      </c>
      <c r="C357" s="735"/>
      <c r="D357" s="189">
        <f>SUM(D358)</f>
        <v>80</v>
      </c>
      <c r="E357" s="189">
        <f>SUM(E358)</f>
        <v>0</v>
      </c>
      <c r="F357" s="189">
        <f t="shared" ref="F357:L357" si="15">SUM(F358)</f>
        <v>0</v>
      </c>
      <c r="G357" s="189">
        <f t="shared" si="15"/>
        <v>0</v>
      </c>
      <c r="H357" s="189">
        <f t="shared" si="15"/>
        <v>0</v>
      </c>
      <c r="I357" s="189">
        <f t="shared" si="15"/>
        <v>0</v>
      </c>
      <c r="J357" s="189">
        <f t="shared" si="15"/>
        <v>0</v>
      </c>
      <c r="K357" s="189">
        <f t="shared" si="15"/>
        <v>0</v>
      </c>
      <c r="L357" s="189">
        <f t="shared" si="15"/>
        <v>0</v>
      </c>
      <c r="M357" s="189">
        <f>E357-D357</f>
        <v>-80</v>
      </c>
      <c r="N357" s="190">
        <f>IF(D357=0,0,M357/D357)</f>
        <v>-1</v>
      </c>
      <c r="O357" s="159" t="s">
        <v>21</v>
      </c>
      <c r="P357" s="160"/>
      <c r="Q357" s="160"/>
      <c r="R357" s="160"/>
      <c r="S357" s="161"/>
      <c r="T357" s="161"/>
      <c r="U357" s="161"/>
      <c r="V357" s="161"/>
      <c r="W357" s="161"/>
      <c r="X357" s="161"/>
      <c r="Y357" s="161"/>
      <c r="Z357" s="161"/>
      <c r="AA357" s="161"/>
      <c r="AB357" s="161"/>
      <c r="AC357" s="161"/>
      <c r="AD357" s="161">
        <f>AD358</f>
        <v>0</v>
      </c>
      <c r="AE357" s="162" t="s">
        <v>25</v>
      </c>
      <c r="AF357" s="1"/>
    </row>
    <row r="358" spans="1:32" s="11" customFormat="1" ht="21" customHeight="1">
      <c r="A358" s="45"/>
      <c r="B358" s="46" t="s">
        <v>21</v>
      </c>
      <c r="C358" s="46" t="s">
        <v>21</v>
      </c>
      <c r="D358" s="103">
        <v>80</v>
      </c>
      <c r="E358" s="103">
        <f>SUM(F358:L358)</f>
        <v>0</v>
      </c>
      <c r="F358" s="108">
        <f>SUMIF($AB$358:$AB$363,"보조",$AD$358:$AD$363)/1000</f>
        <v>0</v>
      </c>
      <c r="G358" s="108">
        <f>SUMIF($AB$358:$AB$363,"7종",$AD$358:$AD$363)/1000</f>
        <v>0</v>
      </c>
      <c r="H358" s="108">
        <f>SUMIF($AB$358:$AB$363,"4종",$AD$358:$AD$363)/1000</f>
        <v>0</v>
      </c>
      <c r="I358" s="108">
        <f>SUMIF($AB$358:$AB$363,"후원",$AD$358:$AD$363)/1000</f>
        <v>0</v>
      </c>
      <c r="J358" s="108">
        <f>SUMIF($AB$358:$AB$363,"입소",$AD$358:$AD$363)/1000</f>
        <v>0</v>
      </c>
      <c r="K358" s="108">
        <f>SUMIF($AB$358:$AB$363,"법인",$AD$358:$AD$363)/1000</f>
        <v>0</v>
      </c>
      <c r="L358" s="108">
        <f>SUMIF($AB$358:$AB$363,"잡수",$AD$358:$AD$363)/1000</f>
        <v>0</v>
      </c>
      <c r="M358" s="103">
        <f>E358-D358</f>
        <v>-80</v>
      </c>
      <c r="N358" s="68">
        <f>IF(D358=0,0,M358/D358)</f>
        <v>-1</v>
      </c>
      <c r="O358" s="110" t="s">
        <v>52</v>
      </c>
      <c r="P358" s="32"/>
      <c r="Q358" s="32"/>
      <c r="R358" s="32"/>
      <c r="S358" s="32"/>
      <c r="T358" s="33"/>
      <c r="U358" s="33"/>
      <c r="V358" s="33"/>
      <c r="W358" s="33"/>
      <c r="X358" s="33"/>
      <c r="Y358" s="169" t="s">
        <v>137</v>
      </c>
      <c r="Z358" s="97"/>
      <c r="AA358" s="97"/>
      <c r="AB358" s="97"/>
      <c r="AC358" s="112"/>
      <c r="AD358" s="112">
        <f>SUM(AD359:AD362)</f>
        <v>0</v>
      </c>
      <c r="AE358" s="113" t="s">
        <v>25</v>
      </c>
      <c r="AF358" s="1"/>
    </row>
    <row r="359" spans="1:32" s="11" customFormat="1" ht="21" customHeight="1">
      <c r="A359" s="45"/>
      <c r="B359" s="46"/>
      <c r="C359" s="46"/>
      <c r="D359" s="151"/>
      <c r="E359" s="103"/>
      <c r="F359" s="103"/>
      <c r="G359" s="103"/>
      <c r="H359" s="103"/>
      <c r="I359" s="103"/>
      <c r="J359" s="103"/>
      <c r="K359" s="103"/>
      <c r="L359" s="103"/>
      <c r="M359" s="103"/>
      <c r="N359" s="68"/>
      <c r="O359" s="443" t="s">
        <v>329</v>
      </c>
      <c r="P359" s="377"/>
      <c r="Q359" s="377"/>
      <c r="R359" s="377"/>
      <c r="S359" s="377"/>
      <c r="T359" s="376"/>
      <c r="U359" s="376"/>
      <c r="V359" s="376"/>
      <c r="W359" s="376"/>
      <c r="X359" s="376"/>
      <c r="Y359" s="376"/>
      <c r="Z359" s="376"/>
      <c r="AA359" s="376"/>
      <c r="AB359" s="552" t="s">
        <v>575</v>
      </c>
      <c r="AC359" s="130"/>
      <c r="AD359" s="539">
        <v>0</v>
      </c>
      <c r="AE359" s="628" t="s">
        <v>854</v>
      </c>
      <c r="AF359" s="2"/>
    </row>
    <row r="360" spans="1:32" s="11" customFormat="1" ht="21" customHeight="1">
      <c r="A360" s="45"/>
      <c r="B360" s="46"/>
      <c r="C360" s="46"/>
      <c r="D360" s="151"/>
      <c r="E360" s="103"/>
      <c r="F360" s="103"/>
      <c r="G360" s="103"/>
      <c r="H360" s="103"/>
      <c r="I360" s="103"/>
      <c r="J360" s="103"/>
      <c r="K360" s="103"/>
      <c r="L360" s="103"/>
      <c r="M360" s="103"/>
      <c r="N360" s="68"/>
      <c r="O360" s="443" t="s">
        <v>330</v>
      </c>
      <c r="P360" s="377"/>
      <c r="Q360" s="377"/>
      <c r="R360" s="377"/>
      <c r="S360" s="377"/>
      <c r="T360" s="376"/>
      <c r="U360" s="376"/>
      <c r="V360" s="376"/>
      <c r="W360" s="376"/>
      <c r="X360" s="376"/>
      <c r="Y360" s="376"/>
      <c r="Z360" s="376"/>
      <c r="AA360" s="376"/>
      <c r="AB360" s="552" t="s">
        <v>568</v>
      </c>
      <c r="AC360" s="130"/>
      <c r="AD360" s="539">
        <v>0</v>
      </c>
      <c r="AE360" s="628" t="s">
        <v>854</v>
      </c>
      <c r="AF360" s="2"/>
    </row>
    <row r="361" spans="1:32" s="11" customFormat="1" ht="21" customHeight="1">
      <c r="A361" s="45"/>
      <c r="B361" s="46"/>
      <c r="C361" s="46"/>
      <c r="D361" s="151"/>
      <c r="E361" s="103"/>
      <c r="F361" s="103"/>
      <c r="G361" s="103"/>
      <c r="H361" s="103"/>
      <c r="I361" s="103"/>
      <c r="J361" s="103"/>
      <c r="K361" s="103"/>
      <c r="L361" s="103"/>
      <c r="M361" s="103"/>
      <c r="N361" s="68"/>
      <c r="O361" s="443" t="s">
        <v>331</v>
      </c>
      <c r="P361" s="377"/>
      <c r="Q361" s="377"/>
      <c r="R361" s="377"/>
      <c r="S361" s="377"/>
      <c r="T361" s="376"/>
      <c r="U361" s="376"/>
      <c r="V361" s="376"/>
      <c r="W361" s="376"/>
      <c r="X361" s="376"/>
      <c r="Y361" s="376"/>
      <c r="Z361" s="376"/>
      <c r="AA361" s="376"/>
      <c r="AB361" s="552" t="s">
        <v>567</v>
      </c>
      <c r="AC361" s="130"/>
      <c r="AD361" s="539">
        <v>0</v>
      </c>
      <c r="AE361" s="628" t="s">
        <v>854</v>
      </c>
      <c r="AF361" s="2"/>
    </row>
    <row r="362" spans="1:32" s="11" customFormat="1" ht="21" customHeight="1">
      <c r="A362" s="45"/>
      <c r="B362" s="46"/>
      <c r="C362" s="46"/>
      <c r="D362" s="151"/>
      <c r="E362" s="103"/>
      <c r="F362" s="103"/>
      <c r="G362" s="103"/>
      <c r="H362" s="103"/>
      <c r="I362" s="103"/>
      <c r="J362" s="103"/>
      <c r="K362" s="103"/>
      <c r="L362" s="103"/>
      <c r="M362" s="103"/>
      <c r="N362" s="68"/>
      <c r="O362" s="443" t="s">
        <v>332</v>
      </c>
      <c r="P362" s="377"/>
      <c r="Q362" s="377"/>
      <c r="R362" s="377"/>
      <c r="S362" s="377"/>
      <c r="T362" s="376"/>
      <c r="U362" s="376"/>
      <c r="V362" s="376"/>
      <c r="W362" s="376"/>
      <c r="X362" s="376"/>
      <c r="Y362" s="376"/>
      <c r="Z362" s="376"/>
      <c r="AA362" s="376"/>
      <c r="AB362" s="552" t="s">
        <v>576</v>
      </c>
      <c r="AC362" s="130"/>
      <c r="AD362" s="539">
        <v>0</v>
      </c>
      <c r="AE362" s="628" t="s">
        <v>854</v>
      </c>
      <c r="AF362" s="2"/>
    </row>
    <row r="363" spans="1:32" s="1" customFormat="1" ht="21" customHeight="1" thickBot="1">
      <c r="A363" s="132"/>
      <c r="B363" s="100"/>
      <c r="C363" s="100"/>
      <c r="D363" s="156"/>
      <c r="E363" s="133"/>
      <c r="F363" s="133"/>
      <c r="G363" s="133"/>
      <c r="H363" s="133"/>
      <c r="I363" s="133"/>
      <c r="J363" s="133"/>
      <c r="K363" s="133"/>
      <c r="L363" s="133"/>
      <c r="M363" s="133"/>
      <c r="N363" s="134"/>
      <c r="O363" s="416"/>
      <c r="P363" s="416"/>
      <c r="Q363" s="416"/>
      <c r="R363" s="416"/>
      <c r="S363" s="417"/>
      <c r="T363" s="417"/>
      <c r="U363" s="417"/>
      <c r="V363" s="417"/>
      <c r="W363" s="417"/>
      <c r="X363" s="417"/>
      <c r="Y363" s="417"/>
      <c r="Z363" s="417"/>
      <c r="AA363" s="417"/>
      <c r="AB363" s="417"/>
      <c r="AC363" s="417"/>
      <c r="AD363" s="417"/>
      <c r="AE363" s="418"/>
    </row>
    <row r="365" spans="1:32" ht="21" customHeight="1">
      <c r="E365" s="294"/>
      <c r="F365" s="294"/>
    </row>
    <row r="366" spans="1:32" ht="21" customHeight="1">
      <c r="E366" s="294"/>
      <c r="F366" s="294"/>
    </row>
    <row r="367" spans="1:32" ht="21" customHeight="1">
      <c r="F367" s="294"/>
    </row>
    <row r="368" spans="1:32" ht="21" customHeight="1">
      <c r="E368" s="294"/>
      <c r="F368" s="294"/>
    </row>
    <row r="369" spans="5:6" ht="21" customHeight="1">
      <c r="E369" s="294"/>
      <c r="F369" s="294"/>
    </row>
    <row r="370" spans="5:6" ht="21" customHeight="1">
      <c r="E370" s="294"/>
      <c r="F370" s="294"/>
    </row>
  </sheetData>
  <mergeCells count="23">
    <mergeCell ref="B357:C357"/>
    <mergeCell ref="B354:C354"/>
    <mergeCell ref="B341:C341"/>
    <mergeCell ref="B192:C192"/>
    <mergeCell ref="B168:C168"/>
    <mergeCell ref="O2:AE3"/>
    <mergeCell ref="A1:D1"/>
    <mergeCell ref="V143:W143"/>
    <mergeCell ref="V87:W87"/>
    <mergeCell ref="O129:S129"/>
    <mergeCell ref="B5:C5"/>
    <mergeCell ref="A4:C4"/>
    <mergeCell ref="M2:N2"/>
    <mergeCell ref="A2:C2"/>
    <mergeCell ref="D2:D3"/>
    <mergeCell ref="E2:L2"/>
    <mergeCell ref="V102:W102"/>
    <mergeCell ref="T147:T148"/>
    <mergeCell ref="U147:U148"/>
    <mergeCell ref="V147:V148"/>
    <mergeCell ref="W147:W148"/>
    <mergeCell ref="P251:R251"/>
    <mergeCell ref="S147:S148"/>
  </mergeCells>
  <phoneticPr fontId="7" type="noConversion"/>
  <printOptions horizontalCentered="1"/>
  <pageMargins left="3.937007874015748E-2" right="3.937007874015748E-2" top="0.44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2019-02-27T02:26:47Z</cp:lastPrinted>
  <dcterms:created xsi:type="dcterms:W3CDTF">2003-12-18T04:11:57Z</dcterms:created>
  <dcterms:modified xsi:type="dcterms:W3CDTF">2019-03-21T01:17:28Z</dcterms:modified>
</cp:coreProperties>
</file>