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800" yWindow="-75" windowWidth="10755" windowHeight="7890" tabRatio="487" firstSheet="3" activeTab="4"/>
  </bookViews>
  <sheets>
    <sheet name="세입세출총괄표1" sheetId="19" r:id="rId1"/>
    <sheet name="세입" sheetId="4" r:id="rId2"/>
    <sheet name="세출" sheetId="5" r:id="rId3"/>
    <sheet name="추경세입명세서" sheetId="20" r:id="rId4"/>
    <sheet name="추경세출명세서" sheetId="21" r:id="rId5"/>
  </sheets>
  <externalReferences>
    <externalReference r:id="rId6"/>
    <externalReference r:id="rId7"/>
    <externalReference r:id="rId8"/>
  </externalReferences>
  <definedNames>
    <definedName name="_xlnm.Print_Area" localSheetId="1">세입!$A$1:$AC$37</definedName>
    <definedName name="_xlnm.Print_Area" localSheetId="2">세출!$A$1:$AD$187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세출!#REF!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세출!$AC$12</definedName>
    <definedName name="명절휴가비1" localSheetId="1">세입!#REF!</definedName>
    <definedName name="몬띠의집" localSheetId="0">[3]세입!#REF!</definedName>
    <definedName name="몬띠의집">[3]세입!#REF!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연장근로수당" localSheetId="2">세출!$AC$20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0">[1]세입!#REF!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프로그램지원금" localSheetId="1">세입!#REF!</definedName>
  </definedNames>
  <calcPr calcId="124519"/>
</workbook>
</file>

<file path=xl/calcChain.xml><?xml version="1.0" encoding="utf-8"?>
<calcChain xmlns="http://schemas.openxmlformats.org/spreadsheetml/2006/main">
  <c r="H87" i="5"/>
  <c r="F87"/>
  <c r="AC138"/>
  <c r="AF11"/>
  <c r="AF8"/>
  <c r="AC82"/>
  <c r="E17" i="20"/>
  <c r="AE11" i="4"/>
  <c r="AF13" i="5" s="1"/>
  <c r="J30" i="4"/>
  <c r="I21"/>
  <c r="F80" i="5"/>
  <c r="E6" i="20"/>
  <c r="I117" i="5"/>
  <c r="I118"/>
  <c r="H140"/>
  <c r="AC140"/>
  <c r="H4" i="4" l="1"/>
  <c r="AF14" i="5"/>
  <c r="AF10"/>
  <c r="AE9" i="4"/>
  <c r="AE7" l="1"/>
  <c r="AF7" i="5"/>
  <c r="G4" i="4" l="1"/>
  <c r="G4" i="5"/>
  <c r="J26" i="19" l="1"/>
  <c r="AC185" i="5"/>
  <c r="J184"/>
  <c r="H184"/>
  <c r="G184"/>
  <c r="AC181"/>
  <c r="E181" s="1"/>
  <c r="G181"/>
  <c r="F181"/>
  <c r="AC180"/>
  <c r="J180"/>
  <c r="H180"/>
  <c r="G180"/>
  <c r="F180"/>
  <c r="AC184" l="1"/>
  <c r="F185" s="1"/>
  <c r="F184" s="1"/>
  <c r="E185"/>
  <c r="J28" i="19"/>
  <c r="E29" i="21"/>
  <c r="K181" i="5"/>
  <c r="L181" s="1"/>
  <c r="E180"/>
  <c r="K180" s="1"/>
  <c r="L180" s="1"/>
  <c r="K185" l="1"/>
  <c r="L185" s="1"/>
  <c r="E184"/>
  <c r="K184" s="1"/>
  <c r="L184" s="1"/>
  <c r="D4" i="4"/>
  <c r="D7"/>
  <c r="J5" i="19" l="1"/>
  <c r="AC148" i="5" l="1"/>
  <c r="AC147"/>
  <c r="AC56"/>
  <c r="AC50"/>
  <c r="AC55"/>
  <c r="AC49"/>
  <c r="AC54"/>
  <c r="AC44"/>
  <c r="AC53"/>
  <c r="AC48"/>
  <c r="AC47"/>
  <c r="AC42"/>
  <c r="AC41"/>
  <c r="AC40"/>
  <c r="AC39"/>
  <c r="AC36"/>
  <c r="AC35"/>
  <c r="AC52"/>
  <c r="AC46"/>
  <c r="AC38"/>
  <c r="AC34"/>
  <c r="AC33" l="1"/>
  <c r="AC27"/>
  <c r="AC22"/>
  <c r="AC18"/>
  <c r="Q14"/>
  <c r="E9" i="20" l="1"/>
  <c r="F17" l="1"/>
  <c r="F15"/>
  <c r="E14"/>
  <c r="F14" s="1"/>
  <c r="E13"/>
  <c r="F13" s="1"/>
  <c r="E8"/>
  <c r="F8" s="1"/>
  <c r="F6"/>
  <c r="F29" i="21"/>
  <c r="D4"/>
  <c r="J18" i="20"/>
  <c r="F16"/>
  <c r="F12"/>
  <c r="F10"/>
  <c r="F9"/>
  <c r="J5"/>
  <c r="F5"/>
  <c r="D4"/>
  <c r="E16" i="19" l="1"/>
  <c r="E14" s="1"/>
  <c r="K28"/>
  <c r="K27" s="1"/>
  <c r="J27"/>
  <c r="I27"/>
  <c r="K26"/>
  <c r="K25" s="1"/>
  <c r="J25"/>
  <c r="I25"/>
  <c r="I23"/>
  <c r="D21"/>
  <c r="D19"/>
  <c r="F18"/>
  <c r="F17" s="1"/>
  <c r="E17"/>
  <c r="D17"/>
  <c r="I16"/>
  <c r="F15"/>
  <c r="D14"/>
  <c r="K13"/>
  <c r="I12"/>
  <c r="F11"/>
  <c r="D10"/>
  <c r="I8"/>
  <c r="D8"/>
  <c r="I5"/>
  <c r="I7" l="1"/>
  <c r="D7"/>
  <c r="F16"/>
  <c r="F14" s="1"/>
  <c r="AC173" i="5" l="1"/>
  <c r="AC172" s="1"/>
  <c r="AC167"/>
  <c r="H136"/>
  <c r="H125"/>
  <c r="H100"/>
  <c r="AC100"/>
  <c r="E18" i="21" s="1"/>
  <c r="F18" s="1"/>
  <c r="AC94" i="5"/>
  <c r="AC73" l="1"/>
  <c r="J72" l="1"/>
  <c r="E72" s="1"/>
  <c r="E13" i="21"/>
  <c r="F13" s="1"/>
  <c r="AC154" i="5"/>
  <c r="H67"/>
  <c r="AC166" l="1"/>
  <c r="AC157" l="1"/>
  <c r="F100" l="1"/>
  <c r="AC146"/>
  <c r="AC145"/>
  <c r="J119"/>
  <c r="AC119"/>
  <c r="E22" i="21" s="1"/>
  <c r="F22" s="1"/>
  <c r="AC125" i="5"/>
  <c r="AC131"/>
  <c r="AG14" s="1"/>
  <c r="F9" i="4"/>
  <c r="H109" i="5"/>
  <c r="AC109"/>
  <c r="AC98"/>
  <c r="AC62"/>
  <c r="E23" i="21" l="1"/>
  <c r="F23" s="1"/>
  <c r="J18" i="19"/>
  <c r="K18" s="1"/>
  <c r="H62" i="5"/>
  <c r="H61" s="1"/>
  <c r="E11" i="21"/>
  <c r="F11" s="1"/>
  <c r="E20"/>
  <c r="F20" s="1"/>
  <c r="J14" i="19"/>
  <c r="J17"/>
  <c r="I129" i="5"/>
  <c r="Q24"/>
  <c r="AC24" s="1"/>
  <c r="Q23"/>
  <c r="AC9"/>
  <c r="K14" i="19" l="1"/>
  <c r="K17"/>
  <c r="F177" i="5"/>
  <c r="G177"/>
  <c r="L28" i="4"/>
  <c r="I4"/>
  <c r="H21"/>
  <c r="F21"/>
  <c r="G21"/>
  <c r="AB21"/>
  <c r="E20" i="19" s="1"/>
  <c r="AB30" i="4"/>
  <c r="H30"/>
  <c r="L16"/>
  <c r="I34"/>
  <c r="I27" s="1"/>
  <c r="H34"/>
  <c r="F34"/>
  <c r="AB34"/>
  <c r="J27"/>
  <c r="G27"/>
  <c r="D27"/>
  <c r="AB27" l="1"/>
  <c r="E18" i="20"/>
  <c r="F18" s="1"/>
  <c r="E22" i="19"/>
  <c r="E19"/>
  <c r="F20"/>
  <c r="F19" s="1"/>
  <c r="H27" i="4"/>
  <c r="E30"/>
  <c r="K30" s="1"/>
  <c r="L30" s="1"/>
  <c r="G9" l="1"/>
  <c r="G8" s="1"/>
  <c r="G7" s="1"/>
  <c r="E7" i="20"/>
  <c r="E21" i="19"/>
  <c r="F22"/>
  <c r="F21" s="1"/>
  <c r="AB9" i="4"/>
  <c r="E12" i="19" s="1"/>
  <c r="F12" l="1"/>
  <c r="F7" i="20"/>
  <c r="E9" i="4"/>
  <c r="E8" s="1"/>
  <c r="F75" i="5" l="1"/>
  <c r="H75"/>
  <c r="AC75"/>
  <c r="E14" i="21" s="1"/>
  <c r="F14" s="1"/>
  <c r="I119" i="5" l="1"/>
  <c r="F125"/>
  <c r="H114"/>
  <c r="G109"/>
  <c r="G58"/>
  <c r="AC177"/>
  <c r="J24" i="19" s="1"/>
  <c r="J23" l="1"/>
  <c r="K24"/>
  <c r="K23" s="1"/>
  <c r="H104" i="5"/>
  <c r="H103" s="1"/>
  <c r="E34" i="4"/>
  <c r="F27"/>
  <c r="F4" s="1"/>
  <c r="J11" i="5"/>
  <c r="F8" i="4"/>
  <c r="F7" s="1"/>
  <c r="E9" i="21"/>
  <c r="F9" s="1"/>
  <c r="AC143" i="5"/>
  <c r="AC176"/>
  <c r="E28" i="21" s="1"/>
  <c r="F28" s="1"/>
  <c r="AC72" i="5"/>
  <c r="AC29"/>
  <c r="E8" i="21" s="1"/>
  <c r="F8" s="1"/>
  <c r="AC165" i="5"/>
  <c r="AC170"/>
  <c r="AC169" s="1"/>
  <c r="AC162"/>
  <c r="AC156"/>
  <c r="AB14" i="4"/>
  <c r="E13" i="19" s="1"/>
  <c r="F13" l="1"/>
  <c r="F10" s="1"/>
  <c r="E10"/>
  <c r="G14" i="4"/>
  <c r="AB8"/>
  <c r="AB7" s="1"/>
  <c r="AC153" i="5"/>
  <c r="AC26"/>
  <c r="H6"/>
  <c r="Q13" l="1"/>
  <c r="J58"/>
  <c r="I58"/>
  <c r="H58"/>
  <c r="F58"/>
  <c r="AC136" l="1"/>
  <c r="E58"/>
  <c r="E14" i="4"/>
  <c r="E26" i="21" l="1"/>
  <c r="F26" s="1"/>
  <c r="J21" i="19"/>
  <c r="K21" s="1"/>
  <c r="K14" i="4"/>
  <c r="L14" s="1"/>
  <c r="E7"/>
  <c r="AC85" i="5"/>
  <c r="AC84"/>
  <c r="G104" l="1"/>
  <c r="H80"/>
  <c r="AC144"/>
  <c r="AC142" s="1"/>
  <c r="AC93"/>
  <c r="AC17"/>
  <c r="AC16" s="1"/>
  <c r="I18" i="4"/>
  <c r="AB6"/>
  <c r="F119" i="5"/>
  <c r="I5"/>
  <c r="AB18" i="4"/>
  <c r="E11" i="20" s="1"/>
  <c r="E109" i="5"/>
  <c r="F105"/>
  <c r="F104" s="1"/>
  <c r="F103" s="1"/>
  <c r="D8" i="4"/>
  <c r="E28"/>
  <c r="E27" s="1"/>
  <c r="F11" i="20" l="1"/>
  <c r="E4"/>
  <c r="F4" s="1"/>
  <c r="G103" i="5"/>
  <c r="I4"/>
  <c r="E18" i="4"/>
  <c r="K18" s="1"/>
  <c r="L18" s="1"/>
  <c r="E114" i="5"/>
  <c r="E104" s="1"/>
  <c r="E103" s="1"/>
  <c r="K27" i="4"/>
  <c r="Q21" i="5" l="1"/>
  <c r="H132"/>
  <c r="AC83"/>
  <c r="E125"/>
  <c r="K125" s="1"/>
  <c r="AC163"/>
  <c r="I139" s="1"/>
  <c r="AC67"/>
  <c r="E12" i="21" s="1"/>
  <c r="F12" s="1"/>
  <c r="N21" i="5"/>
  <c r="N14"/>
  <c r="N13"/>
  <c r="AC14"/>
  <c r="AC58"/>
  <c r="E10" i="21" s="1"/>
  <c r="F10" s="1"/>
  <c r="AC21" i="5" l="1"/>
  <c r="AC20" s="1"/>
  <c r="E67"/>
  <c r="K67" s="1"/>
  <c r="K58"/>
  <c r="L58" s="1"/>
  <c r="F136"/>
  <c r="AC81"/>
  <c r="AC80" s="1"/>
  <c r="G118"/>
  <c r="J118"/>
  <c r="J104"/>
  <c r="J103" s="1"/>
  <c r="G71"/>
  <c r="J71"/>
  <c r="G61"/>
  <c r="AC161"/>
  <c r="AC160"/>
  <c r="AC151"/>
  <c r="AC130"/>
  <c r="AC90"/>
  <c r="AC91"/>
  <c r="AC92"/>
  <c r="AC89"/>
  <c r="E136" l="1"/>
  <c r="F118"/>
  <c r="F117" s="1"/>
  <c r="E80"/>
  <c r="E15" i="21"/>
  <c r="F15" s="1"/>
  <c r="H139" i="5"/>
  <c r="AC87"/>
  <c r="E16" i="21" s="1"/>
  <c r="F16" s="1"/>
  <c r="H119" i="5"/>
  <c r="E119" s="1"/>
  <c r="H129"/>
  <c r="AC129"/>
  <c r="AC159"/>
  <c r="AG11" s="1"/>
  <c r="AC150"/>
  <c r="F61"/>
  <c r="AC25"/>
  <c r="G11" s="1"/>
  <c r="G6" s="1"/>
  <c r="AC13"/>
  <c r="AC10"/>
  <c r="AC8"/>
  <c r="E27" i="21" l="1"/>
  <c r="F27" s="1"/>
  <c r="E24"/>
  <c r="F24" s="1"/>
  <c r="J19" i="19"/>
  <c r="F71" i="5"/>
  <c r="F5" s="1"/>
  <c r="F4" s="1"/>
  <c r="H118"/>
  <c r="H117" s="1"/>
  <c r="E140"/>
  <c r="E139" s="1"/>
  <c r="J29"/>
  <c r="AC7"/>
  <c r="G5"/>
  <c r="AC12"/>
  <c r="F11" s="1"/>
  <c r="E5" i="21" l="1"/>
  <c r="F5" s="1"/>
  <c r="Q30" i="5"/>
  <c r="K19" i="19"/>
  <c r="AC139" i="5"/>
  <c r="J22" i="19" s="1"/>
  <c r="K22" s="1"/>
  <c r="F7" i="5"/>
  <c r="E7" s="1"/>
  <c r="AC11"/>
  <c r="K140"/>
  <c r="L140" s="1"/>
  <c r="F29"/>
  <c r="AB16" i="4"/>
  <c r="AC6" i="5" l="1"/>
  <c r="E7" i="21"/>
  <c r="E21" i="4"/>
  <c r="K21" s="1"/>
  <c r="L21" s="1"/>
  <c r="J16"/>
  <c r="H8"/>
  <c r="H7" s="1"/>
  <c r="J8"/>
  <c r="J7" s="1"/>
  <c r="H176" i="5"/>
  <c r="J176"/>
  <c r="G176"/>
  <c r="F176"/>
  <c r="G139"/>
  <c r="G117" s="1"/>
  <c r="J139"/>
  <c r="J117" s="1"/>
  <c r="L105"/>
  <c r="AC105"/>
  <c r="AC97"/>
  <c r="E17" i="21" s="1"/>
  <c r="F17" s="1"/>
  <c r="J61" i="5"/>
  <c r="J9" i="19" l="1"/>
  <c r="K105" i="5"/>
  <c r="E19" i="21"/>
  <c r="F19" s="1"/>
  <c r="F7"/>
  <c r="K9" i="19"/>
  <c r="AC71" i="5"/>
  <c r="J11" i="19" s="1"/>
  <c r="K11" s="1"/>
  <c r="H97" i="5"/>
  <c r="H71" s="1"/>
  <c r="H5" s="1"/>
  <c r="H4" s="1"/>
  <c r="AC114"/>
  <c r="E21" i="21" l="1"/>
  <c r="J15" i="19"/>
  <c r="AC104" i="5"/>
  <c r="F139"/>
  <c r="E129"/>
  <c r="K15" i="19" l="1"/>
  <c r="K12" s="1"/>
  <c r="J12"/>
  <c r="F21" i="21"/>
  <c r="K34" i="4"/>
  <c r="L34" s="1"/>
  <c r="K28"/>
  <c r="AB5"/>
  <c r="E9" i="19" s="1"/>
  <c r="F9" l="1"/>
  <c r="F8" s="1"/>
  <c r="F7" s="1"/>
  <c r="E8"/>
  <c r="E7" s="1"/>
  <c r="H5" i="4"/>
  <c r="K7" i="5"/>
  <c r="E5" i="4" l="1"/>
  <c r="K5" s="1"/>
  <c r="L5" s="1"/>
  <c r="E11" i="5"/>
  <c r="J6" l="1"/>
  <c r="J5" s="1"/>
  <c r="J4" s="1"/>
  <c r="E29" l="1"/>
  <c r="AC133"/>
  <c r="AG8" l="1"/>
  <c r="F132"/>
  <c r="E132" s="1"/>
  <c r="K132" s="1"/>
  <c r="AC132"/>
  <c r="E87"/>
  <c r="K87" s="1"/>
  <c r="L87" s="1"/>
  <c r="AC61"/>
  <c r="J10" i="19" s="1"/>
  <c r="AB4" i="4"/>
  <c r="L7" i="5"/>
  <c r="E62"/>
  <c r="L125"/>
  <c r="E177"/>
  <c r="L67"/>
  <c r="K10" i="19" l="1"/>
  <c r="K8" s="1"/>
  <c r="J8"/>
  <c r="E25" i="21"/>
  <c r="J20" i="19"/>
  <c r="AC118" i="5"/>
  <c r="AC117" s="1"/>
  <c r="AC5"/>
  <c r="L132"/>
  <c r="K29"/>
  <c r="L29" s="1"/>
  <c r="K72"/>
  <c r="L72" s="1"/>
  <c r="K129"/>
  <c r="L129" s="1"/>
  <c r="K114"/>
  <c r="L114" s="1"/>
  <c r="AC103"/>
  <c r="E100"/>
  <c r="K100" s="1"/>
  <c r="L100" s="1"/>
  <c r="E97"/>
  <c r="K97" s="1"/>
  <c r="L97" s="1"/>
  <c r="K62"/>
  <c r="L62" s="1"/>
  <c r="K136"/>
  <c r="L136" s="1"/>
  <c r="K177"/>
  <c r="L177" s="1"/>
  <c r="E176"/>
  <c r="K176" s="1"/>
  <c r="L176" s="1"/>
  <c r="K139"/>
  <c r="L139" s="1"/>
  <c r="E65"/>
  <c r="K65" s="1"/>
  <c r="L65" s="1"/>
  <c r="AC4" l="1"/>
  <c r="K20" i="19"/>
  <c r="K16" s="1"/>
  <c r="K7" s="1"/>
  <c r="J16"/>
  <c r="J7" s="1"/>
  <c r="F25" i="21"/>
  <c r="E4"/>
  <c r="F4" s="1"/>
  <c r="E61" i="5"/>
  <c r="K61" s="1"/>
  <c r="L61" s="1"/>
  <c r="K80"/>
  <c r="L80" s="1"/>
  <c r="E16" i="4"/>
  <c r="K16" s="1"/>
  <c r="K103" i="5"/>
  <c r="L103" s="1"/>
  <c r="K11"/>
  <c r="L11" s="1"/>
  <c r="E75"/>
  <c r="E71" s="1"/>
  <c r="J4" i="4" l="1"/>
  <c r="E4" s="1"/>
  <c r="K75" i="5"/>
  <c r="L75" s="1"/>
  <c r="K71"/>
  <c r="L71" s="1"/>
  <c r="L27" i="4"/>
  <c r="K4" l="1"/>
  <c r="L4" s="1"/>
  <c r="K9"/>
  <c r="L9" s="1"/>
  <c r="K8"/>
  <c r="L8" s="1"/>
  <c r="K7" l="1"/>
  <c r="L7" s="1"/>
  <c r="K104" i="5"/>
  <c r="L104" s="1"/>
  <c r="K109"/>
  <c r="L109" s="1"/>
  <c r="K119" l="1"/>
  <c r="L119" s="1"/>
  <c r="E118"/>
  <c r="E117" s="1"/>
  <c r="K118" l="1"/>
  <c r="L118" l="1"/>
  <c r="K117"/>
  <c r="L117" s="1"/>
  <c r="F33" l="1"/>
  <c r="F6" l="1"/>
  <c r="E33"/>
  <c r="E6" s="1"/>
  <c r="E4" l="1"/>
  <c r="K4" s="1"/>
  <c r="L4" s="1"/>
  <c r="K33"/>
  <c r="L33" s="1"/>
  <c r="E5"/>
  <c r="K5" s="1"/>
  <c r="L5" s="1"/>
  <c r="K6" l="1"/>
  <c r="L6" s="1"/>
</calcChain>
</file>

<file path=xl/sharedStrings.xml><?xml version="1.0" encoding="utf-8"?>
<sst xmlns="http://schemas.openxmlformats.org/spreadsheetml/2006/main" count="1142" uniqueCount="475">
  <si>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</si>
  <si>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</si>
  <si>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</si>
  <si>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</si>
  <si>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</si>
  <si>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</si>
  <si>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</si>
  <si>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</si>
  <si>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</si>
  <si>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</si>
  <si>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</si>
  <si>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</si>
  <si>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</si>
  <si>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</si>
  <si>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</si>
  <si>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</si>
  <si>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</si>
  <si>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</si>
  <si>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</si>
  <si>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</si>
  <si>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</si>
  <si>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</si>
  <si>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</si>
  <si>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</si>
  <si>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</si>
  <si>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</si>
  <si>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</si>
  <si>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</si>
  <si>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</si>
  <si>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</si>
  <si>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</si>
  <si>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</si>
  <si>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</si>
  <si>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</si>
  <si>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</si>
  <si>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</si>
  <si>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</si>
  <si>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</si>
  <si>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</si>
  <si>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</si>
  <si>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</si>
  <si>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</si>
  <si>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</si>
  <si>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</si>
  <si>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</si>
  <si>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</si>
  <si>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</si>
  <si>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</si>
  <si>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</si>
  <si>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</si>
  <si>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</si>
  <si>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</si>
  <si>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</si>
  <si>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</si>
  <si>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</si>
  <si>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</si>
  <si>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</si>
  <si>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</si>
  <si>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</si>
  <si>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</si>
  <si>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</si>
  <si>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</si>
  <si>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</si>
  <si>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</si>
  <si>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</si>
  <si>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</si>
  <si>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&lt;보조금수입 합계&gt;</t>
    <phoneticPr fontId="6" type="noConversion"/>
  </si>
  <si>
    <t>원</t>
    <phoneticPr fontId="6" type="noConversion"/>
  </si>
  <si>
    <t>계</t>
    <phoneticPr fontId="6" type="noConversion"/>
  </si>
  <si>
    <t>총  계 :</t>
    <phoneticPr fontId="6" type="noConversion"/>
  </si>
  <si>
    <t>보조금</t>
    <phoneticPr fontId="6" type="noConversion"/>
  </si>
  <si>
    <t>총  계 :</t>
    <phoneticPr fontId="6" type="noConversion"/>
  </si>
  <si>
    <t>합    계 :</t>
    <phoneticPr fontId="6" type="noConversion"/>
  </si>
  <si>
    <t>÷</t>
    <phoneticPr fontId="6" type="noConversion"/>
  </si>
  <si>
    <t>=</t>
    <phoneticPr fontId="6" type="noConversion"/>
  </si>
  <si>
    <t>회</t>
    <phoneticPr fontId="6" type="noConversion"/>
  </si>
  <si>
    <t>전입금</t>
    <phoneticPr fontId="6" type="noConversion"/>
  </si>
  <si>
    <t>전년도</t>
    <phoneticPr fontId="6" type="noConversion"/>
  </si>
  <si>
    <t>잡수입</t>
    <phoneticPr fontId="6" type="noConversion"/>
  </si>
  <si>
    <t>소계</t>
    <phoneticPr fontId="6" type="noConversion"/>
  </si>
  <si>
    <t>&lt;잡수입 합계&gt;</t>
    <phoneticPr fontId="6" type="noConversion"/>
  </si>
  <si>
    <t>원</t>
    <phoneticPr fontId="6" type="noConversion"/>
  </si>
  <si>
    <t>※ 불용품매각대</t>
    <phoneticPr fontId="6" type="noConversion"/>
  </si>
  <si>
    <t>매각대</t>
    <phoneticPr fontId="6" type="noConversion"/>
  </si>
  <si>
    <t>※ 예금이자수입</t>
    <phoneticPr fontId="6" type="noConversion"/>
  </si>
  <si>
    <t>※기본급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</si>
  <si>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</si>
  <si>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</si>
  <si>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</si>
  <si>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</si>
  <si>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</si>
  <si>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</si>
  <si>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</si>
  <si>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</si>
  <si>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</si>
  <si>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</si>
  <si>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</si>
  <si>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</si>
  <si>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</si>
  <si>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</si>
  <si>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</si>
  <si>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</si>
  <si>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</si>
  <si>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</si>
  <si>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</si>
  <si>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</si>
  <si>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</si>
  <si>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</si>
  <si>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</si>
  <si>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</si>
  <si>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입소</t>
    <phoneticPr fontId="6" type="noConversion"/>
  </si>
  <si>
    <t>2.주부식비(보충액)</t>
    <phoneticPr fontId="6" type="noConversion"/>
  </si>
  <si>
    <t>원</t>
    <phoneticPr fontId="6" type="noConversion"/>
  </si>
  <si>
    <t>원</t>
    <phoneticPr fontId="6" type="noConversion"/>
  </si>
  <si>
    <t>입소자
부담금</t>
    <phoneticPr fontId="6" type="noConversion"/>
  </si>
  <si>
    <t>비  용</t>
  </si>
  <si>
    <t>법인
전입금</t>
    <phoneticPr fontId="6" type="noConversion"/>
  </si>
  <si>
    <t xml:space="preserve">총  계 : </t>
    <phoneticPr fontId="6" type="noConversion"/>
  </si>
  <si>
    <t>합계:</t>
    <phoneticPr fontId="6" type="noConversion"/>
  </si>
  <si>
    <t>법인</t>
    <phoneticPr fontId="6" type="noConversion"/>
  </si>
  <si>
    <t>전입금</t>
    <phoneticPr fontId="6" type="noConversion"/>
  </si>
  <si>
    <t>예금</t>
    <phoneticPr fontId="6" type="noConversion"/>
  </si>
  <si>
    <t>불용품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</si>
  <si>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</si>
  <si>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</si>
  <si>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</si>
  <si>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</si>
  <si>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업   무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</si>
  <si>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</si>
  <si>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</si>
  <si>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</si>
  <si>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소  계 :</t>
    <phoneticPr fontId="6" type="noConversion"/>
  </si>
  <si>
    <t>※ 피복비</t>
  </si>
  <si>
    <t>※ 의료비</t>
    <phoneticPr fontId="6" type="noConversion"/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</si>
  <si>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</si>
  <si>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</si>
  <si>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</si>
  <si>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</si>
  <si>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인건비</t>
    <phoneticPr fontId="6" type="noConversion"/>
  </si>
  <si>
    <t>사무비</t>
    <phoneticPr fontId="6" type="noConversion"/>
  </si>
  <si>
    <t>세출총계</t>
    <phoneticPr fontId="6" type="noConversion"/>
  </si>
  <si>
    <t>운영비</t>
    <phoneticPr fontId="6" type="noConversion"/>
  </si>
  <si>
    <t xml:space="preserve"> * 교육 및 출장여비</t>
    <phoneticPr fontId="6" type="noConversion"/>
  </si>
  <si>
    <t>명</t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</si>
  <si>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</si>
  <si>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</si>
  <si>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</si>
  <si>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</si>
  <si>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</si>
  <si>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</si>
  <si>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</si>
  <si>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</si>
  <si>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</si>
  <si>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</si>
  <si>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</si>
  <si>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</si>
  <si>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※ 보조금 반환금(수원시)</t>
    <phoneticPr fontId="6" type="noConversion"/>
  </si>
  <si>
    <t>유지비</t>
    <phoneticPr fontId="6" type="noConversion"/>
  </si>
  <si>
    <t>원</t>
    <phoneticPr fontId="6" type="noConversion"/>
  </si>
  <si>
    <t>보조금
(7종)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</si>
  <si>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</si>
  <si>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</si>
  <si>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</si>
  <si>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</si>
  <si>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*사회재활교사</t>
    <phoneticPr fontId="6" type="noConversion"/>
  </si>
  <si>
    <t>월</t>
    <phoneticPr fontId="6" type="noConversion"/>
  </si>
  <si>
    <t>* 고용보험부담금</t>
    <phoneticPr fontId="6" type="noConversion"/>
  </si>
  <si>
    <t>* 국민연금부담금</t>
    <phoneticPr fontId="6" type="noConversion"/>
  </si>
  <si>
    <t>* 회의관련 다과비등</t>
    <phoneticPr fontId="6" type="noConversion"/>
  </si>
  <si>
    <t>회</t>
    <phoneticPr fontId="6" type="noConversion"/>
  </si>
  <si>
    <t>소계:</t>
    <phoneticPr fontId="6" type="noConversion"/>
  </si>
  <si>
    <t>1. 사무용품비(문구류 )</t>
    <phoneticPr fontId="6" type="noConversion"/>
  </si>
  <si>
    <t>월</t>
    <phoneticPr fontId="6" type="noConversion"/>
  </si>
  <si>
    <t>원</t>
    <phoneticPr fontId="6" type="noConversion"/>
  </si>
  <si>
    <t>1. 화재보험료</t>
    <phoneticPr fontId="6" type="noConversion"/>
  </si>
  <si>
    <t>2. 상해보험료</t>
    <phoneticPr fontId="6" type="noConversion"/>
  </si>
  <si>
    <t>3. 소방안전점검</t>
    <phoneticPr fontId="6" type="noConversion"/>
  </si>
  <si>
    <t>4. 전기안전점검</t>
    <phoneticPr fontId="6" type="noConversion"/>
  </si>
  <si>
    <t>5. 가스안전점검</t>
    <phoneticPr fontId="6" type="noConversion"/>
  </si>
  <si>
    <t>* 차량유류대</t>
    <phoneticPr fontId="6" type="noConversion"/>
  </si>
  <si>
    <t>1.주부식비</t>
    <phoneticPr fontId="6" type="noConversion"/>
  </si>
  <si>
    <t>* 일상생활용품</t>
    <phoneticPr fontId="6" type="noConversion"/>
  </si>
  <si>
    <t>* 피복비</t>
    <phoneticPr fontId="6" type="noConversion"/>
  </si>
  <si>
    <t>명</t>
    <phoneticPr fontId="6" type="noConversion"/>
  </si>
  <si>
    <t>=</t>
    <phoneticPr fontId="6" type="noConversion"/>
  </si>
  <si>
    <t>* 입소자 건강진단비</t>
    <phoneticPr fontId="6" type="noConversion"/>
  </si>
  <si>
    <t>* 외래진료 및 의약품비 등</t>
    <phoneticPr fontId="6" type="noConversion"/>
  </si>
  <si>
    <t>* 취사용 연료비</t>
    <phoneticPr fontId="6" type="noConversion"/>
  </si>
  <si>
    <t>3. 김장비용</t>
    <phoneticPr fontId="6" type="noConversion"/>
  </si>
  <si>
    <t>원</t>
    <phoneticPr fontId="6" type="noConversion"/>
  </si>
  <si>
    <t>원</t>
    <phoneticPr fontId="6" type="noConversion"/>
  </si>
  <si>
    <t>세입총계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</si>
  <si>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</si>
  <si>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</si>
  <si>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</si>
  <si>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※ 기타후생경비</t>
    <phoneticPr fontId="6" type="noConversion"/>
  </si>
  <si>
    <t>* 종사자건강검진비용</t>
    <phoneticPr fontId="6" type="noConversion"/>
  </si>
  <si>
    <t>기타        후생경비</t>
    <phoneticPr fontId="6" type="noConversion"/>
  </si>
  <si>
    <t>2. 가족수당(보조금)</t>
    <phoneticPr fontId="6" type="noConversion"/>
  </si>
  <si>
    <t>4.종사자근무수당(7종)</t>
    <phoneticPr fontId="6" type="noConversion"/>
  </si>
  <si>
    <t>* 설 명절 휴가비</t>
    <phoneticPr fontId="6" type="noConversion"/>
  </si>
  <si>
    <t>원</t>
    <phoneticPr fontId="6" type="noConversion"/>
  </si>
  <si>
    <t>월</t>
    <phoneticPr fontId="6" type="noConversion"/>
  </si>
  <si>
    <t>원</t>
    <phoneticPr fontId="6" type="noConversion"/>
  </si>
  <si>
    <t>* 퇴직적립금(보조금)</t>
    <phoneticPr fontId="6" type="noConversion"/>
  </si>
  <si>
    <t>=</t>
    <phoneticPr fontId="6" type="noConversion"/>
  </si>
  <si>
    <t>2. 주방용품 구입 및 소규모수선비</t>
    <phoneticPr fontId="6" type="noConversion"/>
  </si>
  <si>
    <t>3.기타 수용비 및 수수료</t>
    <phoneticPr fontId="6" type="noConversion"/>
  </si>
  <si>
    <t>원</t>
    <phoneticPr fontId="6" type="noConversion"/>
  </si>
  <si>
    <t>※ 후원금</t>
    <phoneticPr fontId="6" type="noConversion"/>
  </si>
  <si>
    <t>※ 전년도 이월금</t>
    <phoneticPr fontId="6" type="noConversion"/>
  </si>
  <si>
    <t>* 비지정 후원금</t>
    <phoneticPr fontId="6" type="noConversion"/>
  </si>
  <si>
    <t>후원금</t>
    <phoneticPr fontId="6" type="noConversion"/>
  </si>
  <si>
    <t>비지정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</si>
  <si>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6" type="noConversion"/>
  </si>
  <si>
    <t>6. 신용보증보험</t>
    <phoneticPr fontId="6" type="noConversion"/>
  </si>
  <si>
    <t>* 환경개선사업비(7종)시도</t>
    <phoneticPr fontId="6" type="noConversion"/>
  </si>
  <si>
    <t>* 종사자근무수당(시도)</t>
    <phoneticPr fontId="6" type="noConversion"/>
  </si>
  <si>
    <t>이월금</t>
    <phoneticPr fontId="6" type="noConversion"/>
  </si>
  <si>
    <t>1. 전화료 인터넷 요금(보조)</t>
    <phoneticPr fontId="6" type="noConversion"/>
  </si>
  <si>
    <t>2. 아파트관리비(보조)</t>
    <phoneticPr fontId="6" type="noConversion"/>
  </si>
  <si>
    <t>3. 전화료 인터넷 요금(입소)</t>
    <phoneticPr fontId="6" type="noConversion"/>
  </si>
  <si>
    <t>4. 아파트관리비(입소)</t>
    <phoneticPr fontId="6" type="noConversion"/>
  </si>
  <si>
    <t>* 산재보험부담금</t>
    <phoneticPr fontId="6" type="noConversion"/>
  </si>
  <si>
    <t>=</t>
    <phoneticPr fontId="6" type="noConversion"/>
  </si>
  <si>
    <t>입소</t>
    <phoneticPr fontId="6" type="noConversion"/>
  </si>
  <si>
    <t>보조</t>
    <phoneticPr fontId="6" type="noConversion"/>
  </si>
  <si>
    <t>* 가족수당</t>
    <phoneticPr fontId="6" type="noConversion"/>
  </si>
  <si>
    <t>* 종사자 건강검진비용</t>
    <phoneticPr fontId="6" type="noConversion"/>
  </si>
  <si>
    <t>※ 입소자부담금수입</t>
    <phoneticPr fontId="6" type="noConversion"/>
  </si>
  <si>
    <t>* 입소자부담금수입</t>
    <phoneticPr fontId="6" type="noConversion"/>
  </si>
  <si>
    <t>보조금</t>
    <phoneticPr fontId="6" type="noConversion"/>
  </si>
  <si>
    <t>* 욕실 파티션</t>
    <phoneticPr fontId="6" type="noConversion"/>
  </si>
  <si>
    <t>3.연장근로수당(보조금)</t>
    <phoneticPr fontId="6" type="noConversion"/>
  </si>
  <si>
    <t>* 환경개선사업비 (에어컨설치)</t>
    <phoneticPr fontId="6" type="noConversion"/>
  </si>
  <si>
    <t>5호</t>
    <phoneticPr fontId="6" type="noConversion"/>
  </si>
  <si>
    <t>1. 미용실 이용</t>
    <phoneticPr fontId="6" type="noConversion"/>
  </si>
  <si>
    <t>2. 찜질방 이용</t>
    <phoneticPr fontId="6" type="noConversion"/>
  </si>
  <si>
    <t>4. 이용인생일</t>
    <phoneticPr fontId="6" type="noConversion"/>
  </si>
  <si>
    <t>A. 일상생활 지원 프로그램</t>
    <phoneticPr fontId="6" type="noConversion"/>
  </si>
  <si>
    <t>B.  직업활동 지원</t>
    <phoneticPr fontId="6" type="noConversion"/>
  </si>
  <si>
    <t>1.  작업활동 지원비</t>
    <phoneticPr fontId="6" type="noConversion"/>
  </si>
  <si>
    <t>C. 자치회의 프로그램</t>
    <phoneticPr fontId="6" type="noConversion"/>
  </si>
  <si>
    <t>1.  자치회의 비용</t>
    <phoneticPr fontId="6" type="noConversion"/>
  </si>
  <si>
    <t>D. 교육지원 프로그램</t>
    <phoneticPr fontId="6" type="noConversion"/>
  </si>
  <si>
    <t>1. 교육(학습)지원 비용</t>
    <phoneticPr fontId="6" type="noConversion"/>
  </si>
  <si>
    <t>E. 여가활동 (계절별 나들이)</t>
    <phoneticPr fontId="6" type="noConversion"/>
  </si>
  <si>
    <t>1. 봄</t>
    <phoneticPr fontId="6" type="noConversion"/>
  </si>
  <si>
    <t>2. 여름</t>
    <phoneticPr fontId="6" type="noConversion"/>
  </si>
  <si>
    <t>4. 겨울</t>
    <phoneticPr fontId="6" type="noConversion"/>
  </si>
  <si>
    <t>G. 등산프로그램</t>
    <phoneticPr fontId="6" type="noConversion"/>
  </si>
  <si>
    <t>1. 등산프로그램</t>
    <phoneticPr fontId="6" type="noConversion"/>
  </si>
  <si>
    <t>F. 영화 문화생활 이용 프로그램</t>
    <phoneticPr fontId="6" type="noConversion"/>
  </si>
  <si>
    <t>1. 영화 및 뮤지컬 관람</t>
    <phoneticPr fontId="6" type="noConversion"/>
  </si>
  <si>
    <t>2., 문화생활 이용 비용</t>
    <phoneticPr fontId="6" type="noConversion"/>
  </si>
  <si>
    <t>후원</t>
    <phoneticPr fontId="6" type="noConversion"/>
  </si>
  <si>
    <t>입소</t>
    <phoneticPr fontId="6" type="noConversion"/>
  </si>
  <si>
    <t>* 추석 명절휴가비</t>
    <phoneticPr fontId="6" type="noConversion"/>
  </si>
  <si>
    <t>문화</t>
    <phoneticPr fontId="6" type="noConversion"/>
  </si>
  <si>
    <t>원</t>
    <phoneticPr fontId="6" type="noConversion"/>
  </si>
  <si>
    <t>입소</t>
    <phoneticPr fontId="6" type="noConversion"/>
  </si>
  <si>
    <t>1.명절휴가비</t>
    <phoneticPr fontId="6" type="noConversion"/>
  </si>
  <si>
    <t>보조</t>
    <phoneticPr fontId="6" type="noConversion"/>
  </si>
  <si>
    <t>7종</t>
    <phoneticPr fontId="6" type="noConversion"/>
  </si>
  <si>
    <t>* LED 교체비용</t>
    <phoneticPr fontId="6" type="noConversion"/>
  </si>
  <si>
    <t>입소</t>
    <phoneticPr fontId="6" type="noConversion"/>
  </si>
  <si>
    <t>&lt;2015년도 세입내역&gt;</t>
    <phoneticPr fontId="6" type="noConversion"/>
  </si>
  <si>
    <t>&lt;2015년도 세출내역&gt;</t>
    <phoneticPr fontId="6" type="noConversion"/>
  </si>
  <si>
    <t>※ 2015년 시도보조금</t>
    <phoneticPr fontId="6" type="noConversion"/>
  </si>
  <si>
    <t>* 2015년 시도보조금</t>
    <phoneticPr fontId="6" type="noConversion"/>
  </si>
  <si>
    <t>이자</t>
    <phoneticPr fontId="6" type="noConversion"/>
  </si>
  <si>
    <t>1. 보조금 이자수입</t>
    <phoneticPr fontId="6" type="noConversion"/>
  </si>
  <si>
    <t>2. 자부담 이자수입</t>
    <phoneticPr fontId="6" type="noConversion"/>
  </si>
  <si>
    <t>3. 후원금 이자수입</t>
    <phoneticPr fontId="6" type="noConversion"/>
  </si>
  <si>
    <t>시도</t>
    <phoneticPr fontId="6" type="noConversion"/>
  </si>
  <si>
    <t>보조금</t>
    <phoneticPr fontId="6" type="noConversion"/>
  </si>
  <si>
    <t>시군구</t>
    <phoneticPr fontId="6" type="noConversion"/>
  </si>
  <si>
    <t>보조금
운영비</t>
    <phoneticPr fontId="6" type="noConversion"/>
  </si>
  <si>
    <t>원</t>
    <phoneticPr fontId="6" type="noConversion"/>
  </si>
  <si>
    <t>1. 보조금 이월금(반납)</t>
    <phoneticPr fontId="6" type="noConversion"/>
  </si>
  <si>
    <t>보조</t>
  </si>
  <si>
    <t>4호</t>
    <phoneticPr fontId="6" type="noConversion"/>
  </si>
  <si>
    <t>원</t>
    <phoneticPr fontId="6" type="noConversion"/>
  </si>
  <si>
    <t>입소</t>
  </si>
  <si>
    <t>입소</t>
    <phoneticPr fontId="6" type="noConversion"/>
  </si>
  <si>
    <t>* 실내사이클구입비용</t>
  </si>
  <si>
    <t>* 가구구입비용</t>
  </si>
  <si>
    <t>후원</t>
    <phoneticPr fontId="6" type="noConversion"/>
  </si>
  <si>
    <t>법인</t>
    <phoneticPr fontId="6" type="noConversion"/>
  </si>
  <si>
    <t>4. 부식비</t>
    <phoneticPr fontId="6" type="noConversion"/>
  </si>
  <si>
    <t>5. 부식비</t>
    <phoneticPr fontId="6" type="noConversion"/>
  </si>
  <si>
    <t>기타</t>
    <phoneticPr fontId="6" type="noConversion"/>
  </si>
  <si>
    <t>잡수입</t>
    <phoneticPr fontId="6" type="noConversion"/>
  </si>
  <si>
    <t>입소</t>
    <phoneticPr fontId="6" type="noConversion"/>
  </si>
  <si>
    <t>3. 입소비용</t>
    <phoneticPr fontId="6" type="noConversion"/>
  </si>
  <si>
    <t>3. 요리활동 및 외식</t>
    <phoneticPr fontId="6" type="noConversion"/>
  </si>
  <si>
    <t>3. 가을</t>
    <phoneticPr fontId="6" type="noConversion"/>
  </si>
  <si>
    <t>2. 보조금 이월금(이자)</t>
    <phoneticPr fontId="6" type="noConversion"/>
  </si>
  <si>
    <t>* 업무추진비(이용인직장방문경비)</t>
    <phoneticPr fontId="6" type="noConversion"/>
  </si>
  <si>
    <t>회</t>
    <phoneticPr fontId="6" type="noConversion"/>
  </si>
  <si>
    <t>원</t>
    <phoneticPr fontId="6" type="noConversion"/>
  </si>
  <si>
    <t>※ 2015년 시군구보조금</t>
    <phoneticPr fontId="6" type="noConversion"/>
  </si>
  <si>
    <t>입소</t>
    <phoneticPr fontId="6" type="noConversion"/>
  </si>
  <si>
    <t>입소</t>
    <phoneticPr fontId="6" type="noConversion"/>
  </si>
  <si>
    <t>8. 상해보험갱신(종사자)</t>
  </si>
  <si>
    <t>회</t>
  </si>
  <si>
    <t>7. 차량보험료</t>
    <phoneticPr fontId="6" type="noConversion"/>
  </si>
  <si>
    <t>회</t>
    <phoneticPr fontId="6" type="noConversion"/>
  </si>
  <si>
    <t>÷</t>
    <phoneticPr fontId="6" type="noConversion"/>
  </si>
  <si>
    <t>입소</t>
    <phoneticPr fontId="6" type="noConversion"/>
  </si>
  <si>
    <t>원</t>
    <phoneticPr fontId="6" type="noConversion"/>
  </si>
  <si>
    <t>* 직원 외부교육비</t>
  </si>
  <si>
    <t>5. 해외문화탐방</t>
    <phoneticPr fontId="6" type="noConversion"/>
  </si>
  <si>
    <t>=</t>
    <phoneticPr fontId="6" type="noConversion"/>
  </si>
  <si>
    <t>소  계 :</t>
  </si>
  <si>
    <t>H. 기타프로그램</t>
  </si>
  <si>
    <t>1. 송년회</t>
  </si>
  <si>
    <t>2. 개원기념식 행사</t>
  </si>
  <si>
    <t>(단위:원)</t>
    <phoneticPr fontId="26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</si>
  <si>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</si>
  <si>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</si>
  <si>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</si>
  <si>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2015년
1차 추경 예산</t>
    <phoneticPr fontId="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</si>
  <si>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</si>
  <si>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</si>
  <si>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</si>
  <si>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소계</t>
    <phoneticPr fontId="6" type="noConversion"/>
  </si>
  <si>
    <t>사   무   비</t>
    <phoneticPr fontId="26" type="noConversion"/>
  </si>
  <si>
    <t>입소비용   수입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</si>
  <si>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</si>
  <si>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</si>
  <si>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</si>
  <si>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국고보조금</t>
    <phoneticPr fontId="26" type="noConversion"/>
  </si>
  <si>
    <t>운      영      비</t>
    <phoneticPr fontId="26" type="noConversion"/>
  </si>
  <si>
    <t>시도보조금</t>
    <phoneticPr fontId="26" type="noConversion"/>
  </si>
  <si>
    <t>재산조성비</t>
    <phoneticPr fontId="26" type="noConversion"/>
  </si>
  <si>
    <t>시군구보조금</t>
    <phoneticPr fontId="26" type="noConversion"/>
  </si>
  <si>
    <t>시      설      비</t>
    <phoneticPr fontId="26" type="noConversion"/>
  </si>
  <si>
    <t>후원금  수입</t>
    <phoneticPr fontId="26" type="noConversion"/>
  </si>
  <si>
    <t>자 산   취 득 비</t>
    <phoneticPr fontId="26" type="noConversion"/>
  </si>
  <si>
    <t>지정      후원금</t>
    <phoneticPr fontId="26" type="noConversion"/>
  </si>
  <si>
    <t>시설장비유지비</t>
    <phoneticPr fontId="26" type="noConversion"/>
  </si>
  <si>
    <t>비지정   후원금</t>
    <phoneticPr fontId="26" type="noConversion"/>
  </si>
  <si>
    <t>사   업   비</t>
    <phoneticPr fontId="26" type="noConversion"/>
  </si>
  <si>
    <t>전    입    금</t>
    <phoneticPr fontId="26" type="noConversion"/>
  </si>
  <si>
    <t>생      계      비</t>
    <phoneticPr fontId="26" type="noConversion"/>
  </si>
  <si>
    <t>법인      전입금</t>
    <phoneticPr fontId="26" type="noConversion"/>
  </si>
  <si>
    <t>수용기관   경비</t>
    <phoneticPr fontId="26" type="noConversion"/>
  </si>
  <si>
    <t>이    월    금</t>
    <phoneticPr fontId="26" type="noConversion"/>
  </si>
  <si>
    <t>피      복      비</t>
    <phoneticPr fontId="26" type="noConversion"/>
  </si>
  <si>
    <t>전년도   이월금</t>
    <phoneticPr fontId="26" type="noConversion"/>
  </si>
  <si>
    <t>의      료      비</t>
    <phoneticPr fontId="26" type="noConversion"/>
  </si>
  <si>
    <t>잡    수    입</t>
    <phoneticPr fontId="26" type="noConversion"/>
  </si>
  <si>
    <t>연      료      비</t>
    <phoneticPr fontId="26" type="noConversion"/>
  </si>
  <si>
    <t>잡      수      입</t>
    <phoneticPr fontId="26" type="noConversion"/>
  </si>
  <si>
    <t>프로그램사업비</t>
    <phoneticPr fontId="26" type="noConversion"/>
  </si>
  <si>
    <t>보조금반환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</si>
  <si>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</si>
  <si>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</si>
  <si>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</si>
  <si>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</si>
  <si>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</si>
  <si>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>과  목</t>
    <phoneticPr fontId="6" type="noConversion"/>
  </si>
  <si>
    <t>예 산 액
(단위:천원)</t>
    <phoneticPr fontId="6" type="noConversion"/>
  </si>
  <si>
    <t>증, (△)감</t>
    <phoneticPr fontId="6" type="noConversion"/>
  </si>
  <si>
    <t>산출내역</t>
    <phoneticPr fontId="6" type="noConversion"/>
  </si>
  <si>
    <t>내    역</t>
    <phoneticPr fontId="6" type="noConversion"/>
  </si>
  <si>
    <t>관</t>
    <phoneticPr fontId="6" type="noConversion"/>
  </si>
  <si>
    <t>항</t>
    <phoneticPr fontId="6" type="noConversion"/>
  </si>
  <si>
    <t>목</t>
    <phoneticPr fontId="6" type="noConversion"/>
  </si>
  <si>
    <t>합     계</t>
    <phoneticPr fontId="6" type="noConversion"/>
  </si>
  <si>
    <t>입소
비용</t>
    <phoneticPr fontId="6" type="noConversion"/>
  </si>
  <si>
    <t>보조금
수   입</t>
    <phoneticPr fontId="6" type="noConversion"/>
  </si>
  <si>
    <t>시   도
보조금</t>
    <phoneticPr fontId="6" type="noConversion"/>
  </si>
  <si>
    <t>운영비</t>
    <phoneticPr fontId="6" type="noConversion"/>
  </si>
  <si>
    <t>* 변동없음</t>
    <phoneticPr fontId="6" type="noConversion"/>
  </si>
  <si>
    <t>종사자
근무수당</t>
    <phoneticPr fontId="6" type="noConversion"/>
  </si>
  <si>
    <t>환경개선
사업비</t>
    <phoneticPr fontId="6" type="noConversion"/>
  </si>
  <si>
    <t>시군구
보조금</t>
    <phoneticPr fontId="6" type="noConversion"/>
  </si>
  <si>
    <t>종사자
건강
검진비</t>
    <phoneticPr fontId="6" type="noConversion"/>
  </si>
  <si>
    <t>후원금</t>
    <phoneticPr fontId="6" type="noConversion"/>
  </si>
  <si>
    <t>지정
후원금</t>
    <phoneticPr fontId="6" type="noConversion"/>
  </si>
  <si>
    <t>비지정
후원금</t>
    <phoneticPr fontId="6" type="noConversion"/>
  </si>
  <si>
    <t>전입금</t>
    <phoneticPr fontId="6" type="noConversion"/>
  </si>
  <si>
    <t>법인
전입금</t>
    <phoneticPr fontId="6" type="noConversion"/>
  </si>
  <si>
    <t>법인
전입금
(후원금)</t>
    <phoneticPr fontId="6" type="noConversion"/>
  </si>
  <si>
    <t>이월금</t>
    <phoneticPr fontId="6" type="noConversion"/>
  </si>
  <si>
    <t>전년도
이월금</t>
    <phoneticPr fontId="6" type="noConversion"/>
  </si>
  <si>
    <t>입소비용
이월금</t>
    <phoneticPr fontId="6" type="noConversion"/>
  </si>
  <si>
    <t>보조금
이월금</t>
    <phoneticPr fontId="6" type="noConversion"/>
  </si>
  <si>
    <t>법인
전입금
이월금</t>
    <phoneticPr fontId="6" type="noConversion"/>
  </si>
  <si>
    <t>잡수입
이월금</t>
    <phoneticPr fontId="6" type="noConversion"/>
  </si>
  <si>
    <t>전년도
이월금
(후원)</t>
    <phoneticPr fontId="6" type="noConversion"/>
  </si>
  <si>
    <t>전년도
이월금
(후원금)</t>
    <phoneticPr fontId="6" type="noConversion"/>
  </si>
  <si>
    <t>잡수입</t>
    <phoneticPr fontId="6" type="noConversion"/>
  </si>
  <si>
    <t>사무비</t>
    <phoneticPr fontId="6" type="noConversion"/>
  </si>
  <si>
    <t>인건비</t>
    <phoneticPr fontId="6" type="noConversion"/>
  </si>
  <si>
    <t>급여</t>
    <phoneticPr fontId="6" type="noConversion"/>
  </si>
  <si>
    <t>일용잡급</t>
    <phoneticPr fontId="6" type="noConversion"/>
  </si>
  <si>
    <t>* 변동없음</t>
    <phoneticPr fontId="6" type="noConversion"/>
  </si>
  <si>
    <t>제수당</t>
    <phoneticPr fontId="6" type="noConversion"/>
  </si>
  <si>
    <t>퇴직금
적립금</t>
    <phoneticPr fontId="6" type="noConversion"/>
  </si>
  <si>
    <t>사회보험
부담금</t>
    <phoneticPr fontId="6" type="noConversion"/>
  </si>
  <si>
    <t>기타
후생경비</t>
    <phoneticPr fontId="6" type="noConversion"/>
  </si>
  <si>
    <t>업무
추진비</t>
    <phoneticPr fontId="6" type="noConversion"/>
  </si>
  <si>
    <t>기관
운영비</t>
    <phoneticPr fontId="6" type="noConversion"/>
  </si>
  <si>
    <t>회의비</t>
    <phoneticPr fontId="6" type="noConversion"/>
  </si>
  <si>
    <t>운영비</t>
    <phoneticPr fontId="6" type="noConversion"/>
  </si>
  <si>
    <t>여비</t>
    <phoneticPr fontId="6" type="noConversion"/>
  </si>
  <si>
    <t>수용비 및
수수료</t>
    <phoneticPr fontId="6" type="noConversion"/>
  </si>
  <si>
    <t>* 사무용품 구입비 증액</t>
    <phoneticPr fontId="6" type="noConversion"/>
  </si>
  <si>
    <t>공공요금</t>
    <phoneticPr fontId="6" type="noConversion"/>
  </si>
  <si>
    <t>제세
공과금</t>
    <phoneticPr fontId="6" type="noConversion"/>
  </si>
  <si>
    <t>차량비</t>
    <phoneticPr fontId="6" type="noConversion"/>
  </si>
  <si>
    <t>기타
운영비</t>
    <phoneticPr fontId="6" type="noConversion"/>
  </si>
  <si>
    <t>재산
조성비</t>
    <phoneticPr fontId="6" type="noConversion"/>
  </si>
  <si>
    <t>시설비</t>
    <phoneticPr fontId="6" type="noConversion"/>
  </si>
  <si>
    <t>자산
취득비</t>
  </si>
  <si>
    <t>시설장비
유지비</t>
    <phoneticPr fontId="6" type="noConversion"/>
  </si>
  <si>
    <t>사업비</t>
    <phoneticPr fontId="6" type="noConversion"/>
  </si>
  <si>
    <t>생계비</t>
    <phoneticPr fontId="6" type="noConversion"/>
  </si>
  <si>
    <t>* 생계비 증액</t>
    <phoneticPr fontId="6" type="noConversion"/>
  </si>
  <si>
    <t>수용기관
경비</t>
    <phoneticPr fontId="6" type="noConversion"/>
  </si>
  <si>
    <t>피복비</t>
    <phoneticPr fontId="6" type="noConversion"/>
  </si>
  <si>
    <t>의료비</t>
    <phoneticPr fontId="6" type="noConversion"/>
  </si>
  <si>
    <t>* 의약품 구입비 증액</t>
    <phoneticPr fontId="6" type="noConversion"/>
  </si>
  <si>
    <t>연료비</t>
    <phoneticPr fontId="6" type="noConversion"/>
  </si>
  <si>
    <t>프로그램
사업비</t>
    <phoneticPr fontId="6" type="noConversion"/>
  </si>
  <si>
    <t>보조금
반환금</t>
    <phoneticPr fontId="6" type="noConversion"/>
  </si>
  <si>
    <t>예비비</t>
    <phoneticPr fontId="6" type="noConversion"/>
  </si>
  <si>
    <t>* 종사자 퇴사에 따른 변경으로 감소</t>
    <phoneticPr fontId="6" type="noConversion"/>
  </si>
  <si>
    <t>* 변동없음</t>
    <phoneticPr fontId="6" type="noConversion"/>
  </si>
  <si>
    <t>* 변동없음</t>
    <phoneticPr fontId="6" type="noConversion"/>
  </si>
  <si>
    <t>* 종사자 퇴사에 따른  감소</t>
    <phoneticPr fontId="6" type="noConversion"/>
  </si>
  <si>
    <t>회</t>
    <phoneticPr fontId="6" type="noConversion"/>
  </si>
  <si>
    <t>* 건강,장기요양보험부담금</t>
    <phoneticPr fontId="6" type="noConversion"/>
  </si>
  <si>
    <t>* 건강,장기요양보험정산금</t>
    <phoneticPr fontId="6" type="noConversion"/>
  </si>
  <si>
    <t>6. 지역사회이용비</t>
    <phoneticPr fontId="6" type="noConversion"/>
  </si>
  <si>
    <t>개월</t>
    <phoneticPr fontId="6" type="noConversion"/>
  </si>
  <si>
    <t>1.보조금 예금이자</t>
    <phoneticPr fontId="6" type="noConversion"/>
  </si>
  <si>
    <t>2015년  2차추가경정 예산액(단위:천원)</t>
    <phoneticPr fontId="6" type="noConversion"/>
  </si>
  <si>
    <t>2015년
1차추가경정예산액(A)
(단위:천원)</t>
    <phoneticPr fontId="6" type="noConversion"/>
  </si>
  <si>
    <t>2015년
2차 추경 예산</t>
    <phoneticPr fontId="6" type="noConversion"/>
  </si>
  <si>
    <t>2015년 2차 추경 세입명세서</t>
    <phoneticPr fontId="6" type="noConversion"/>
  </si>
  <si>
    <t>2015년 2차 추경 세출명세서</t>
    <phoneticPr fontId="6" type="noConversion"/>
  </si>
  <si>
    <t>□ 2015년도 2차 추경 세 입 · 세 출 총  괄  표</t>
    <phoneticPr fontId="26" type="noConversion"/>
  </si>
  <si>
    <t>2015년 2차 추가경정 예산액(단위:천원)</t>
    <phoneticPr fontId="6" type="noConversion"/>
  </si>
  <si>
    <t>2015년
1차추가경정
예산액(A)
(단위:천원)</t>
    <phoneticPr fontId="6" type="noConversion"/>
  </si>
  <si>
    <t>잡지출</t>
    <phoneticPr fontId="6" type="noConversion"/>
  </si>
  <si>
    <t>※ 잡지출</t>
    <phoneticPr fontId="6" type="noConversion"/>
  </si>
  <si>
    <t>※ 예비비</t>
    <phoneticPr fontId="6" type="noConversion"/>
  </si>
  <si>
    <t>2. 7종 종사자 건강검진비용</t>
    <phoneticPr fontId="6" type="noConversion"/>
  </si>
  <si>
    <t>* 7종 종사자건강검진비 200,000, 예금이자 7,131</t>
    <phoneticPr fontId="6" type="noConversion"/>
  </si>
  <si>
    <t>* 예산증가</t>
    <phoneticPr fontId="6" type="noConversion"/>
  </si>
  <si>
    <t>* 2015년 환경개선사업비 에어컨단가 감소</t>
    <phoneticPr fontId="6" type="noConversion"/>
  </si>
  <si>
    <t>* 정기후원자 감소</t>
    <phoneticPr fontId="6" type="noConversion"/>
  </si>
  <si>
    <t>* 이용인 직장방문 경비 감액</t>
    <phoneticPr fontId="6" type="noConversion"/>
  </si>
  <si>
    <t>* 직원교육 및 출장여비 감액</t>
    <phoneticPr fontId="6" type="noConversion"/>
  </si>
  <si>
    <t>* 관리비 감소</t>
    <phoneticPr fontId="6" type="noConversion"/>
  </si>
  <si>
    <t>* 후원차량관련(모닝) 보험료 감액</t>
    <phoneticPr fontId="6" type="noConversion"/>
  </si>
  <si>
    <t>* 후원차량관련(모닝) 유류비 감액</t>
    <phoneticPr fontId="6" type="noConversion"/>
  </si>
  <si>
    <t>* 직원 외부교육비 감액</t>
    <phoneticPr fontId="6" type="noConversion"/>
  </si>
  <si>
    <t>* LED 교체비용 감액</t>
    <phoneticPr fontId="6" type="noConversion"/>
  </si>
  <si>
    <t>* 실내사이클 구입 1,550천원/에어컨 구입1,450천원/가구 구입 1,500천원</t>
    <phoneticPr fontId="6" type="noConversion"/>
  </si>
  <si>
    <t>* 생필품 구입비 감액</t>
    <phoneticPr fontId="6" type="noConversion"/>
  </si>
  <si>
    <t>* 본예산은 회계마감 전이므로 추정치임</t>
    <phoneticPr fontId="6" type="noConversion"/>
  </si>
  <si>
    <t>* 일상생활지원프로그램 1,830천원/자치회의 268천원/교육지원프로그램 120천원/여가활동1,560/문화생활이용 240천원/등산활동160천원/기타100천원</t>
    <phoneticPr fontId="6" type="noConversion"/>
  </si>
  <si>
    <t>※ 잡수입</t>
    <phoneticPr fontId="6" type="noConversion"/>
  </si>
  <si>
    <t>4. 후원금</t>
    <phoneticPr fontId="6" type="noConversion"/>
  </si>
  <si>
    <t>* 퇴사자 적립금 증가(법인)</t>
    <phoneticPr fontId="6" type="noConversion"/>
  </si>
  <si>
    <t>* 퇴사자 적립금 감소(법인)</t>
    <phoneticPr fontId="6" type="noConversion"/>
  </si>
  <si>
    <t>9. 주민세</t>
    <phoneticPr fontId="6" type="noConversion"/>
  </si>
  <si>
    <t>원</t>
    <phoneticPr fontId="6" type="noConversion"/>
  </si>
  <si>
    <t>2. 보조금 1년미만자 퇴직적립금(박정훈)</t>
    <phoneticPr fontId="6" type="noConversion"/>
  </si>
  <si>
    <t>1. 퇴사자적립금(김정우)</t>
    <phoneticPr fontId="6" type="noConversion"/>
  </si>
</sst>
</file>

<file path=xl/styles.xml><?xml version="1.0" encoding="utf-8"?>
<styleSheet xmlns="http://schemas.openxmlformats.org/spreadsheetml/2006/main">
  <numFmts count="18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</numFmts>
  <fonts count="39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7030A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13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41" fontId="7" fillId="0" borderId="0" xfId="2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2" fillId="0" borderId="15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178" fontId="12" fillId="0" borderId="22" xfId="3" applyNumberFormat="1" applyFont="1" applyFill="1" applyBorder="1" applyAlignment="1">
      <alignment vertical="center"/>
    </xf>
    <xf numFmtId="177" fontId="12" fillId="0" borderId="22" xfId="3" applyNumberFormat="1" applyFont="1" applyFill="1" applyBorder="1" applyAlignment="1">
      <alignment vertical="center"/>
    </xf>
    <xf numFmtId="0" fontId="15" fillId="0" borderId="21" xfId="3" applyFont="1" applyFill="1" applyBorder="1" applyAlignment="1">
      <alignment vertical="center"/>
    </xf>
    <xf numFmtId="176" fontId="15" fillId="0" borderId="21" xfId="3" applyNumberFormat="1" applyFont="1" applyFill="1" applyBorder="1" applyAlignment="1">
      <alignment horizontal="center" vertical="center"/>
    </xf>
    <xf numFmtId="176" fontId="15" fillId="0" borderId="21" xfId="3" applyNumberFormat="1" applyFont="1" applyFill="1" applyBorder="1" applyAlignment="1">
      <alignment vertical="center"/>
    </xf>
    <xf numFmtId="176" fontId="15" fillId="0" borderId="23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 wrapText="1"/>
    </xf>
    <xf numFmtId="9" fontId="16" fillId="0" borderId="26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9" fontId="12" fillId="0" borderId="26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25" xfId="3" applyFont="1" applyFill="1" applyBorder="1" applyAlignment="1">
      <alignment horizontal="center" vertical="center" wrapText="1"/>
    </xf>
    <xf numFmtId="178" fontId="12" fillId="0" borderId="26" xfId="3" applyNumberFormat="1" applyFont="1" applyFill="1" applyBorder="1" applyAlignment="1">
      <alignment vertical="center"/>
    </xf>
    <xf numFmtId="177" fontId="12" fillId="0" borderId="26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2" fillId="0" borderId="33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vertical="center"/>
    </xf>
    <xf numFmtId="0" fontId="15" fillId="0" borderId="30" xfId="3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2" fillId="0" borderId="32" xfId="3" applyFont="1" applyFill="1" applyBorder="1" applyAlignment="1">
      <alignment vertical="center" wrapText="1"/>
    </xf>
    <xf numFmtId="0" fontId="18" fillId="0" borderId="28" xfId="3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horizontal="right" vertical="center"/>
    </xf>
    <xf numFmtId="176" fontId="18" fillId="0" borderId="35" xfId="3" applyNumberFormat="1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vertical="center"/>
    </xf>
    <xf numFmtId="177" fontId="12" fillId="0" borderId="10" xfId="3" applyNumberFormat="1" applyFont="1" applyFill="1" applyBorder="1" applyAlignment="1">
      <alignment vertical="center"/>
    </xf>
    <xf numFmtId="0" fontId="12" fillId="0" borderId="38" xfId="3" applyFont="1" applyFill="1" applyBorder="1" applyAlignment="1">
      <alignment vertical="center"/>
    </xf>
    <xf numFmtId="0" fontId="12" fillId="0" borderId="12" xfId="3" applyFont="1" applyFill="1" applyBorder="1" applyAlignment="1">
      <alignment vertical="center"/>
    </xf>
    <xf numFmtId="176" fontId="12" fillId="0" borderId="12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6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180" fontId="12" fillId="0" borderId="0" xfId="1" applyNumberFormat="1" applyFont="1" applyFill="1" applyBorder="1" applyAlignment="1">
      <alignment vertical="center"/>
    </xf>
    <xf numFmtId="10" fontId="12" fillId="0" borderId="0" xfId="1" applyNumberFormat="1" applyFont="1" applyFill="1" applyBorder="1" applyAlignment="1">
      <alignment horizontal="center" vertical="center"/>
    </xf>
    <xf numFmtId="179" fontId="12" fillId="0" borderId="0" xfId="2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0" fontId="21" fillId="0" borderId="29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horizontal="right" vertical="center"/>
    </xf>
    <xf numFmtId="176" fontId="20" fillId="0" borderId="35" xfId="3" applyNumberFormat="1" applyFont="1" applyFill="1" applyBorder="1" applyAlignment="1">
      <alignment vertical="center"/>
    </xf>
    <xf numFmtId="9" fontId="12" fillId="0" borderId="10" xfId="1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horizontal="right" vertical="center"/>
    </xf>
    <xf numFmtId="176" fontId="15" fillId="0" borderId="35" xfId="3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5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5" xfId="3" applyFont="1" applyFill="1" applyBorder="1" applyAlignment="1">
      <alignment vertical="center"/>
    </xf>
    <xf numFmtId="0" fontId="14" fillId="0" borderId="36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178" fontId="12" fillId="0" borderId="6" xfId="3" applyNumberFormat="1" applyFont="1" applyFill="1" applyBorder="1" applyAlignment="1">
      <alignment vertical="center"/>
    </xf>
    <xf numFmtId="177" fontId="12" fillId="0" borderId="6" xfId="3" applyNumberFormat="1" applyFont="1" applyFill="1" applyBorder="1" applyAlignment="1">
      <alignment vertical="center"/>
    </xf>
    <xf numFmtId="9" fontId="12" fillId="0" borderId="6" xfId="3" applyNumberFormat="1" applyFont="1" applyFill="1" applyBorder="1" applyAlignment="1">
      <alignment horizontal="center" vertical="center"/>
    </xf>
    <xf numFmtId="38" fontId="12" fillId="0" borderId="12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4" fillId="0" borderId="26" xfId="3" applyNumberFormat="1" applyFont="1" applyFill="1" applyBorder="1" applyAlignment="1">
      <alignment vertical="center"/>
    </xf>
    <xf numFmtId="38" fontId="12" fillId="0" borderId="26" xfId="3" applyNumberFormat="1" applyFont="1" applyFill="1" applyBorder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38" fontId="12" fillId="0" borderId="10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6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vertical="center"/>
    </xf>
    <xf numFmtId="9" fontId="12" fillId="0" borderId="0" xfId="3" applyNumberFormat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3" fontId="13" fillId="0" borderId="13" xfId="0" applyNumberFormat="1" applyFont="1" applyFill="1" applyBorder="1" applyAlignment="1">
      <alignment vertical="center"/>
    </xf>
    <xf numFmtId="176" fontId="13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176" fontId="12" fillId="0" borderId="13" xfId="3" applyNumberFormat="1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38" fontId="24" fillId="0" borderId="10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178" fontId="12" fillId="0" borderId="0" xfId="0" applyNumberFormat="1" applyFont="1" applyFill="1" applyAlignment="1">
      <alignment horizontal="right" vertical="center"/>
    </xf>
    <xf numFmtId="0" fontId="12" fillId="0" borderId="5" xfId="0" applyFont="1" applyFill="1" applyBorder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20" fillId="0" borderId="28" xfId="3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41" fontId="14" fillId="0" borderId="26" xfId="0" applyNumberFormat="1" applyFont="1" applyFill="1" applyBorder="1" applyAlignment="1">
      <alignment vertical="center"/>
    </xf>
    <xf numFmtId="38" fontId="24" fillId="0" borderId="10" xfId="4" applyNumberFormat="1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41" fontId="14" fillId="0" borderId="7" xfId="0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9" fontId="14" fillId="0" borderId="19" xfId="1" applyFont="1" applyFill="1" applyBorder="1" applyAlignment="1">
      <alignment horizontal="center" vertical="center"/>
    </xf>
    <xf numFmtId="9" fontId="12" fillId="0" borderId="12" xfId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vertical="center"/>
    </xf>
    <xf numFmtId="0" fontId="12" fillId="0" borderId="19" xfId="3" applyFont="1" applyFill="1" applyBorder="1" applyAlignment="1">
      <alignment horizontal="center" vertical="center" wrapText="1"/>
    </xf>
    <xf numFmtId="38" fontId="12" fillId="0" borderId="19" xfId="3" applyNumberFormat="1" applyFont="1" applyFill="1" applyBorder="1" applyAlignment="1">
      <alignment vertical="center"/>
    </xf>
    <xf numFmtId="9" fontId="12" fillId="0" borderId="19" xfId="1" applyFont="1" applyFill="1" applyBorder="1" applyAlignment="1">
      <alignment horizontal="center" vertical="center"/>
    </xf>
    <xf numFmtId="0" fontId="14" fillId="0" borderId="5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4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8" fontId="23" fillId="0" borderId="1" xfId="3" applyNumberFormat="1" applyFont="1" applyFill="1" applyBorder="1" applyAlignment="1">
      <alignment vertical="center"/>
    </xf>
    <xf numFmtId="177" fontId="23" fillId="0" borderId="1" xfId="3" applyNumberFormat="1" applyFont="1" applyFill="1" applyBorder="1" applyAlignment="1">
      <alignment vertical="center"/>
    </xf>
    <xf numFmtId="9" fontId="23" fillId="0" borderId="1" xfId="3" applyNumberFormat="1" applyFont="1" applyFill="1" applyBorder="1" applyAlignment="1">
      <alignment horizontal="center" vertical="center"/>
    </xf>
    <xf numFmtId="176" fontId="24" fillId="0" borderId="0" xfId="4" applyNumberFormat="1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4" fillId="0" borderId="53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19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vertical="center"/>
    </xf>
    <xf numFmtId="0" fontId="23" fillId="0" borderId="33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vertical="center"/>
    </xf>
    <xf numFmtId="182" fontId="12" fillId="0" borderId="0" xfId="3" applyNumberFormat="1" applyFont="1" applyFill="1" applyBorder="1" applyAlignment="1">
      <alignment horizontal="center" vertical="center"/>
    </xf>
    <xf numFmtId="183" fontId="12" fillId="0" borderId="0" xfId="2" applyNumberFormat="1" applyFont="1" applyFill="1" applyBorder="1" applyAlignment="1">
      <alignment horizontal="center" vertical="center"/>
    </xf>
    <xf numFmtId="184" fontId="12" fillId="0" borderId="0" xfId="2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26" xfId="0" applyNumberFormat="1" applyFont="1" applyFill="1" applyBorder="1" applyAlignment="1">
      <alignment vertical="center"/>
    </xf>
    <xf numFmtId="185" fontId="12" fillId="0" borderId="0" xfId="3" applyNumberFormat="1" applyFont="1" applyFill="1" applyBorder="1" applyAlignment="1">
      <alignment horizontal="right" vertical="center"/>
    </xf>
    <xf numFmtId="178" fontId="12" fillId="0" borderId="0" xfId="2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horizontal="center" vertical="center"/>
    </xf>
    <xf numFmtId="9" fontId="12" fillId="0" borderId="0" xfId="3" applyNumberFormat="1" applyFont="1" applyFill="1" applyBorder="1" applyAlignment="1">
      <alignment horizontal="center" vertical="center"/>
    </xf>
    <xf numFmtId="187" fontId="12" fillId="0" borderId="0" xfId="2" applyNumberFormat="1" applyFont="1" applyFill="1" applyBorder="1" applyAlignment="1">
      <alignment horizontal="center" vertical="center"/>
    </xf>
    <xf numFmtId="178" fontId="12" fillId="0" borderId="0" xfId="3" applyNumberFormat="1" applyFont="1" applyFill="1" applyBorder="1" applyAlignment="1">
      <alignment horizontal="left" vertical="center"/>
    </xf>
    <xf numFmtId="0" fontId="12" fillId="0" borderId="34" xfId="3" applyFont="1" applyFill="1" applyBorder="1" applyAlignment="1">
      <alignment vertical="center"/>
    </xf>
    <xf numFmtId="0" fontId="12" fillId="0" borderId="33" xfId="3" applyFont="1" applyFill="1" applyBorder="1" applyAlignment="1">
      <alignment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center" vertical="center"/>
    </xf>
    <xf numFmtId="42" fontId="12" fillId="0" borderId="30" xfId="3" applyNumberFormat="1" applyFont="1" applyFill="1" applyBorder="1" applyAlignment="1">
      <alignment horizontal="center" vertical="center"/>
    </xf>
    <xf numFmtId="10" fontId="12" fillId="0" borderId="30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41" fontId="9" fillId="0" borderId="0" xfId="2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14" fillId="0" borderId="29" xfId="3" applyFont="1" applyFill="1" applyBorder="1" applyAlignment="1">
      <alignment vertical="center"/>
    </xf>
    <xf numFmtId="0" fontId="7" fillId="0" borderId="6" xfId="3" applyFont="1" applyFill="1" applyBorder="1" applyAlignment="1">
      <alignment horizontal="center" vertical="center" wrapText="1"/>
    </xf>
    <xf numFmtId="38" fontId="7" fillId="0" borderId="6" xfId="3" applyNumberFormat="1" applyFont="1" applyFill="1" applyBorder="1" applyAlignment="1">
      <alignment vertical="center"/>
    </xf>
    <xf numFmtId="9" fontId="7" fillId="0" borderId="6" xfId="1" applyFont="1" applyFill="1" applyBorder="1" applyAlignment="1">
      <alignment horizontal="center" vertical="center"/>
    </xf>
    <xf numFmtId="41" fontId="12" fillId="0" borderId="0" xfId="2" applyNumberFormat="1" applyFont="1" applyFill="1" applyBorder="1" applyAlignment="1">
      <alignment horizontal="right"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4" fillId="0" borderId="26" xfId="3" applyFont="1" applyFill="1" applyBorder="1" applyAlignment="1">
      <alignment horizontal="center" vertical="center" wrapText="1"/>
    </xf>
    <xf numFmtId="38" fontId="24" fillId="0" borderId="26" xfId="3" applyNumberFormat="1" applyFont="1" applyFill="1" applyBorder="1" applyAlignment="1">
      <alignment vertical="center"/>
    </xf>
    <xf numFmtId="178" fontId="22" fillId="0" borderId="0" xfId="0" applyNumberFormat="1" applyFont="1" applyBorder="1" applyAlignment="1">
      <alignment horizontal="center" vertical="center"/>
    </xf>
    <xf numFmtId="41" fontId="12" fillId="0" borderId="0" xfId="2" applyFont="1" applyFill="1">
      <alignment vertical="center"/>
    </xf>
    <xf numFmtId="41" fontId="29" fillId="0" borderId="0" xfId="2" applyFont="1" applyFill="1" applyAlignment="1">
      <alignment vertical="center"/>
    </xf>
    <xf numFmtId="38" fontId="23" fillId="0" borderId="26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/>
    </xf>
    <xf numFmtId="0" fontId="12" fillId="0" borderId="27" xfId="3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9" fontId="12" fillId="0" borderId="10" xfId="3" applyNumberFormat="1" applyFont="1" applyFill="1" applyBorder="1" applyAlignment="1">
      <alignment horizontal="center" vertical="center"/>
    </xf>
    <xf numFmtId="0" fontId="23" fillId="0" borderId="36" xfId="3" applyFont="1" applyFill="1" applyBorder="1" applyAlignment="1">
      <alignment vertical="center"/>
    </xf>
    <xf numFmtId="0" fontId="21" fillId="0" borderId="13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177" fontId="12" fillId="0" borderId="25" xfId="3" applyNumberFormat="1" applyFont="1" applyFill="1" applyBorder="1" applyAlignment="1">
      <alignment vertical="center"/>
    </xf>
    <xf numFmtId="177" fontId="12" fillId="0" borderId="42" xfId="3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2" fillId="0" borderId="58" xfId="3" applyFont="1" applyFill="1" applyBorder="1" applyAlignment="1">
      <alignment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30" fillId="0" borderId="38" xfId="3" applyFont="1" applyFill="1" applyBorder="1" applyAlignment="1">
      <alignment vertical="center"/>
    </xf>
    <xf numFmtId="0" fontId="30" fillId="0" borderId="12" xfId="3" applyFont="1" applyFill="1" applyBorder="1" applyAlignment="1">
      <alignment vertical="center"/>
    </xf>
    <xf numFmtId="176" fontId="30" fillId="0" borderId="12" xfId="3" applyNumberFormat="1" applyFont="1" applyFill="1" applyBorder="1" applyAlignment="1">
      <alignment vertical="center"/>
    </xf>
    <xf numFmtId="176" fontId="30" fillId="0" borderId="39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176" fontId="12" fillId="0" borderId="39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31" fillId="0" borderId="9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0" fontId="31" fillId="0" borderId="30" xfId="3" applyFont="1" applyFill="1" applyBorder="1" applyAlignment="1">
      <alignment vertical="center"/>
    </xf>
    <xf numFmtId="176" fontId="31" fillId="0" borderId="30" xfId="3" applyNumberFormat="1" applyFont="1" applyFill="1" applyBorder="1" applyAlignment="1">
      <alignment vertical="center"/>
    </xf>
    <xf numFmtId="176" fontId="31" fillId="0" borderId="31" xfId="3" applyNumberFormat="1" applyFont="1" applyFill="1" applyBorder="1" applyAlignment="1">
      <alignment vertical="center"/>
    </xf>
    <xf numFmtId="0" fontId="31" fillId="0" borderId="41" xfId="3" applyFont="1" applyFill="1" applyBorder="1" applyAlignment="1">
      <alignment vertical="center"/>
    </xf>
    <xf numFmtId="0" fontId="31" fillId="0" borderId="53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7" fontId="12" fillId="0" borderId="13" xfId="0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" fillId="0" borderId="0" xfId="11">
      <alignment vertical="center"/>
    </xf>
    <xf numFmtId="0" fontId="25" fillId="0" borderId="0" xfId="11" applyFont="1">
      <alignment vertical="center"/>
    </xf>
    <xf numFmtId="0" fontId="27" fillId="0" borderId="0" xfId="11" applyFont="1" applyAlignment="1">
      <alignment horizontal="right"/>
    </xf>
    <xf numFmtId="41" fontId="34" fillId="0" borderId="10" xfId="12" applyFont="1" applyBorder="1" applyAlignment="1">
      <alignment vertical="center"/>
    </xf>
    <xf numFmtId="181" fontId="34" fillId="0" borderId="36" xfId="12" applyNumberFormat="1" applyFont="1" applyBorder="1" applyAlignment="1">
      <alignment vertical="center"/>
    </xf>
    <xf numFmtId="181" fontId="34" fillId="0" borderId="11" xfId="12" applyNumberFormat="1" applyFont="1" applyBorder="1" applyAlignment="1">
      <alignment vertical="center"/>
    </xf>
    <xf numFmtId="0" fontId="35" fillId="0" borderId="10" xfId="11" applyFont="1" applyBorder="1" applyAlignment="1">
      <alignment horizontal="center" vertical="center"/>
    </xf>
    <xf numFmtId="41" fontId="36" fillId="0" borderId="10" xfId="12" applyFont="1" applyBorder="1" applyAlignment="1">
      <alignment vertical="center"/>
    </xf>
    <xf numFmtId="181" fontId="36" fillId="0" borderId="36" xfId="12" applyNumberFormat="1" applyFont="1" applyBorder="1" applyAlignment="1">
      <alignment vertical="center"/>
    </xf>
    <xf numFmtId="181" fontId="36" fillId="0" borderId="11" xfId="12" applyNumberFormat="1" applyFont="1" applyBorder="1" applyAlignment="1">
      <alignment vertical="center"/>
    </xf>
    <xf numFmtId="0" fontId="2" fillId="0" borderId="19" xfId="11" applyBorder="1" applyAlignment="1">
      <alignment horizontal="center" vertical="center"/>
    </xf>
    <xf numFmtId="41" fontId="0" fillId="0" borderId="19" xfId="12" applyFont="1" applyBorder="1">
      <alignment vertical="center"/>
    </xf>
    <xf numFmtId="181" fontId="0" fillId="0" borderId="41" xfId="12" applyNumberFormat="1" applyFont="1" applyBorder="1">
      <alignment vertical="center"/>
    </xf>
    <xf numFmtId="181" fontId="0" fillId="0" borderId="17" xfId="12" applyNumberFormat="1" applyFont="1" applyBorder="1">
      <alignment vertical="center"/>
    </xf>
    <xf numFmtId="0" fontId="35" fillId="0" borderId="19" xfId="11" applyFont="1" applyBorder="1" applyAlignment="1">
      <alignment horizontal="center" vertical="center"/>
    </xf>
    <xf numFmtId="41" fontId="36" fillId="0" borderId="19" xfId="12" applyFont="1" applyBorder="1">
      <alignment vertical="center"/>
    </xf>
    <xf numFmtId="181" fontId="36" fillId="0" borderId="41" xfId="12" applyNumberFormat="1" applyFont="1" applyBorder="1">
      <alignment vertical="center"/>
    </xf>
    <xf numFmtId="0" fontId="2" fillId="0" borderId="19" xfId="11" applyFont="1" applyBorder="1" applyAlignment="1">
      <alignment horizontal="center" vertical="center"/>
    </xf>
    <xf numFmtId="181" fontId="36" fillId="0" borderId="17" xfId="12" applyNumberFormat="1" applyFont="1" applyBorder="1">
      <alignment vertical="center"/>
    </xf>
    <xf numFmtId="0" fontId="2" fillId="0" borderId="3" xfId="11" applyBorder="1" applyAlignment="1">
      <alignment horizontal="center" vertical="center"/>
    </xf>
    <xf numFmtId="41" fontId="0" fillId="0" borderId="3" xfId="12" applyFont="1" applyBorder="1">
      <alignment vertical="center"/>
    </xf>
    <xf numFmtId="181" fontId="0" fillId="0" borderId="4" xfId="12" applyNumberFormat="1" applyFont="1" applyBorder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wrapText="1"/>
    </xf>
    <xf numFmtId="41" fontId="38" fillId="0" borderId="32" xfId="0" applyNumberFormat="1" applyFont="1" applyFill="1" applyBorder="1" applyAlignment="1">
      <alignment horizontal="center" vertical="center"/>
    </xf>
    <xf numFmtId="41" fontId="38" fillId="0" borderId="56" xfId="0" applyNumberFormat="1" applyFont="1" applyFill="1" applyBorder="1" applyAlignment="1">
      <alignment horizontal="center" vertical="center"/>
    </xf>
    <xf numFmtId="188" fontId="38" fillId="0" borderId="25" xfId="0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61" xfId="0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41" fontId="0" fillId="0" borderId="62" xfId="2" applyFont="1" applyFill="1" applyBorder="1" applyAlignment="1">
      <alignment vertical="center"/>
    </xf>
    <xf numFmtId="41" fontId="0" fillId="0" borderId="64" xfId="2" applyFont="1" applyFill="1" applyBorder="1" applyAlignment="1">
      <alignment vertical="center"/>
    </xf>
    <xf numFmtId="188" fontId="0" fillId="0" borderId="65" xfId="0" applyNumberFormat="1" applyFill="1" applyBorder="1" applyAlignment="1">
      <alignment vertical="center"/>
    </xf>
    <xf numFmtId="189" fontId="0" fillId="0" borderId="66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1" fontId="0" fillId="0" borderId="67" xfId="0" applyNumberFormat="1" applyFill="1" applyBorder="1" applyAlignment="1">
      <alignment vertical="center"/>
    </xf>
    <xf numFmtId="188" fontId="0" fillId="0" borderId="67" xfId="0" applyNumberFormat="1" applyFill="1" applyBorder="1" applyAlignment="1">
      <alignment vertical="center"/>
    </xf>
    <xf numFmtId="0" fontId="0" fillId="0" borderId="68" xfId="0" applyFill="1" applyBorder="1" applyAlignment="1">
      <alignment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41" fontId="0" fillId="0" borderId="14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188" fontId="0" fillId="0" borderId="18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0" fontId="0" fillId="0" borderId="32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17" xfId="0" applyFill="1" applyBorder="1" applyAlignment="1">
      <alignment horizontal="center" vertical="center" wrapText="1"/>
    </xf>
    <xf numFmtId="0" fontId="8" fillId="0" borderId="70" xfId="0" applyFont="1" applyFill="1" applyBorder="1" applyAlignment="1">
      <alignment vertical="center" wrapText="1"/>
    </xf>
    <xf numFmtId="0" fontId="0" fillId="0" borderId="7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1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8" xfId="0" applyFill="1" applyBorder="1" applyAlignment="1">
      <alignment horizontal="center" vertical="center" wrapText="1"/>
    </xf>
    <xf numFmtId="41" fontId="0" fillId="0" borderId="43" xfId="2" applyFont="1" applyFill="1" applyBorder="1" applyAlignment="1">
      <alignment vertical="center"/>
    </xf>
    <xf numFmtId="41" fontId="0" fillId="0" borderId="45" xfId="2" applyFont="1" applyFill="1" applyBorder="1" applyAlignment="1">
      <alignment vertical="center"/>
    </xf>
    <xf numFmtId="188" fontId="0" fillId="0" borderId="72" xfId="0" applyNumberForma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73" xfId="0" applyFill="1" applyBorder="1" applyAlignment="1">
      <alignment vertical="center" wrapText="1"/>
    </xf>
    <xf numFmtId="0" fontId="0" fillId="0" borderId="5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41" fontId="0" fillId="0" borderId="15" xfId="2" applyFont="1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188" fontId="0" fillId="0" borderId="74" xfId="0" applyNumberForma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0" fillId="0" borderId="62" xfId="0" applyFill="1" applyBorder="1" applyAlignment="1">
      <alignment horizontal="center" vertical="center"/>
    </xf>
    <xf numFmtId="41" fontId="0" fillId="0" borderId="75" xfId="2" applyFont="1" applyFill="1" applyBorder="1" applyAlignment="1">
      <alignment vertical="center"/>
    </xf>
    <xf numFmtId="0" fontId="0" fillId="0" borderId="67" xfId="0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1" fontId="0" fillId="0" borderId="16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6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41" fontId="0" fillId="0" borderId="4" xfId="2" applyFont="1" applyFill="1" applyBorder="1" applyAlignment="1">
      <alignment vertical="center"/>
    </xf>
    <xf numFmtId="41" fontId="0" fillId="0" borderId="0" xfId="2" applyFont="1" applyFill="1" applyAlignment="1">
      <alignment vertical="center"/>
    </xf>
    <xf numFmtId="0" fontId="0" fillId="0" borderId="7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41" fontId="0" fillId="0" borderId="8" xfId="2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57" xfId="2" applyFont="1" applyFill="1" applyBorder="1" applyAlignment="1">
      <alignment vertical="center"/>
    </xf>
    <xf numFmtId="188" fontId="0" fillId="0" borderId="27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6" xfId="0" applyFill="1" applyBorder="1" applyAlignment="1">
      <alignment vertical="center" wrapText="1"/>
    </xf>
    <xf numFmtId="188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58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41" fontId="0" fillId="0" borderId="78" xfId="2" applyFont="1" applyFill="1" applyBorder="1" applyAlignment="1">
      <alignment vertical="center"/>
    </xf>
    <xf numFmtId="188" fontId="0" fillId="0" borderId="55" xfId="0" applyNumberFormat="1" applyFill="1" applyBorder="1" applyAlignment="1">
      <alignment vertical="center"/>
    </xf>
    <xf numFmtId="0" fontId="0" fillId="0" borderId="60" xfId="0" applyFill="1" applyBorder="1" applyAlignment="1">
      <alignment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8" xfId="0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7" fontId="12" fillId="0" borderId="0" xfId="1" applyNumberFormat="1" applyFont="1" applyFill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7" fillId="0" borderId="42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38" fontId="7" fillId="0" borderId="10" xfId="3" applyNumberFormat="1" applyFont="1" applyFill="1" applyBorder="1" applyAlignment="1">
      <alignment vertical="center"/>
    </xf>
    <xf numFmtId="0" fontId="31" fillId="0" borderId="36" xfId="3" applyFont="1" applyFill="1" applyBorder="1" applyAlignment="1">
      <alignment vertical="center"/>
    </xf>
    <xf numFmtId="0" fontId="31" fillId="0" borderId="13" xfId="3" applyFont="1" applyFill="1" applyBorder="1" applyAlignment="1">
      <alignment vertical="center"/>
    </xf>
    <xf numFmtId="176" fontId="31" fillId="0" borderId="13" xfId="3" applyNumberFormat="1" applyFont="1" applyFill="1" applyBorder="1" applyAlignment="1">
      <alignment vertical="center"/>
    </xf>
    <xf numFmtId="9" fontId="7" fillId="0" borderId="10" xfId="1" applyFont="1" applyFill="1" applyBorder="1" applyAlignment="1">
      <alignment horizontal="center" vertical="center"/>
    </xf>
    <xf numFmtId="0" fontId="30" fillId="0" borderId="36" xfId="3" applyFont="1" applyFill="1" applyBorder="1" applyAlignment="1">
      <alignment vertical="center"/>
    </xf>
    <xf numFmtId="0" fontId="30" fillId="0" borderId="13" xfId="3" applyFont="1" applyFill="1" applyBorder="1" applyAlignment="1">
      <alignment vertical="center"/>
    </xf>
    <xf numFmtId="176" fontId="30" fillId="0" borderId="13" xfId="3" applyNumberFormat="1" applyFont="1" applyFill="1" applyBorder="1" applyAlignment="1">
      <alignment vertical="center"/>
    </xf>
    <xf numFmtId="176" fontId="30" fillId="0" borderId="37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0" fillId="0" borderId="61" xfId="0" applyFill="1" applyBorder="1" applyAlignment="1">
      <alignment vertical="center" wrapText="1"/>
    </xf>
    <xf numFmtId="0" fontId="7" fillId="0" borderId="16" xfId="3" applyFont="1" applyFill="1" applyBorder="1" applyAlignment="1">
      <alignment horizontal="center" vertical="center" wrapText="1"/>
    </xf>
    <xf numFmtId="0" fontId="7" fillId="0" borderId="58" xfId="3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8" fillId="0" borderId="43" xfId="11" applyFont="1" applyBorder="1" applyAlignment="1">
      <alignment horizontal="center" vertical="center"/>
    </xf>
    <xf numFmtId="0" fontId="28" fillId="0" borderId="7" xfId="11" applyFont="1" applyBorder="1" applyAlignment="1">
      <alignment horizontal="center" vertical="center"/>
    </xf>
    <xf numFmtId="0" fontId="28" fillId="0" borderId="9" xfId="11" applyFont="1" applyBorder="1" applyAlignment="1">
      <alignment horizontal="center" vertical="center"/>
    </xf>
    <xf numFmtId="0" fontId="28" fillId="0" borderId="8" xfId="11" applyFont="1" applyBorder="1" applyAlignment="1">
      <alignment horizontal="center" vertical="center"/>
    </xf>
    <xf numFmtId="0" fontId="28" fillId="0" borderId="14" xfId="11" applyFont="1" applyBorder="1" applyAlignment="1">
      <alignment horizontal="center" vertical="center"/>
    </xf>
    <xf numFmtId="0" fontId="28" fillId="0" borderId="19" xfId="11" applyFont="1" applyBorder="1" applyAlignment="1">
      <alignment horizontal="center" vertical="center"/>
    </xf>
    <xf numFmtId="0" fontId="28" fillId="0" borderId="48" xfId="11" applyFont="1" applyBorder="1" applyAlignment="1">
      <alignment horizontal="center" vertical="center"/>
    </xf>
    <xf numFmtId="0" fontId="28" fillId="0" borderId="49" xfId="11" applyFont="1" applyBorder="1" applyAlignment="1">
      <alignment horizontal="center" vertical="center"/>
    </xf>
    <xf numFmtId="0" fontId="28" fillId="0" borderId="19" xfId="11" applyFont="1" applyBorder="1" applyAlignment="1">
      <alignment horizontal="center" vertical="center" wrapText="1"/>
    </xf>
    <xf numFmtId="0" fontId="28" fillId="0" borderId="49" xfId="11" applyFont="1" applyBorder="1" applyAlignment="1">
      <alignment horizontal="center" vertical="center" wrapText="1"/>
    </xf>
    <xf numFmtId="0" fontId="28" fillId="0" borderId="41" xfId="11" applyFont="1" applyBorder="1" applyAlignment="1">
      <alignment horizontal="center" vertical="center"/>
    </xf>
    <xf numFmtId="0" fontId="28" fillId="0" borderId="50" xfId="11" applyFont="1" applyBorder="1" applyAlignment="1">
      <alignment horizontal="center" vertical="center"/>
    </xf>
    <xf numFmtId="0" fontId="28" fillId="0" borderId="17" xfId="11" applyFont="1" applyBorder="1" applyAlignment="1">
      <alignment horizontal="center" vertical="center"/>
    </xf>
    <xf numFmtId="0" fontId="28" fillId="0" borderId="51" xfId="11" applyFont="1" applyBorder="1" applyAlignment="1">
      <alignment horizontal="center" vertical="center"/>
    </xf>
    <xf numFmtId="0" fontId="2" fillId="0" borderId="52" xfId="11" applyBorder="1" applyAlignment="1">
      <alignment horizontal="center" vertical="center"/>
    </xf>
    <xf numFmtId="0" fontId="2" fillId="0" borderId="30" xfId="11" applyBorder="1" applyAlignment="1">
      <alignment horizontal="center" vertical="center"/>
    </xf>
    <xf numFmtId="0" fontId="2" fillId="0" borderId="24" xfId="11" applyBorder="1" applyAlignment="1">
      <alignment horizontal="center" vertical="center"/>
    </xf>
    <xf numFmtId="0" fontId="2" fillId="0" borderId="0" xfId="11" applyBorder="1" applyAlignment="1">
      <alignment horizontal="center" vertical="center"/>
    </xf>
    <xf numFmtId="0" fontId="2" fillId="0" borderId="46" xfId="11" applyBorder="1" applyAlignment="1">
      <alignment horizontal="center" vertical="center"/>
    </xf>
    <xf numFmtId="0" fontId="2" fillId="0" borderId="12" xfId="11" applyBorder="1" applyAlignment="1">
      <alignment horizontal="center" vertical="center"/>
    </xf>
    <xf numFmtId="0" fontId="2" fillId="0" borderId="2" xfId="11" applyFont="1" applyBorder="1" applyAlignment="1">
      <alignment horizontal="center" vertical="center"/>
    </xf>
    <xf numFmtId="0" fontId="2" fillId="0" borderId="16" xfId="11" applyFont="1" applyBorder="1" applyAlignment="1">
      <alignment horizontal="center" vertical="center"/>
    </xf>
    <xf numFmtId="0" fontId="2" fillId="0" borderId="2" xfId="11" applyBorder="1" applyAlignment="1">
      <alignment horizontal="center" vertical="center"/>
    </xf>
    <xf numFmtId="0" fontId="2" fillId="0" borderId="16" xfId="11" applyBorder="1" applyAlignment="1">
      <alignment horizontal="center" vertical="center"/>
    </xf>
    <xf numFmtId="0" fontId="2" fillId="0" borderId="58" xfId="11" applyBorder="1" applyAlignment="1">
      <alignment horizontal="center" vertical="center"/>
    </xf>
    <xf numFmtId="0" fontId="33" fillId="0" borderId="16" xfId="11" applyFont="1" applyBorder="1" applyAlignment="1">
      <alignment horizontal="center" vertical="center"/>
    </xf>
    <xf numFmtId="0" fontId="33" fillId="0" borderId="10" xfId="11" applyFont="1" applyBorder="1" applyAlignment="1">
      <alignment horizontal="center" vertical="center"/>
    </xf>
    <xf numFmtId="0" fontId="2" fillId="0" borderId="32" xfId="11" applyBorder="1" applyAlignment="1">
      <alignment horizontal="center" vertical="center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176" fontId="12" fillId="0" borderId="12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8" fontId="13" fillId="0" borderId="9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47" xfId="3" applyFont="1" applyFill="1" applyBorder="1" applyAlignment="1">
      <alignment horizontal="center" vertical="center" wrapText="1"/>
    </xf>
    <xf numFmtId="176" fontId="12" fillId="0" borderId="13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40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2" fillId="0" borderId="36" xfId="3" applyFont="1" applyFill="1" applyBorder="1" applyAlignment="1">
      <alignment horizontal="center" vertical="center" wrapText="1"/>
    </xf>
    <xf numFmtId="0" fontId="12" fillId="0" borderId="42" xfId="3" applyFont="1" applyFill="1" applyBorder="1" applyAlignment="1">
      <alignment horizontal="center" vertical="center" wrapText="1"/>
    </xf>
    <xf numFmtId="0" fontId="14" fillId="0" borderId="33" xfId="3" applyFont="1" applyFill="1" applyBorder="1" applyAlignment="1">
      <alignment horizontal="center" vertical="center" wrapText="1"/>
    </xf>
    <xf numFmtId="0" fontId="14" fillId="0" borderId="25" xfId="3" applyFont="1" applyFill="1" applyBorder="1" applyAlignment="1">
      <alignment horizontal="center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59" xfId="0" applyFont="1" applyFill="1" applyBorder="1" applyAlignment="1">
      <alignment horizontal="center" vertical="center"/>
    </xf>
    <xf numFmtId="0" fontId="38" fillId="0" borderId="60" xfId="0" applyFont="1" applyFill="1" applyBorder="1" applyAlignment="1">
      <alignment horizontal="center" vertical="center"/>
    </xf>
  </cellXfs>
  <cellStyles count="15">
    <cellStyle name="백분율" xfId="1" builtinId="5"/>
    <cellStyle name="쉼표 [0]" xfId="2" builtinId="6"/>
    <cellStyle name="쉼표 [0] 2" xfId="6"/>
    <cellStyle name="쉼표 [0] 2 2" xfId="9"/>
    <cellStyle name="쉼표 [0] 2 2 2" xfId="12"/>
    <cellStyle name="쉼표 [0] 2 2 2 2" xfId="14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2 2" xfId="11"/>
    <cellStyle name="표준 2 2 2 2" xfId="13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5&#45380;&#46020;%20&#48148;&#45796;&#51032;&#48324;%201&#52264;%20&#52628;&#44221;&#50504;(&#49436;&#4988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4&#45380;&#46020;%20&#44536;&#47353;&#54856;%20&#44208;&#49328;&#52509;&#44292;&#5436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바르나바의 집"/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topLeftCell="G2" zoomScale="85" zoomScaleNormal="85" workbookViewId="0">
      <selection activeCell="K24" sqref="K24"/>
    </sheetView>
  </sheetViews>
  <sheetFormatPr defaultRowHeight="16.5"/>
  <cols>
    <col min="1" max="1" width="1.44140625" style="384" customWidth="1"/>
    <col min="2" max="2" width="11.5546875" style="384" bestFit="1" customWidth="1"/>
    <col min="3" max="3" width="13.33203125" style="384" bestFit="1" customWidth="1"/>
    <col min="4" max="5" width="18" style="384" bestFit="1" customWidth="1"/>
    <col min="6" max="6" width="16" style="384" bestFit="1" customWidth="1"/>
    <col min="7" max="7" width="9.6640625" style="384" bestFit="1" customWidth="1"/>
    <col min="8" max="8" width="13.33203125" style="384" bestFit="1" customWidth="1"/>
    <col min="9" max="10" width="18" style="384" bestFit="1" customWidth="1"/>
    <col min="11" max="11" width="16" style="384" bestFit="1" customWidth="1"/>
    <col min="12" max="16384" width="8.88671875" style="384"/>
  </cols>
  <sheetData>
    <row r="1" spans="2:11" ht="9.9499999999999993" customHeight="1"/>
    <row r="2" spans="2:11" ht="26.25">
      <c r="B2" s="385" t="s">
        <v>445</v>
      </c>
      <c r="K2" s="386" t="s">
        <v>318</v>
      </c>
    </row>
    <row r="3" spans="2:11" ht="9.9499999999999993" customHeight="1" thickBot="1"/>
    <row r="4" spans="2:11" ht="30" customHeight="1">
      <c r="B4" s="529" t="s">
        <v>319</v>
      </c>
      <c r="C4" s="530"/>
      <c r="D4" s="530"/>
      <c r="E4" s="530"/>
      <c r="F4" s="531"/>
      <c r="G4" s="529" t="s">
        <v>320</v>
      </c>
      <c r="H4" s="530"/>
      <c r="I4" s="530"/>
      <c r="J4" s="530"/>
      <c r="K4" s="532"/>
    </row>
    <row r="5" spans="2:11" ht="16.5" customHeight="1">
      <c r="B5" s="533" t="s">
        <v>321</v>
      </c>
      <c r="C5" s="534"/>
      <c r="D5" s="537" t="s">
        <v>322</v>
      </c>
      <c r="E5" s="537" t="s">
        <v>442</v>
      </c>
      <c r="F5" s="539" t="s">
        <v>323</v>
      </c>
      <c r="G5" s="533" t="s">
        <v>321</v>
      </c>
      <c r="H5" s="534"/>
      <c r="I5" s="537" t="str">
        <f>D5</f>
        <v>2015년
1차 추경 예산</v>
      </c>
      <c r="J5" s="537" t="str">
        <f>E5</f>
        <v>2015년
2차 추경 예산</v>
      </c>
      <c r="K5" s="541" t="s">
        <v>323</v>
      </c>
    </row>
    <row r="6" spans="2:11" ht="22.5" customHeight="1" thickBot="1">
      <c r="B6" s="535"/>
      <c r="C6" s="536"/>
      <c r="D6" s="538"/>
      <c r="E6" s="538"/>
      <c r="F6" s="540"/>
      <c r="G6" s="535"/>
      <c r="H6" s="536"/>
      <c r="I6" s="538"/>
      <c r="J6" s="538"/>
      <c r="K6" s="542"/>
    </row>
    <row r="7" spans="2:11" ht="24.95" customHeight="1" thickTop="1">
      <c r="B7" s="554" t="s">
        <v>324</v>
      </c>
      <c r="C7" s="555"/>
      <c r="D7" s="387">
        <f>SUM(D8:D22)/2</f>
        <v>67450096</v>
      </c>
      <c r="E7" s="387">
        <f>SUM(E8:E22)/2</f>
        <v>66582596</v>
      </c>
      <c r="F7" s="388">
        <f>SUM(F8:F22)/2</f>
        <v>-867500</v>
      </c>
      <c r="G7" s="554" t="s">
        <v>324</v>
      </c>
      <c r="H7" s="555"/>
      <c r="I7" s="387">
        <f>SUM(I8:I28)/2</f>
        <v>67450096</v>
      </c>
      <c r="J7" s="387">
        <f>SUM(J8:J28)/2</f>
        <v>66582596</v>
      </c>
      <c r="K7" s="389">
        <f>SUM(K8:K28)/2</f>
        <v>-867500</v>
      </c>
    </row>
    <row r="8" spans="2:11" ht="24.95" customHeight="1">
      <c r="B8" s="551" t="s">
        <v>325</v>
      </c>
      <c r="C8" s="390" t="s">
        <v>326</v>
      </c>
      <c r="D8" s="391">
        <f>D9</f>
        <v>7200000</v>
      </c>
      <c r="E8" s="391">
        <f>E9</f>
        <v>7200000</v>
      </c>
      <c r="F8" s="392">
        <f>F9</f>
        <v>0</v>
      </c>
      <c r="G8" s="551" t="s">
        <v>327</v>
      </c>
      <c r="H8" s="390" t="s">
        <v>326</v>
      </c>
      <c r="I8" s="391">
        <f>SUM(I9:I11)</f>
        <v>43783770</v>
      </c>
      <c r="J8" s="391">
        <f>SUM(J9:J11)</f>
        <v>42069095</v>
      </c>
      <c r="K8" s="393">
        <f>SUM(K9:K11)</f>
        <v>-1714675</v>
      </c>
    </row>
    <row r="9" spans="2:11" ht="24.95" customHeight="1">
      <c r="B9" s="552"/>
      <c r="C9" s="394" t="s">
        <v>328</v>
      </c>
      <c r="D9" s="395">
        <v>7200000</v>
      </c>
      <c r="E9" s="395">
        <f>세입!AB5</f>
        <v>7200000</v>
      </c>
      <c r="F9" s="396">
        <f>E9-D9</f>
        <v>0</v>
      </c>
      <c r="G9" s="556"/>
      <c r="H9" s="394" t="s">
        <v>329</v>
      </c>
      <c r="I9" s="395">
        <v>36880810</v>
      </c>
      <c r="J9" s="395">
        <f>세출!AC6</f>
        <v>36054710</v>
      </c>
      <c r="K9" s="397">
        <f>J9-I9</f>
        <v>-826100</v>
      </c>
    </row>
    <row r="10" spans="2:11" ht="24.95" customHeight="1">
      <c r="B10" s="551" t="s">
        <v>330</v>
      </c>
      <c r="C10" s="398" t="s">
        <v>326</v>
      </c>
      <c r="D10" s="399">
        <f>SUM(D11:D13)</f>
        <v>51525000</v>
      </c>
      <c r="E10" s="399">
        <f>SUM(E11:E13)</f>
        <v>50960000</v>
      </c>
      <c r="F10" s="400">
        <f>SUM(F11:F13)</f>
        <v>-565000</v>
      </c>
      <c r="G10" s="556"/>
      <c r="H10" s="394" t="s">
        <v>331</v>
      </c>
      <c r="I10" s="395">
        <v>100000</v>
      </c>
      <c r="J10" s="395">
        <f>세출!AC61</f>
        <v>50000</v>
      </c>
      <c r="K10" s="397">
        <f>J10-I10</f>
        <v>-50000</v>
      </c>
    </row>
    <row r="11" spans="2:11" ht="24.95" customHeight="1">
      <c r="B11" s="556"/>
      <c r="C11" s="401" t="s">
        <v>332</v>
      </c>
      <c r="D11" s="395">
        <v>0</v>
      </c>
      <c r="E11" s="395">
        <v>0</v>
      </c>
      <c r="F11" s="396">
        <f>E11-D11</f>
        <v>0</v>
      </c>
      <c r="G11" s="552"/>
      <c r="H11" s="394" t="s">
        <v>333</v>
      </c>
      <c r="I11" s="395">
        <v>6802960</v>
      </c>
      <c r="J11" s="395">
        <f>세출!AC71</f>
        <v>5964385</v>
      </c>
      <c r="K11" s="397">
        <f>J11-I11</f>
        <v>-838575</v>
      </c>
    </row>
    <row r="12" spans="2:11" ht="24.95" customHeight="1">
      <c r="B12" s="556"/>
      <c r="C12" s="401" t="s">
        <v>334</v>
      </c>
      <c r="D12" s="395">
        <v>51325000</v>
      </c>
      <c r="E12" s="395">
        <f>세입!AB9</f>
        <v>50760000</v>
      </c>
      <c r="F12" s="396">
        <f>E12-D12</f>
        <v>-565000</v>
      </c>
      <c r="G12" s="551" t="s">
        <v>335</v>
      </c>
      <c r="H12" s="398" t="s">
        <v>326</v>
      </c>
      <c r="I12" s="399">
        <f>SUM(I13:I15)</f>
        <v>4940000</v>
      </c>
      <c r="J12" s="399">
        <f>SUM(J13:J15)</f>
        <v>4500000</v>
      </c>
      <c r="K12" s="402">
        <f>SUM(K13:K15)</f>
        <v>-440000</v>
      </c>
    </row>
    <row r="13" spans="2:11" ht="24.95" customHeight="1">
      <c r="B13" s="552"/>
      <c r="C13" s="401" t="s">
        <v>336</v>
      </c>
      <c r="D13" s="395">
        <v>200000</v>
      </c>
      <c r="E13" s="395">
        <f>세입!AB14</f>
        <v>200000</v>
      </c>
      <c r="F13" s="396">
        <f>E13-D13</f>
        <v>0</v>
      </c>
      <c r="G13" s="556"/>
      <c r="H13" s="394" t="s">
        <v>337</v>
      </c>
      <c r="I13" s="395">
        <v>0</v>
      </c>
      <c r="J13" s="395">
        <v>0</v>
      </c>
      <c r="K13" s="397">
        <f>J13-I13</f>
        <v>0</v>
      </c>
    </row>
    <row r="14" spans="2:11" ht="24.95" customHeight="1">
      <c r="B14" s="551" t="s">
        <v>338</v>
      </c>
      <c r="C14" s="398" t="s">
        <v>326</v>
      </c>
      <c r="D14" s="399">
        <f>SUM(D15:D16)</f>
        <v>750000</v>
      </c>
      <c r="E14" s="399">
        <f>SUM(E15:E16)</f>
        <v>450000</v>
      </c>
      <c r="F14" s="400">
        <f>SUM(F15:F16)</f>
        <v>-300000</v>
      </c>
      <c r="G14" s="556"/>
      <c r="H14" s="394" t="s">
        <v>339</v>
      </c>
      <c r="I14" s="395">
        <v>4740000</v>
      </c>
      <c r="J14" s="395">
        <f>세출!AC109</f>
        <v>4500000</v>
      </c>
      <c r="K14" s="397">
        <f>J14-I14</f>
        <v>-240000</v>
      </c>
    </row>
    <row r="15" spans="2:11" ht="24.95" customHeight="1">
      <c r="B15" s="556"/>
      <c r="C15" s="394" t="s">
        <v>340</v>
      </c>
      <c r="D15" s="395">
        <v>0</v>
      </c>
      <c r="E15" s="395">
        <v>0</v>
      </c>
      <c r="F15" s="396">
        <f>E15-D15</f>
        <v>0</v>
      </c>
      <c r="G15" s="552"/>
      <c r="H15" s="394" t="s">
        <v>341</v>
      </c>
      <c r="I15" s="395">
        <v>200000</v>
      </c>
      <c r="J15" s="395">
        <f>세출!AC114</f>
        <v>0</v>
      </c>
      <c r="K15" s="397">
        <f>J15-I15</f>
        <v>-200000</v>
      </c>
    </row>
    <row r="16" spans="2:11" ht="24.95" customHeight="1">
      <c r="B16" s="552"/>
      <c r="C16" s="394" t="s">
        <v>342</v>
      </c>
      <c r="D16" s="395">
        <v>750000</v>
      </c>
      <c r="E16" s="395">
        <f>세입!AB19</f>
        <v>450000</v>
      </c>
      <c r="F16" s="396">
        <f>E16-D16</f>
        <v>-300000</v>
      </c>
      <c r="G16" s="551" t="s">
        <v>343</v>
      </c>
      <c r="H16" s="398" t="s">
        <v>326</v>
      </c>
      <c r="I16" s="399">
        <f>SUM(I17:I22)</f>
        <v>18519195</v>
      </c>
      <c r="J16" s="399">
        <f>SUM(J17:J22)</f>
        <v>19460310</v>
      </c>
      <c r="K16" s="402">
        <f>SUM(K17:K22)</f>
        <v>941115</v>
      </c>
    </row>
    <row r="17" spans="2:11" ht="24.95" customHeight="1">
      <c r="B17" s="551" t="s">
        <v>344</v>
      </c>
      <c r="C17" s="398" t="s">
        <v>326</v>
      </c>
      <c r="D17" s="399">
        <f>D18</f>
        <v>0</v>
      </c>
      <c r="E17" s="399">
        <f>E18</f>
        <v>0</v>
      </c>
      <c r="F17" s="400">
        <f>F18</f>
        <v>0</v>
      </c>
      <c r="G17" s="556"/>
      <c r="H17" s="394" t="s">
        <v>345</v>
      </c>
      <c r="I17" s="395">
        <v>11781195</v>
      </c>
      <c r="J17" s="395">
        <f>세출!AC119</f>
        <v>13041198</v>
      </c>
      <c r="K17" s="397">
        <f t="shared" ref="K17:K22" si="0">J17-I17</f>
        <v>1260003</v>
      </c>
    </row>
    <row r="18" spans="2:11" ht="24.95" customHeight="1">
      <c r="B18" s="552"/>
      <c r="C18" s="394" t="s">
        <v>346</v>
      </c>
      <c r="D18" s="395">
        <v>0</v>
      </c>
      <c r="E18" s="395">
        <v>0</v>
      </c>
      <c r="F18" s="396">
        <f>E18-D18</f>
        <v>0</v>
      </c>
      <c r="G18" s="556"/>
      <c r="H18" s="394" t="s">
        <v>347</v>
      </c>
      <c r="I18" s="395">
        <v>950000</v>
      </c>
      <c r="J18" s="395">
        <f>세출!AC125</f>
        <v>928990</v>
      </c>
      <c r="K18" s="397">
        <f t="shared" si="0"/>
        <v>-21010</v>
      </c>
    </row>
    <row r="19" spans="2:11" ht="24.95" customHeight="1">
      <c r="B19" s="551" t="s">
        <v>348</v>
      </c>
      <c r="C19" s="398" t="s">
        <v>326</v>
      </c>
      <c r="D19" s="399">
        <f>D20</f>
        <v>7955096</v>
      </c>
      <c r="E19" s="399">
        <f>E20</f>
        <v>7471026</v>
      </c>
      <c r="F19" s="400">
        <f>F20</f>
        <v>-484070</v>
      </c>
      <c r="G19" s="556"/>
      <c r="H19" s="394" t="s">
        <v>349</v>
      </c>
      <c r="I19" s="395">
        <v>720000</v>
      </c>
      <c r="J19" s="395">
        <f>세출!AC129</f>
        <v>720000</v>
      </c>
      <c r="K19" s="397">
        <f t="shared" si="0"/>
        <v>0</v>
      </c>
    </row>
    <row r="20" spans="2:11" ht="24.95" customHeight="1">
      <c r="B20" s="552"/>
      <c r="C20" s="394" t="s">
        <v>350</v>
      </c>
      <c r="D20" s="395">
        <v>7955096</v>
      </c>
      <c r="E20" s="395">
        <f>세입!AB21</f>
        <v>7471026</v>
      </c>
      <c r="F20" s="396">
        <f>E20-D20</f>
        <v>-484070</v>
      </c>
      <c r="G20" s="556"/>
      <c r="H20" s="394" t="s">
        <v>351</v>
      </c>
      <c r="I20" s="395">
        <v>310000</v>
      </c>
      <c r="J20" s="395">
        <f>세출!AC132</f>
        <v>410000</v>
      </c>
      <c r="K20" s="397">
        <f t="shared" si="0"/>
        <v>100000</v>
      </c>
    </row>
    <row r="21" spans="2:11" ht="24.95" customHeight="1">
      <c r="B21" s="551" t="s">
        <v>352</v>
      </c>
      <c r="C21" s="398" t="s">
        <v>326</v>
      </c>
      <c r="D21" s="399">
        <f>D22</f>
        <v>20000</v>
      </c>
      <c r="E21" s="399">
        <f>E22</f>
        <v>501570</v>
      </c>
      <c r="F21" s="400">
        <f>F22</f>
        <v>481570</v>
      </c>
      <c r="G21" s="556"/>
      <c r="H21" s="394" t="s">
        <v>353</v>
      </c>
      <c r="I21" s="395">
        <v>90000</v>
      </c>
      <c r="J21" s="395">
        <f>세출!AC136</f>
        <v>82122</v>
      </c>
      <c r="K21" s="397">
        <f t="shared" si="0"/>
        <v>-7878</v>
      </c>
    </row>
    <row r="22" spans="2:11" ht="24.95" customHeight="1">
      <c r="B22" s="552"/>
      <c r="C22" s="394" t="s">
        <v>354</v>
      </c>
      <c r="D22" s="395">
        <v>20000</v>
      </c>
      <c r="E22" s="395">
        <f>세입!AB27</f>
        <v>501570</v>
      </c>
      <c r="F22" s="396">
        <f>E22-D22</f>
        <v>481570</v>
      </c>
      <c r="G22" s="552"/>
      <c r="H22" s="394" t="s">
        <v>355</v>
      </c>
      <c r="I22" s="395">
        <v>4668000</v>
      </c>
      <c r="J22" s="395">
        <f>세출!AC139</f>
        <v>4278000</v>
      </c>
      <c r="K22" s="397">
        <f t="shared" si="0"/>
        <v>-390000</v>
      </c>
    </row>
    <row r="23" spans="2:11" ht="24.95" customHeight="1">
      <c r="B23" s="543"/>
      <c r="C23" s="544"/>
      <c r="D23" s="544"/>
      <c r="E23" s="544"/>
      <c r="F23" s="544"/>
      <c r="G23" s="549" t="s">
        <v>356</v>
      </c>
      <c r="H23" s="398" t="s">
        <v>326</v>
      </c>
      <c r="I23" s="399">
        <f>I24</f>
        <v>207131</v>
      </c>
      <c r="J23" s="399">
        <f>J24</f>
        <v>207131</v>
      </c>
      <c r="K23" s="402">
        <f>K24</f>
        <v>0</v>
      </c>
    </row>
    <row r="24" spans="2:11" ht="24.95" customHeight="1">
      <c r="B24" s="545"/>
      <c r="C24" s="546"/>
      <c r="D24" s="546"/>
      <c r="E24" s="546"/>
      <c r="F24" s="546"/>
      <c r="G24" s="550"/>
      <c r="H24" s="394" t="s">
        <v>357</v>
      </c>
      <c r="I24" s="395">
        <v>207131</v>
      </c>
      <c r="J24" s="395">
        <f>세출!AC177</f>
        <v>207131</v>
      </c>
      <c r="K24" s="397">
        <f>J24-I24</f>
        <v>0</v>
      </c>
    </row>
    <row r="25" spans="2:11" ht="24.95" customHeight="1">
      <c r="B25" s="545"/>
      <c r="C25" s="546"/>
      <c r="D25" s="546"/>
      <c r="E25" s="546"/>
      <c r="F25" s="546"/>
      <c r="G25" s="551" t="s">
        <v>358</v>
      </c>
      <c r="H25" s="398" t="s">
        <v>326</v>
      </c>
      <c r="I25" s="399">
        <f>I26</f>
        <v>0</v>
      </c>
      <c r="J25" s="399">
        <f>J26</f>
        <v>0</v>
      </c>
      <c r="K25" s="402">
        <f>K26</f>
        <v>0</v>
      </c>
    </row>
    <row r="26" spans="2:11" ht="24.95" customHeight="1">
      <c r="B26" s="545"/>
      <c r="C26" s="546"/>
      <c r="D26" s="546"/>
      <c r="E26" s="546"/>
      <c r="F26" s="546"/>
      <c r="G26" s="552"/>
      <c r="H26" s="394" t="s">
        <v>359</v>
      </c>
      <c r="I26" s="395">
        <v>0</v>
      </c>
      <c r="J26" s="395">
        <f>세출!AC180</f>
        <v>0</v>
      </c>
      <c r="K26" s="397">
        <f>J26-I26</f>
        <v>0</v>
      </c>
    </row>
    <row r="27" spans="2:11" ht="24.95" customHeight="1">
      <c r="B27" s="545"/>
      <c r="C27" s="546"/>
      <c r="D27" s="546"/>
      <c r="E27" s="546"/>
      <c r="F27" s="546"/>
      <c r="G27" s="551" t="s">
        <v>360</v>
      </c>
      <c r="H27" s="398" t="s">
        <v>326</v>
      </c>
      <c r="I27" s="399">
        <f>I28</f>
        <v>0</v>
      </c>
      <c r="J27" s="399">
        <f>J28</f>
        <v>346060</v>
      </c>
      <c r="K27" s="402">
        <f>K28</f>
        <v>346060</v>
      </c>
    </row>
    <row r="28" spans="2:11" ht="24.95" customHeight="1" thickBot="1">
      <c r="B28" s="547"/>
      <c r="C28" s="548"/>
      <c r="D28" s="548"/>
      <c r="E28" s="548"/>
      <c r="F28" s="548"/>
      <c r="G28" s="553"/>
      <c r="H28" s="403" t="s">
        <v>361</v>
      </c>
      <c r="I28" s="404">
        <v>0</v>
      </c>
      <c r="J28" s="404">
        <f>세출!AC184</f>
        <v>346060</v>
      </c>
      <c r="K28" s="405">
        <f>J28-I28</f>
        <v>346060</v>
      </c>
    </row>
  </sheetData>
  <mergeCells count="25">
    <mergeCell ref="B23:F28"/>
    <mergeCell ref="G23:G24"/>
    <mergeCell ref="G25:G26"/>
    <mergeCell ref="G27:G28"/>
    <mergeCell ref="B7:C7"/>
    <mergeCell ref="G7:H7"/>
    <mergeCell ref="B8:B9"/>
    <mergeCell ref="G8:G11"/>
    <mergeCell ref="B10:B13"/>
    <mergeCell ref="G12:G15"/>
    <mergeCell ref="B14:B16"/>
    <mergeCell ref="G16:G22"/>
    <mergeCell ref="B17:B18"/>
    <mergeCell ref="B19:B20"/>
    <mergeCell ref="B21:B22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E48"/>
  <sheetViews>
    <sheetView topLeftCell="B1" zoomScale="83" zoomScaleNormal="83" zoomScaleSheetLayoutView="85" workbookViewId="0">
      <pane xSplit="3" ySplit="4" topLeftCell="E29" activePane="bottomRight" state="frozen"/>
      <selection activeCell="B1" sqref="B1"/>
      <selection pane="topRight" activeCell="E1" sqref="E1"/>
      <selection pane="bottomLeft" activeCell="B5" sqref="B5"/>
      <selection pane="bottomRight" activeCell="I25" sqref="I25"/>
    </sheetView>
  </sheetViews>
  <sheetFormatPr defaultColWidth="13.77734375" defaultRowHeight="19.5" customHeight="1"/>
  <cols>
    <col min="1" max="1" width="6.88671875" style="8" customWidth="1"/>
    <col min="2" max="2" width="7.21875" style="8" customWidth="1"/>
    <col min="3" max="3" width="8.109375" style="8" customWidth="1"/>
    <col min="4" max="4" width="11.21875" style="10" customWidth="1"/>
    <col min="5" max="5" width="8.6640625" style="10" customWidth="1"/>
    <col min="6" max="6" width="9.109375" style="10" bestFit="1" customWidth="1"/>
    <col min="7" max="7" width="8.109375" style="10" bestFit="1" customWidth="1"/>
    <col min="8" max="8" width="6.88671875" style="10" customWidth="1"/>
    <col min="9" max="9" width="6.77734375" style="10" customWidth="1"/>
    <col min="10" max="10" width="7.77734375" style="10" customWidth="1"/>
    <col min="11" max="11" width="9.6640625" style="11" customWidth="1"/>
    <col min="12" max="12" width="8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2.21875" style="2" customWidth="1"/>
    <col min="29" max="29" width="2.77734375" style="2" customWidth="1"/>
    <col min="30" max="30" width="13.77734375" style="6"/>
    <col min="31" max="16384" width="13.77734375" style="1"/>
  </cols>
  <sheetData>
    <row r="1" spans="1:31" s="12" customFormat="1" ht="19.5" customHeight="1" thickBot="1">
      <c r="A1" s="564" t="s">
        <v>266</v>
      </c>
      <c r="B1" s="564"/>
      <c r="C1" s="564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1" s="3" customFormat="1" ht="27" customHeight="1">
      <c r="A2" s="565" t="s">
        <v>65</v>
      </c>
      <c r="B2" s="566"/>
      <c r="C2" s="566"/>
      <c r="D2" s="567" t="s">
        <v>447</v>
      </c>
      <c r="E2" s="569" t="s">
        <v>446</v>
      </c>
      <c r="F2" s="570"/>
      <c r="G2" s="570"/>
      <c r="H2" s="570"/>
      <c r="I2" s="570"/>
      <c r="J2" s="570"/>
      <c r="K2" s="560" t="s">
        <v>23</v>
      </c>
      <c r="L2" s="560"/>
      <c r="M2" s="560" t="s">
        <v>55</v>
      </c>
      <c r="N2" s="560"/>
      <c r="O2" s="560"/>
      <c r="P2" s="560"/>
      <c r="Q2" s="560"/>
      <c r="R2" s="560"/>
      <c r="S2" s="560"/>
      <c r="T2" s="560"/>
      <c r="U2" s="560"/>
      <c r="V2" s="560"/>
      <c r="W2" s="560"/>
      <c r="X2" s="560"/>
      <c r="Y2" s="560"/>
      <c r="Z2" s="560"/>
      <c r="AA2" s="560"/>
      <c r="AB2" s="560"/>
      <c r="AC2" s="561"/>
      <c r="AD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568"/>
      <c r="E3" s="307" t="s">
        <v>124</v>
      </c>
      <c r="F3" s="326" t="s">
        <v>277</v>
      </c>
      <c r="G3" s="307" t="s">
        <v>159</v>
      </c>
      <c r="H3" s="307" t="s">
        <v>114</v>
      </c>
      <c r="I3" s="307" t="s">
        <v>212</v>
      </c>
      <c r="J3" s="307" t="s">
        <v>116</v>
      </c>
      <c r="K3" s="185" t="s">
        <v>125</v>
      </c>
      <c r="L3" s="27" t="s">
        <v>4</v>
      </c>
      <c r="M3" s="562"/>
      <c r="N3" s="562"/>
      <c r="O3" s="562"/>
      <c r="P3" s="562"/>
      <c r="Q3" s="562"/>
      <c r="R3" s="562"/>
      <c r="S3" s="562"/>
      <c r="T3" s="562"/>
      <c r="U3" s="562"/>
      <c r="V3" s="562"/>
      <c r="W3" s="562"/>
      <c r="X3" s="562"/>
      <c r="Y3" s="562"/>
      <c r="Z3" s="562"/>
      <c r="AA3" s="562"/>
      <c r="AB3" s="562"/>
      <c r="AC3" s="563"/>
      <c r="AD3" s="9"/>
    </row>
    <row r="4" spans="1:31" s="3" customFormat="1" ht="19.5" customHeight="1">
      <c r="A4" s="571" t="s">
        <v>24</v>
      </c>
      <c r="B4" s="572"/>
      <c r="C4" s="573"/>
      <c r="D4" s="28">
        <f>D5+D7+D18+D21+D27</f>
        <v>67450</v>
      </c>
      <c r="E4" s="84">
        <f>(F4+G4+H4+I4+J4)</f>
        <v>66582.596000000005</v>
      </c>
      <c r="F4" s="28">
        <f>F5+F7+F16+F21+F27</f>
        <v>48146.131000000001</v>
      </c>
      <c r="G4" s="28">
        <f>G5+G7+G16+G21+G27+G14</f>
        <v>3030</v>
      </c>
      <c r="H4" s="28">
        <f>H5+H7+H16+H21+H27</f>
        <v>13570.524000000001</v>
      </c>
      <c r="I4" s="28">
        <f>I5+I7+I18+I21+I27</f>
        <v>1351.8710000000001</v>
      </c>
      <c r="J4" s="28">
        <f>J5+J7+J16+J21+J27</f>
        <v>484.07</v>
      </c>
      <c r="K4" s="29">
        <f>E4-D4</f>
        <v>-867.40399999999499</v>
      </c>
      <c r="L4" s="45">
        <f>IF(D4=0,0,K4/D4)</f>
        <v>-1.2859955522609266E-2</v>
      </c>
      <c r="M4" s="30" t="s">
        <v>191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SUM(AB5,AB7,AB16,AB21,AB27,AB18)</f>
        <v>66582596</v>
      </c>
      <c r="AC4" s="33" t="s">
        <v>190</v>
      </c>
      <c r="AD4" s="9"/>
    </row>
    <row r="5" spans="1:31" ht="21" customHeight="1" thickBot="1">
      <c r="A5" s="41" t="s">
        <v>60</v>
      </c>
      <c r="B5" s="311" t="s">
        <v>60</v>
      </c>
      <c r="C5" s="306" t="s">
        <v>123</v>
      </c>
      <c r="D5" s="43">
        <v>7200</v>
      </c>
      <c r="E5" s="43">
        <f>SUM(F5:J5)</f>
        <v>7200</v>
      </c>
      <c r="F5" s="43">
        <v>0</v>
      </c>
      <c r="G5" s="43">
        <v>0</v>
      </c>
      <c r="H5" s="43">
        <f>AB5/1000</f>
        <v>7200</v>
      </c>
      <c r="I5" s="43"/>
      <c r="J5" s="43">
        <v>0</v>
      </c>
      <c r="K5" s="44">
        <f>E5-D5</f>
        <v>0</v>
      </c>
      <c r="L5" s="45">
        <f>IF(D5=0,0,K5/D5)</f>
        <v>0</v>
      </c>
      <c r="M5" s="46" t="s">
        <v>229</v>
      </c>
      <c r="N5" s="182"/>
      <c r="O5" s="47"/>
      <c r="P5" s="47"/>
      <c r="Q5" s="47"/>
      <c r="R5" s="47"/>
      <c r="S5" s="47"/>
      <c r="T5" s="48"/>
      <c r="U5" s="48" t="s">
        <v>63</v>
      </c>
      <c r="V5" s="48"/>
      <c r="W5" s="48"/>
      <c r="X5" s="48"/>
      <c r="Y5" s="48"/>
      <c r="Z5" s="48"/>
      <c r="AA5" s="49"/>
      <c r="AB5" s="49">
        <f>AB6</f>
        <v>7200000</v>
      </c>
      <c r="AC5" s="50" t="s">
        <v>25</v>
      </c>
    </row>
    <row r="6" spans="1:31" ht="21" customHeight="1">
      <c r="A6" s="51" t="s">
        <v>61</v>
      </c>
      <c r="B6" s="312" t="s">
        <v>115</v>
      </c>
      <c r="C6" s="53" t="s">
        <v>115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230</v>
      </c>
      <c r="N6" s="60"/>
      <c r="O6" s="61"/>
      <c r="P6" s="61"/>
      <c r="Q6" s="309">
        <v>150000</v>
      </c>
      <c r="R6" s="309" t="s">
        <v>57</v>
      </c>
      <c r="S6" s="310" t="s">
        <v>58</v>
      </c>
      <c r="T6" s="309">
        <v>4</v>
      </c>
      <c r="U6" s="309" t="s">
        <v>56</v>
      </c>
      <c r="V6" s="310" t="s">
        <v>58</v>
      </c>
      <c r="W6" s="62">
        <v>12</v>
      </c>
      <c r="X6" s="234" t="s">
        <v>0</v>
      </c>
      <c r="Y6" s="234" t="s">
        <v>53</v>
      </c>
      <c r="Z6" s="234"/>
      <c r="AA6" s="309"/>
      <c r="AB6" s="309">
        <f>Q6*T6*W6</f>
        <v>7200000</v>
      </c>
      <c r="AC6" s="64" t="s">
        <v>57</v>
      </c>
    </row>
    <row r="7" spans="1:31" s="12" customFormat="1" ht="19.5" customHeight="1">
      <c r="A7" s="41" t="s">
        <v>30</v>
      </c>
      <c r="B7" s="557" t="s">
        <v>17</v>
      </c>
      <c r="C7" s="558"/>
      <c r="D7" s="215">
        <f>D8+D14</f>
        <v>51525</v>
      </c>
      <c r="E7" s="215">
        <f>E8+E14</f>
        <v>50960</v>
      </c>
      <c r="F7" s="215">
        <f>F8</f>
        <v>48130</v>
      </c>
      <c r="G7" s="215">
        <f>G8</f>
        <v>2630</v>
      </c>
      <c r="H7" s="215">
        <f t="shared" ref="H7:J7" si="0">H8</f>
        <v>0</v>
      </c>
      <c r="I7" s="215">
        <v>0</v>
      </c>
      <c r="J7" s="215">
        <f t="shared" si="0"/>
        <v>0</v>
      </c>
      <c r="K7" s="216">
        <f>E7-D7</f>
        <v>-565</v>
      </c>
      <c r="L7" s="217">
        <f>IF(D7=0,0,K7/D7)</f>
        <v>-1.096555070354197E-2</v>
      </c>
      <c r="M7" s="67" t="s">
        <v>66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50960000</v>
      </c>
      <c r="AC7" s="50" t="s">
        <v>25</v>
      </c>
      <c r="AD7" s="6"/>
      <c r="AE7" s="14">
        <f>AB7+AB22+AB35+AB23</f>
        <v>51176131</v>
      </c>
    </row>
    <row r="8" spans="1:31" ht="21" customHeight="1" thickBot="1">
      <c r="A8" s="51"/>
      <c r="B8" s="199" t="s">
        <v>70</v>
      </c>
      <c r="C8" s="311" t="s">
        <v>68</v>
      </c>
      <c r="D8" s="43">
        <f>D9</f>
        <v>51325</v>
      </c>
      <c r="E8" s="43">
        <f>E9</f>
        <v>50760</v>
      </c>
      <c r="F8" s="43">
        <f>F9</f>
        <v>48130</v>
      </c>
      <c r="G8" s="43">
        <f>G9</f>
        <v>2630</v>
      </c>
      <c r="H8" s="43">
        <f t="shared" ref="H8:J8" si="1">H9</f>
        <v>0</v>
      </c>
      <c r="I8" s="215">
        <v>0</v>
      </c>
      <c r="J8" s="43">
        <f t="shared" si="1"/>
        <v>0</v>
      </c>
      <c r="K8" s="44">
        <f>E8-D8</f>
        <v>-565</v>
      </c>
      <c r="L8" s="45">
        <f>IF(D8=0,0,K8/D8)</f>
        <v>-1.100828056502679E-2</v>
      </c>
      <c r="M8" s="71" t="s">
        <v>66</v>
      </c>
      <c r="N8" s="72"/>
      <c r="O8" s="73"/>
      <c r="P8" s="73"/>
      <c r="Q8" s="73"/>
      <c r="R8" s="73"/>
      <c r="S8" s="73"/>
      <c r="T8" s="74"/>
      <c r="U8" s="75" t="s">
        <v>69</v>
      </c>
      <c r="V8" s="75"/>
      <c r="W8" s="75"/>
      <c r="X8" s="75"/>
      <c r="Y8" s="75"/>
      <c r="Z8" s="75"/>
      <c r="AA8" s="76"/>
      <c r="AB8" s="76">
        <f>SUM(AB9,AB14)</f>
        <v>50960000</v>
      </c>
      <c r="AC8" s="77" t="s">
        <v>67</v>
      </c>
    </row>
    <row r="9" spans="1:31" ht="21" customHeight="1" thickBot="1">
      <c r="A9" s="51"/>
      <c r="B9" s="312"/>
      <c r="C9" s="345" t="s">
        <v>274</v>
      </c>
      <c r="D9" s="43">
        <v>51325</v>
      </c>
      <c r="E9" s="43">
        <f>AB9/1000</f>
        <v>50760</v>
      </c>
      <c r="F9" s="43">
        <f>(AB10)/1000</f>
        <v>48130</v>
      </c>
      <c r="G9" s="43">
        <f>SUM(AB11+AB12)/1000</f>
        <v>2630</v>
      </c>
      <c r="H9" s="43">
        <v>0</v>
      </c>
      <c r="I9" s="43">
        <v>0</v>
      </c>
      <c r="J9" s="43">
        <v>0</v>
      </c>
      <c r="K9" s="44">
        <f>E9-D9</f>
        <v>-565</v>
      </c>
      <c r="L9" s="45">
        <f>IF(D9=0,0,K9/D9)</f>
        <v>-1.100828056502679E-2</v>
      </c>
      <c r="M9" s="183" t="s">
        <v>268</v>
      </c>
      <c r="N9" s="99"/>
      <c r="O9" s="100"/>
      <c r="P9" s="100"/>
      <c r="Q9" s="100"/>
      <c r="R9" s="100"/>
      <c r="S9" s="100"/>
      <c r="T9" s="101"/>
      <c r="U9" s="102" t="s">
        <v>71</v>
      </c>
      <c r="V9" s="102"/>
      <c r="W9" s="102"/>
      <c r="X9" s="102"/>
      <c r="Y9" s="102"/>
      <c r="Z9" s="102"/>
      <c r="AA9" s="103"/>
      <c r="AB9" s="103">
        <f>SUM(AB10:AB13)</f>
        <v>50760000</v>
      </c>
      <c r="AC9" s="104" t="s">
        <v>25</v>
      </c>
      <c r="AE9" s="2">
        <f>AB24+AB36+AB6</f>
        <v>13570524</v>
      </c>
    </row>
    <row r="10" spans="1:31" ht="21" customHeight="1">
      <c r="A10" s="51"/>
      <c r="B10" s="312"/>
      <c r="C10" s="346" t="s">
        <v>275</v>
      </c>
      <c r="D10" s="54"/>
      <c r="E10" s="54"/>
      <c r="F10" s="54"/>
      <c r="G10" s="54"/>
      <c r="H10" s="54"/>
      <c r="I10" s="54"/>
      <c r="J10" s="54"/>
      <c r="K10" s="317"/>
      <c r="L10" s="37"/>
      <c r="M10" s="242" t="s">
        <v>269</v>
      </c>
      <c r="N10" s="240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3"/>
      <c r="AB10" s="244">
        <v>48130000</v>
      </c>
      <c r="AC10" s="245" t="s">
        <v>57</v>
      </c>
    </row>
    <row r="11" spans="1:31" ht="21" customHeight="1">
      <c r="A11" s="51"/>
      <c r="B11" s="312"/>
      <c r="C11" s="312"/>
      <c r="D11" s="54"/>
      <c r="E11" s="54"/>
      <c r="F11" s="54"/>
      <c r="G11" s="54"/>
      <c r="H11" s="54"/>
      <c r="I11" s="54"/>
      <c r="J11" s="54"/>
      <c r="K11" s="317"/>
      <c r="L11" s="37"/>
      <c r="M11" s="242" t="s">
        <v>216</v>
      </c>
      <c r="N11" s="246"/>
      <c r="O11" s="247"/>
      <c r="P11" s="247"/>
      <c r="Q11" s="309"/>
      <c r="R11" s="309"/>
      <c r="S11" s="310"/>
      <c r="T11" s="309"/>
      <c r="U11" s="309"/>
      <c r="V11" s="310"/>
      <c r="W11" s="309"/>
      <c r="X11" s="309"/>
      <c r="Y11" s="309"/>
      <c r="Z11" s="309"/>
      <c r="AA11" s="84"/>
      <c r="AB11" s="84">
        <v>1450000</v>
      </c>
      <c r="AC11" s="64" t="s">
        <v>57</v>
      </c>
      <c r="AE11" s="2">
        <f>AB19+AB25+AB37</f>
        <v>1351871</v>
      </c>
    </row>
    <row r="12" spans="1:31" ht="21" customHeight="1">
      <c r="A12" s="51"/>
      <c r="B12" s="312"/>
      <c r="C12" s="312"/>
      <c r="D12" s="54"/>
      <c r="E12" s="54"/>
      <c r="F12" s="54"/>
      <c r="G12" s="54"/>
      <c r="H12" s="54"/>
      <c r="I12" s="54"/>
      <c r="J12" s="54"/>
      <c r="K12" s="317"/>
      <c r="L12" s="37"/>
      <c r="M12" s="242" t="s">
        <v>217</v>
      </c>
      <c r="N12" s="240"/>
      <c r="O12" s="241"/>
      <c r="P12" s="241"/>
      <c r="Q12" s="330">
        <v>100000</v>
      </c>
      <c r="R12" s="330" t="s">
        <v>57</v>
      </c>
      <c r="S12" s="331" t="s">
        <v>58</v>
      </c>
      <c r="T12" s="330">
        <v>1</v>
      </c>
      <c r="U12" s="330" t="s">
        <v>56</v>
      </c>
      <c r="V12" s="331" t="s">
        <v>58</v>
      </c>
      <c r="W12" s="330">
        <v>12</v>
      </c>
      <c r="X12" s="330" t="s">
        <v>0</v>
      </c>
      <c r="Y12" s="330" t="s">
        <v>53</v>
      </c>
      <c r="Z12" s="330"/>
      <c r="AA12" s="84"/>
      <c r="AB12" s="84">
        <v>1180000</v>
      </c>
      <c r="AC12" s="64" t="s">
        <v>57</v>
      </c>
    </row>
    <row r="13" spans="1:31" ht="21" customHeight="1">
      <c r="A13" s="65"/>
      <c r="B13" s="66"/>
      <c r="C13" s="66"/>
      <c r="D13" s="78"/>
      <c r="E13" s="78"/>
      <c r="F13" s="78"/>
      <c r="G13" s="78"/>
      <c r="H13" s="78"/>
      <c r="I13" s="78"/>
      <c r="J13" s="78"/>
      <c r="K13" s="318"/>
      <c r="L13" s="313"/>
      <c r="M13" s="314"/>
      <c r="N13" s="315"/>
      <c r="O13" s="316"/>
      <c r="P13" s="316"/>
      <c r="Q13" s="343"/>
      <c r="R13" s="343"/>
      <c r="S13" s="344"/>
      <c r="T13" s="343"/>
      <c r="U13" s="343"/>
      <c r="V13" s="344"/>
      <c r="W13" s="343"/>
      <c r="X13" s="343"/>
      <c r="Y13" s="343"/>
      <c r="Z13" s="343"/>
      <c r="AA13" s="84"/>
      <c r="AB13" s="84"/>
      <c r="AC13" s="64"/>
    </row>
    <row r="14" spans="1:31" ht="21" customHeight="1" thickBot="1">
      <c r="A14" s="51"/>
      <c r="B14" s="312"/>
      <c r="C14" s="345" t="s">
        <v>276</v>
      </c>
      <c r="D14" s="54">
        <v>200</v>
      </c>
      <c r="E14" s="43">
        <f>AB14/1000</f>
        <v>200</v>
      </c>
      <c r="F14" s="54"/>
      <c r="G14" s="54">
        <f>SUM(AB14)/1000</f>
        <v>200</v>
      </c>
      <c r="H14" s="43">
        <v>0</v>
      </c>
      <c r="I14" s="43">
        <v>0</v>
      </c>
      <c r="J14" s="43">
        <v>0</v>
      </c>
      <c r="K14" s="44">
        <f>E14-D14</f>
        <v>0</v>
      </c>
      <c r="L14" s="45">
        <f>IF(D14=0,0,K14/D14)</f>
        <v>0</v>
      </c>
      <c r="M14" s="183" t="s">
        <v>301</v>
      </c>
      <c r="N14" s="99"/>
      <c r="O14" s="100"/>
      <c r="P14" s="100"/>
      <c r="Q14" s="100"/>
      <c r="R14" s="100"/>
      <c r="S14" s="100"/>
      <c r="T14" s="101"/>
      <c r="U14" s="102" t="s">
        <v>69</v>
      </c>
      <c r="V14" s="102"/>
      <c r="W14" s="102"/>
      <c r="X14" s="102"/>
      <c r="Y14" s="102"/>
      <c r="Z14" s="102"/>
      <c r="AA14" s="103"/>
      <c r="AB14" s="103">
        <f>SUM(AB15:AB15)</f>
        <v>200000</v>
      </c>
      <c r="AC14" s="104" t="s">
        <v>25</v>
      </c>
    </row>
    <row r="15" spans="1:31" ht="21" customHeight="1">
      <c r="A15" s="51"/>
      <c r="B15" s="312"/>
      <c r="C15" s="66" t="s">
        <v>275</v>
      </c>
      <c r="D15" s="54"/>
      <c r="E15" s="54"/>
      <c r="F15" s="54"/>
      <c r="G15" s="54"/>
      <c r="H15" s="54"/>
      <c r="I15" s="54"/>
      <c r="J15" s="54"/>
      <c r="K15" s="55"/>
      <c r="L15" s="37"/>
      <c r="M15" s="242" t="s">
        <v>228</v>
      </c>
      <c r="N15" s="246"/>
      <c r="O15" s="247"/>
      <c r="P15" s="247"/>
      <c r="Q15" s="343"/>
      <c r="R15" s="343"/>
      <c r="S15" s="344"/>
      <c r="T15" s="343"/>
      <c r="U15" s="343"/>
      <c r="V15" s="344"/>
      <c r="W15" s="343"/>
      <c r="X15" s="343"/>
      <c r="Y15" s="343"/>
      <c r="Z15" s="343"/>
      <c r="AA15" s="84"/>
      <c r="AB15" s="84">
        <v>200000</v>
      </c>
      <c r="AC15" s="64" t="s">
        <v>57</v>
      </c>
    </row>
    <row r="16" spans="1:31" ht="21" customHeight="1" thickBot="1">
      <c r="A16" s="41" t="s">
        <v>76</v>
      </c>
      <c r="B16" s="311" t="s">
        <v>13</v>
      </c>
      <c r="C16" s="311" t="s">
        <v>119</v>
      </c>
      <c r="D16" s="43">
        <v>0</v>
      </c>
      <c r="E16" s="43">
        <f>SUM(F16:J16)</f>
        <v>0</v>
      </c>
      <c r="F16" s="43">
        <v>0</v>
      </c>
      <c r="G16" s="43">
        <v>0</v>
      </c>
      <c r="H16" s="43">
        <v>0</v>
      </c>
      <c r="I16" s="43">
        <v>0</v>
      </c>
      <c r="J16" s="43">
        <f>AB16/1000</f>
        <v>0</v>
      </c>
      <c r="K16" s="44">
        <f>E16-D16</f>
        <v>0</v>
      </c>
      <c r="L16" s="45">
        <f>IF(D16=0,0,K16/D16)</f>
        <v>0</v>
      </c>
      <c r="M16" s="46" t="s">
        <v>31</v>
      </c>
      <c r="N16" s="112"/>
      <c r="O16" s="36"/>
      <c r="P16" s="36"/>
      <c r="Q16" s="36"/>
      <c r="R16" s="36"/>
      <c r="S16" s="36"/>
      <c r="T16" s="36"/>
      <c r="U16" s="113" t="s">
        <v>71</v>
      </c>
      <c r="V16" s="113"/>
      <c r="W16" s="113"/>
      <c r="X16" s="113"/>
      <c r="Y16" s="113"/>
      <c r="Z16" s="113"/>
      <c r="AA16" s="114"/>
      <c r="AB16" s="114">
        <f>SUM(AB17:AB17)</f>
        <v>0</v>
      </c>
      <c r="AC16" s="115" t="s">
        <v>25</v>
      </c>
      <c r="AD16" s="23"/>
      <c r="AE16" s="24"/>
    </row>
    <row r="17" spans="1:31" ht="21" customHeight="1">
      <c r="A17" s="51"/>
      <c r="B17" s="66"/>
      <c r="C17" s="66" t="s">
        <v>120</v>
      </c>
      <c r="D17" s="78"/>
      <c r="E17" s="78"/>
      <c r="F17" s="78"/>
      <c r="G17" s="78"/>
      <c r="H17" s="78"/>
      <c r="I17" s="78"/>
      <c r="J17" s="78"/>
      <c r="K17" s="55"/>
      <c r="L17" s="35"/>
      <c r="M17" s="310"/>
      <c r="N17" s="310"/>
      <c r="O17" s="309"/>
      <c r="P17" s="309"/>
      <c r="Q17" s="85"/>
      <c r="R17" s="86"/>
      <c r="S17" s="248"/>
      <c r="T17" s="91"/>
      <c r="U17" s="249"/>
      <c r="V17" s="250"/>
      <c r="W17" s="234"/>
      <c r="X17" s="234"/>
      <c r="Y17" s="234"/>
      <c r="Z17" s="309"/>
      <c r="AA17" s="84"/>
      <c r="AB17" s="84">
        <v>0</v>
      </c>
      <c r="AC17" s="64" t="s">
        <v>278</v>
      </c>
      <c r="AD17" s="23"/>
      <c r="AE17" s="24"/>
    </row>
    <row r="18" spans="1:31" s="4" customFormat="1" ht="21" customHeight="1" thickBot="1">
      <c r="A18" s="41" t="s">
        <v>212</v>
      </c>
      <c r="B18" s="312" t="s">
        <v>212</v>
      </c>
      <c r="C18" s="312" t="s">
        <v>213</v>
      </c>
      <c r="D18" s="54">
        <v>750</v>
      </c>
      <c r="E18" s="54">
        <f>I18</f>
        <v>450</v>
      </c>
      <c r="F18" s="54"/>
      <c r="G18" s="54"/>
      <c r="H18" s="54"/>
      <c r="I18" s="54">
        <f>AB19/1000</f>
        <v>450</v>
      </c>
      <c r="J18" s="54"/>
      <c r="K18" s="44">
        <f>E18-D18</f>
        <v>-300</v>
      </c>
      <c r="L18" s="45">
        <f>IF(D18=0,0,K18/D18)</f>
        <v>-0.4</v>
      </c>
      <c r="M18" s="46" t="s">
        <v>209</v>
      </c>
      <c r="N18" s="286"/>
      <c r="O18" s="220"/>
      <c r="P18" s="220"/>
      <c r="Q18" s="85"/>
      <c r="R18" s="86"/>
      <c r="S18" s="248"/>
      <c r="T18" s="91"/>
      <c r="U18" s="113" t="s">
        <v>69</v>
      </c>
      <c r="V18" s="113"/>
      <c r="W18" s="113"/>
      <c r="X18" s="113"/>
      <c r="Y18" s="113"/>
      <c r="Z18" s="113"/>
      <c r="AA18" s="114"/>
      <c r="AB18" s="114">
        <f>SUM(AB19:AB20)</f>
        <v>450000</v>
      </c>
      <c r="AC18" s="115" t="s">
        <v>25</v>
      </c>
      <c r="AD18" s="284"/>
      <c r="AE18" s="285"/>
    </row>
    <row r="19" spans="1:31" ht="21" customHeight="1">
      <c r="A19" s="51"/>
      <c r="B19" s="312"/>
      <c r="C19" s="312" t="s">
        <v>212</v>
      </c>
      <c r="D19" s="54"/>
      <c r="E19" s="54"/>
      <c r="F19" s="54"/>
      <c r="G19" s="54"/>
      <c r="H19" s="54"/>
      <c r="I19" s="54"/>
      <c r="J19" s="54"/>
      <c r="K19" s="55"/>
      <c r="L19" s="35"/>
      <c r="M19" s="310" t="s">
        <v>211</v>
      </c>
      <c r="N19" s="221"/>
      <c r="O19" s="220"/>
      <c r="P19" s="220"/>
      <c r="Q19" s="85"/>
      <c r="R19" s="86"/>
      <c r="S19" s="248"/>
      <c r="T19" s="91"/>
      <c r="U19" s="249"/>
      <c r="V19" s="250"/>
      <c r="W19" s="234"/>
      <c r="X19" s="234"/>
      <c r="Y19" s="234"/>
      <c r="Z19" s="309"/>
      <c r="AA19" s="84"/>
      <c r="AB19" s="84">
        <v>450000</v>
      </c>
      <c r="AC19" s="64" t="s">
        <v>208</v>
      </c>
      <c r="AD19" s="23"/>
      <c r="AE19" s="24"/>
    </row>
    <row r="20" spans="1:31" s="4" customFormat="1" ht="21" customHeight="1">
      <c r="A20" s="51"/>
      <c r="B20" s="312"/>
      <c r="C20" s="312"/>
      <c r="D20" s="54"/>
      <c r="E20" s="54"/>
      <c r="F20" s="54"/>
      <c r="G20" s="54"/>
      <c r="H20" s="54"/>
      <c r="I20" s="54"/>
      <c r="J20" s="54"/>
      <c r="K20" s="55"/>
      <c r="L20" s="87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116"/>
      <c r="AC20" s="64"/>
      <c r="AD20" s="7"/>
    </row>
    <row r="21" spans="1:31" ht="21" customHeight="1" thickBot="1">
      <c r="A21" s="41" t="s">
        <v>14</v>
      </c>
      <c r="B21" s="311" t="s">
        <v>14</v>
      </c>
      <c r="C21" s="311" t="s">
        <v>77</v>
      </c>
      <c r="D21" s="43">
        <v>7955</v>
      </c>
      <c r="E21" s="43">
        <f>SUM(F21:J21)</f>
        <v>7471.0260000000007</v>
      </c>
      <c r="F21" s="43">
        <f>AB23/1000</f>
        <v>7.1310000000000002</v>
      </c>
      <c r="G21" s="43">
        <f>ROUND(SUM(AB22),-3)/1000</f>
        <v>200</v>
      </c>
      <c r="H21" s="43">
        <f>AB24/1000</f>
        <v>6363.5240000000003</v>
      </c>
      <c r="I21" s="43">
        <f>AB25/1000</f>
        <v>900.37099999999998</v>
      </c>
      <c r="J21" s="43"/>
      <c r="K21" s="44">
        <f>E21-D21</f>
        <v>-483.97399999999925</v>
      </c>
      <c r="L21" s="45">
        <f>IF(D21=0,0,K21/D21)</f>
        <v>-6.0838969201759803E-2</v>
      </c>
      <c r="M21" s="46" t="s">
        <v>210</v>
      </c>
      <c r="N21" s="112"/>
      <c r="O21" s="48"/>
      <c r="P21" s="48"/>
      <c r="Q21" s="48"/>
      <c r="R21" s="48"/>
      <c r="S21" s="48"/>
      <c r="T21" s="48"/>
      <c r="U21" s="113" t="s">
        <v>69</v>
      </c>
      <c r="V21" s="113"/>
      <c r="W21" s="113"/>
      <c r="X21" s="113"/>
      <c r="Y21" s="113"/>
      <c r="Z21" s="113"/>
      <c r="AA21" s="114"/>
      <c r="AB21" s="114">
        <f>SUM(AB22:AB26)</f>
        <v>7471026</v>
      </c>
      <c r="AC21" s="115" t="s">
        <v>25</v>
      </c>
    </row>
    <row r="22" spans="1:31" ht="21" customHeight="1">
      <c r="A22" s="51"/>
      <c r="B22" s="312"/>
      <c r="C22" s="312" t="s">
        <v>218</v>
      </c>
      <c r="D22" s="54"/>
      <c r="E22" s="54"/>
      <c r="F22" s="54"/>
      <c r="G22" s="54"/>
      <c r="H22" s="54"/>
      <c r="I22" s="54"/>
      <c r="J22" s="54"/>
      <c r="K22" s="55"/>
      <c r="L22" s="87"/>
      <c r="M22" s="83" t="s">
        <v>279</v>
      </c>
      <c r="N22" s="310"/>
      <c r="O22" s="309"/>
      <c r="P22" s="309"/>
      <c r="Q22" s="309"/>
      <c r="R22" s="309"/>
      <c r="S22" s="309"/>
      <c r="T22" s="309"/>
      <c r="U22" s="60"/>
      <c r="V22" s="60"/>
      <c r="W22" s="60"/>
      <c r="X22" s="309"/>
      <c r="Y22" s="309"/>
      <c r="Z22" s="309"/>
      <c r="AA22" s="84"/>
      <c r="AB22" s="84">
        <v>200000</v>
      </c>
      <c r="AC22" s="64" t="s">
        <v>158</v>
      </c>
    </row>
    <row r="23" spans="1:31" ht="21" customHeight="1">
      <c r="A23" s="51"/>
      <c r="B23" s="312"/>
      <c r="C23" s="312"/>
      <c r="D23" s="54"/>
      <c r="E23" s="54"/>
      <c r="F23" s="54"/>
      <c r="G23" s="54"/>
      <c r="H23" s="54"/>
      <c r="I23" s="54"/>
      <c r="J23" s="54"/>
      <c r="K23" s="55"/>
      <c r="L23" s="87"/>
      <c r="M23" s="83" t="s">
        <v>297</v>
      </c>
      <c r="N23" s="310"/>
      <c r="O23" s="309"/>
      <c r="P23" s="309"/>
      <c r="Q23" s="309"/>
      <c r="R23" s="36"/>
      <c r="S23" s="309"/>
      <c r="T23" s="309"/>
      <c r="U23" s="309"/>
      <c r="V23" s="309"/>
      <c r="W23" s="309"/>
      <c r="X23" s="309"/>
      <c r="Y23" s="309"/>
      <c r="Z23" s="309"/>
      <c r="AA23" s="309"/>
      <c r="AB23" s="309">
        <v>7131</v>
      </c>
      <c r="AC23" s="64" t="s">
        <v>158</v>
      </c>
    </row>
    <row r="24" spans="1:31" ht="21" customHeight="1">
      <c r="A24" s="51"/>
      <c r="B24" s="312"/>
      <c r="C24" s="312"/>
      <c r="D24" s="54"/>
      <c r="E24" s="54"/>
      <c r="F24" s="54"/>
      <c r="G24" s="54"/>
      <c r="H24" s="54"/>
      <c r="I24" s="54"/>
      <c r="J24" s="54"/>
      <c r="K24" s="55"/>
      <c r="L24" s="87"/>
      <c r="M24" s="83" t="s">
        <v>294</v>
      </c>
      <c r="N24" s="348"/>
      <c r="O24" s="347"/>
      <c r="P24" s="347"/>
      <c r="Q24" s="347"/>
      <c r="R24" s="36"/>
      <c r="S24" s="347"/>
      <c r="T24" s="347"/>
      <c r="U24" s="347"/>
      <c r="V24" s="347"/>
      <c r="W24" s="347"/>
      <c r="X24" s="347"/>
      <c r="Y24" s="347"/>
      <c r="Z24" s="347"/>
      <c r="AA24" s="347"/>
      <c r="AB24" s="347">
        <v>6363524</v>
      </c>
      <c r="AC24" s="64" t="s">
        <v>57</v>
      </c>
    </row>
    <row r="25" spans="1:31" ht="21" customHeight="1">
      <c r="A25" s="51"/>
      <c r="B25" s="312"/>
      <c r="C25" s="312"/>
      <c r="D25" s="54"/>
      <c r="E25" s="54"/>
      <c r="F25" s="54"/>
      <c r="G25" s="54"/>
      <c r="H25" s="54"/>
      <c r="I25" s="54"/>
      <c r="J25" s="54"/>
      <c r="K25" s="55"/>
      <c r="L25" s="87"/>
      <c r="M25" s="83" t="s">
        <v>468</v>
      </c>
      <c r="N25" s="348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526">
        <v>900371</v>
      </c>
      <c r="AC25" s="64" t="s">
        <v>57</v>
      </c>
    </row>
    <row r="26" spans="1:31" ht="21" customHeight="1">
      <c r="A26" s="51"/>
      <c r="B26" s="312"/>
      <c r="C26" s="312"/>
      <c r="D26" s="54"/>
      <c r="E26" s="54"/>
      <c r="F26" s="54"/>
      <c r="G26" s="54"/>
      <c r="H26" s="54"/>
      <c r="I26" s="54"/>
      <c r="J26" s="54"/>
      <c r="K26" s="55"/>
      <c r="L26" s="87"/>
      <c r="M26" s="83"/>
      <c r="N26" s="348"/>
      <c r="O26" s="347"/>
      <c r="P26" s="347"/>
      <c r="Q26" s="347"/>
      <c r="R26" s="36"/>
      <c r="S26" s="347"/>
      <c r="T26" s="347"/>
      <c r="U26" s="347"/>
      <c r="V26" s="347"/>
      <c r="W26" s="347"/>
      <c r="X26" s="347"/>
      <c r="Y26" s="347"/>
      <c r="Z26" s="347"/>
      <c r="AA26" s="347"/>
      <c r="AB26" s="347"/>
      <c r="AC26" s="64"/>
    </row>
    <row r="27" spans="1:31" ht="21" customHeight="1">
      <c r="A27" s="41" t="s">
        <v>78</v>
      </c>
      <c r="B27" s="108" t="s">
        <v>16</v>
      </c>
      <c r="C27" s="108" t="s">
        <v>79</v>
      </c>
      <c r="D27" s="43">
        <f t="shared" ref="D27:J27" si="2">D34+D28+D30</f>
        <v>20</v>
      </c>
      <c r="E27" s="43">
        <f t="shared" si="2"/>
        <v>501.57</v>
      </c>
      <c r="F27" s="43">
        <f t="shared" si="2"/>
        <v>9</v>
      </c>
      <c r="G27" s="43">
        <f t="shared" si="2"/>
        <v>0</v>
      </c>
      <c r="H27" s="43">
        <f t="shared" si="2"/>
        <v>7</v>
      </c>
      <c r="I27" s="43">
        <f t="shared" si="2"/>
        <v>1.5</v>
      </c>
      <c r="J27" s="43">
        <f t="shared" si="2"/>
        <v>484.07</v>
      </c>
      <c r="K27" s="44">
        <f>E27-D27</f>
        <v>481.57</v>
      </c>
      <c r="L27" s="45">
        <f>IF(D27=0,0,K27/D27)</f>
        <v>24.078499999999998</v>
      </c>
      <c r="M27" s="67" t="s">
        <v>80</v>
      </c>
      <c r="N27" s="69"/>
      <c r="O27" s="48"/>
      <c r="P27" s="48"/>
      <c r="Q27" s="48"/>
      <c r="R27" s="48"/>
      <c r="S27" s="48"/>
      <c r="T27" s="48"/>
      <c r="U27" s="48" t="s">
        <v>117</v>
      </c>
      <c r="V27" s="48"/>
      <c r="W27" s="48"/>
      <c r="X27" s="48"/>
      <c r="Y27" s="48"/>
      <c r="Z27" s="48"/>
      <c r="AA27" s="49"/>
      <c r="AB27" s="49">
        <f>AB28+AB34+AB30</f>
        <v>501570</v>
      </c>
      <c r="AC27" s="50" t="s">
        <v>25</v>
      </c>
    </row>
    <row r="28" spans="1:31" ht="21" customHeight="1">
      <c r="A28" s="51"/>
      <c r="B28" s="120"/>
      <c r="C28" s="108" t="s">
        <v>122</v>
      </c>
      <c r="D28" s="43">
        <v>0</v>
      </c>
      <c r="E28" s="43">
        <f>SUM(F28:J28)</f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4">
        <f>E28-D28</f>
        <v>0</v>
      </c>
      <c r="L28" s="45">
        <f>IF(D28=0,0,K28/D28)</f>
        <v>0</v>
      </c>
      <c r="M28" s="121" t="s">
        <v>82</v>
      </c>
      <c r="N28" s="225"/>
      <c r="O28" s="224"/>
      <c r="P28" s="224"/>
      <c r="Q28" s="224"/>
      <c r="R28" s="224"/>
      <c r="S28" s="224"/>
      <c r="T28" s="224"/>
      <c r="U28" s="224" t="s">
        <v>118</v>
      </c>
      <c r="V28" s="224"/>
      <c r="W28" s="224"/>
      <c r="X28" s="224"/>
      <c r="Y28" s="224"/>
      <c r="Z28" s="224"/>
      <c r="AA28" s="118"/>
      <c r="AB28" s="118">
        <v>0</v>
      </c>
      <c r="AC28" s="119" t="s">
        <v>81</v>
      </c>
    </row>
    <row r="29" spans="1:31" s="12" customFormat="1" ht="19.5" customHeight="1">
      <c r="A29" s="70"/>
      <c r="B29" s="122"/>
      <c r="C29" s="66" t="s">
        <v>83</v>
      </c>
      <c r="D29" s="78"/>
      <c r="E29" s="78"/>
      <c r="F29" s="78"/>
      <c r="G29" s="78"/>
      <c r="H29" s="78"/>
      <c r="I29" s="78"/>
      <c r="J29" s="78"/>
      <c r="K29" s="79"/>
      <c r="L29" s="105"/>
      <c r="M29" s="8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90"/>
      <c r="AD29" s="6"/>
    </row>
    <row r="30" spans="1:31" ht="21" customHeight="1">
      <c r="A30" s="51"/>
      <c r="B30" s="120"/>
      <c r="C30" s="108" t="s">
        <v>291</v>
      </c>
      <c r="D30" s="43">
        <v>6</v>
      </c>
      <c r="E30" s="43">
        <f>SUM(F30:J30)</f>
        <v>484.07</v>
      </c>
      <c r="F30" s="43"/>
      <c r="G30" s="43">
        <v>0</v>
      </c>
      <c r="H30" s="43">
        <f>AB32/1000</f>
        <v>0</v>
      </c>
      <c r="I30" s="43">
        <v>0</v>
      </c>
      <c r="J30" s="43">
        <f>AB31/1000</f>
        <v>484.07</v>
      </c>
      <c r="K30" s="44">
        <f>E30-D30</f>
        <v>478.07</v>
      </c>
      <c r="L30" s="45">
        <f>IF(D30=0,0,K30/D30)</f>
        <v>79.678333333333327</v>
      </c>
      <c r="M30" s="121" t="s">
        <v>467</v>
      </c>
      <c r="N30" s="225"/>
      <c r="O30" s="224"/>
      <c r="P30" s="224"/>
      <c r="Q30" s="224"/>
      <c r="R30" s="224"/>
      <c r="S30" s="224"/>
      <c r="T30" s="224"/>
      <c r="U30" s="224" t="s">
        <v>118</v>
      </c>
      <c r="V30" s="224"/>
      <c r="W30" s="224"/>
      <c r="X30" s="224"/>
      <c r="Y30" s="224"/>
      <c r="Z30" s="224"/>
      <c r="AA30" s="118"/>
      <c r="AB30" s="118">
        <f>AB31+AB32+AB33</f>
        <v>484070</v>
      </c>
      <c r="AC30" s="119" t="s">
        <v>57</v>
      </c>
    </row>
    <row r="31" spans="1:31" ht="21" customHeight="1">
      <c r="A31" s="51"/>
      <c r="B31" s="120"/>
      <c r="C31" s="349" t="s">
        <v>292</v>
      </c>
      <c r="D31" s="54"/>
      <c r="E31" s="54"/>
      <c r="F31" s="54"/>
      <c r="G31" s="54"/>
      <c r="H31" s="54"/>
      <c r="I31" s="54"/>
      <c r="J31" s="54"/>
      <c r="K31" s="55"/>
      <c r="L31" s="37"/>
      <c r="M31" s="261" t="s">
        <v>474</v>
      </c>
      <c r="N31" s="344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3"/>
      <c r="Z31" s="343"/>
      <c r="AA31" s="84"/>
      <c r="AB31" s="526">
        <v>484070</v>
      </c>
      <c r="AC31" s="64" t="s">
        <v>25</v>
      </c>
    </row>
    <row r="32" spans="1:31" ht="21" customHeight="1">
      <c r="A32" s="51"/>
      <c r="B32" s="120"/>
      <c r="C32" s="349"/>
      <c r="D32" s="54"/>
      <c r="E32" s="54"/>
      <c r="F32" s="54"/>
      <c r="G32" s="54"/>
      <c r="H32" s="54"/>
      <c r="I32" s="54"/>
      <c r="J32" s="54"/>
      <c r="K32" s="55"/>
      <c r="L32" s="37"/>
      <c r="M32" s="83"/>
      <c r="N32" s="344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84"/>
      <c r="AB32" s="84">
        <v>0</v>
      </c>
      <c r="AC32" s="64" t="s">
        <v>25</v>
      </c>
    </row>
    <row r="33" spans="1:30" s="12" customFormat="1" ht="19.5" customHeight="1">
      <c r="A33" s="70"/>
      <c r="B33" s="122"/>
      <c r="C33" s="66"/>
      <c r="D33" s="78"/>
      <c r="E33" s="78"/>
      <c r="F33" s="78"/>
      <c r="G33" s="78"/>
      <c r="H33" s="78"/>
      <c r="I33" s="78"/>
      <c r="J33" s="78"/>
      <c r="K33" s="79"/>
      <c r="L33" s="105"/>
      <c r="M33" s="88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  <c r="AA33" s="342"/>
      <c r="AB33" s="342"/>
      <c r="AC33" s="90"/>
      <c r="AD33" s="6"/>
    </row>
    <row r="34" spans="1:30" ht="21" customHeight="1">
      <c r="A34" s="51"/>
      <c r="B34" s="312"/>
      <c r="C34" s="312" t="s">
        <v>121</v>
      </c>
      <c r="D34" s="54">
        <v>14</v>
      </c>
      <c r="E34" s="43">
        <f>SUM(F34:J34)</f>
        <v>17.5</v>
      </c>
      <c r="F34" s="43">
        <f>AB35/1000</f>
        <v>9</v>
      </c>
      <c r="G34" s="43">
        <v>0</v>
      </c>
      <c r="H34" s="43">
        <f>AB36/1000</f>
        <v>7</v>
      </c>
      <c r="I34" s="43">
        <f>AB37/1000</f>
        <v>1.5</v>
      </c>
      <c r="J34" s="43">
        <v>0</v>
      </c>
      <c r="K34" s="55">
        <f>E34-D34</f>
        <v>3.5</v>
      </c>
      <c r="L34" s="45">
        <f>IF(D34=0,0,K34/D34)</f>
        <v>0.25</v>
      </c>
      <c r="M34" s="123" t="s">
        <v>84</v>
      </c>
      <c r="N34" s="221"/>
      <c r="O34" s="220"/>
      <c r="P34" s="220"/>
      <c r="Q34" s="220"/>
      <c r="R34" s="220"/>
      <c r="S34" s="220"/>
      <c r="T34" s="220"/>
      <c r="U34" s="220" t="s">
        <v>118</v>
      </c>
      <c r="V34" s="220"/>
      <c r="W34" s="220"/>
      <c r="X34" s="220"/>
      <c r="Y34" s="220"/>
      <c r="Z34" s="220"/>
      <c r="AA34" s="58"/>
      <c r="AB34" s="58">
        <f>AB35+AB36+AB37</f>
        <v>17500</v>
      </c>
      <c r="AC34" s="40" t="s">
        <v>25</v>
      </c>
    </row>
    <row r="35" spans="1:30" ht="21" customHeight="1">
      <c r="A35" s="51"/>
      <c r="B35" s="341"/>
      <c r="C35" s="341" t="s">
        <v>270</v>
      </c>
      <c r="D35" s="54"/>
      <c r="E35" s="54"/>
      <c r="F35" s="54"/>
      <c r="G35" s="54"/>
      <c r="H35" s="54"/>
      <c r="I35" s="54"/>
      <c r="J35" s="54"/>
      <c r="K35" s="55"/>
      <c r="L35" s="37"/>
      <c r="M35" s="261" t="s">
        <v>271</v>
      </c>
      <c r="N35" s="344"/>
      <c r="O35" s="343"/>
      <c r="P35" s="343"/>
      <c r="Q35" s="343"/>
      <c r="R35" s="343"/>
      <c r="S35" s="343"/>
      <c r="T35" s="343"/>
      <c r="U35" s="343"/>
      <c r="V35" s="343"/>
      <c r="W35" s="343"/>
      <c r="X35" s="343"/>
      <c r="Y35" s="343"/>
      <c r="Z35" s="343"/>
      <c r="AA35" s="84"/>
      <c r="AB35" s="84">
        <v>9000</v>
      </c>
      <c r="AC35" s="64" t="s">
        <v>25</v>
      </c>
    </row>
    <row r="36" spans="1:30" ht="21" customHeight="1">
      <c r="A36" s="51"/>
      <c r="B36" s="341"/>
      <c r="C36" s="341"/>
      <c r="D36" s="54"/>
      <c r="E36" s="54"/>
      <c r="F36" s="54"/>
      <c r="G36" s="54"/>
      <c r="H36" s="54"/>
      <c r="I36" s="54"/>
      <c r="J36" s="54"/>
      <c r="K36" s="55"/>
      <c r="L36" s="37"/>
      <c r="M36" s="83" t="s">
        <v>272</v>
      </c>
      <c r="N36" s="344"/>
      <c r="O36" s="343"/>
      <c r="P36" s="343"/>
      <c r="Q36" s="343"/>
      <c r="R36" s="343"/>
      <c r="S36" s="343"/>
      <c r="T36" s="343"/>
      <c r="U36" s="343"/>
      <c r="V36" s="343"/>
      <c r="W36" s="343"/>
      <c r="X36" s="343"/>
      <c r="Y36" s="343"/>
      <c r="Z36" s="343"/>
      <c r="AA36" s="84"/>
      <c r="AB36" s="84">
        <v>7000</v>
      </c>
      <c r="AC36" s="64" t="s">
        <v>25</v>
      </c>
    </row>
    <row r="37" spans="1:30" s="12" customFormat="1" ht="19.5" customHeight="1" thickBot="1">
      <c r="A37" s="321"/>
      <c r="B37" s="125"/>
      <c r="C37" s="126"/>
      <c r="D37" s="127"/>
      <c r="E37" s="127"/>
      <c r="F37" s="127"/>
      <c r="G37" s="127"/>
      <c r="H37" s="127"/>
      <c r="I37" s="127"/>
      <c r="J37" s="127"/>
      <c r="K37" s="128"/>
      <c r="L37" s="129"/>
      <c r="M37" s="80" t="s">
        <v>273</v>
      </c>
      <c r="N37" s="82"/>
      <c r="O37" s="82"/>
      <c r="P37" s="82"/>
      <c r="Q37" s="82"/>
      <c r="R37" s="82"/>
      <c r="S37" s="82"/>
      <c r="T37" s="82"/>
      <c r="U37" s="559"/>
      <c r="V37" s="559"/>
      <c r="W37" s="82"/>
      <c r="X37" s="82"/>
      <c r="Y37" s="82"/>
      <c r="Z37" s="82"/>
      <c r="AA37" s="82"/>
      <c r="AB37" s="82">
        <v>1500</v>
      </c>
      <c r="AC37" s="350" t="s">
        <v>25</v>
      </c>
      <c r="AD37" s="6"/>
    </row>
    <row r="48" spans="1:30" ht="19.5" customHeight="1">
      <c r="AD48" s="6" t="s">
        <v>64</v>
      </c>
    </row>
  </sheetData>
  <mergeCells count="9">
    <mergeCell ref="B7:C7"/>
    <mergeCell ref="U37:V37"/>
    <mergeCell ref="K2:L2"/>
    <mergeCell ref="M2:AC3"/>
    <mergeCell ref="A1:C1"/>
    <mergeCell ref="A2:C2"/>
    <mergeCell ref="D2:D3"/>
    <mergeCell ref="E2:J2"/>
    <mergeCell ref="A4:C4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>
    <oddFooter>&amp;R&amp;10장애인공동생활가정 바르나바의 집</oddFooter>
    <firstFooter>&amp;R장애인공동생활가정 바르나바의 집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187"/>
  <sheetViews>
    <sheetView zoomScale="85" zoomScaleNormal="85" zoomScaleSheetLayoutView="7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H190" sqref="H190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14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13.77734375" style="4"/>
  </cols>
  <sheetData>
    <row r="1" spans="1:33" s="12" customFormat="1" ht="21" customHeight="1" thickBot="1">
      <c r="A1" s="564" t="s">
        <v>267</v>
      </c>
      <c r="B1" s="564"/>
      <c r="C1" s="564"/>
      <c r="D1" s="130"/>
      <c r="E1" s="130"/>
      <c r="F1" s="130"/>
      <c r="G1" s="130"/>
      <c r="H1" s="130"/>
      <c r="I1" s="130"/>
      <c r="J1" s="130"/>
      <c r="K1" s="130"/>
      <c r="L1" s="197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3" s="3" customFormat="1" ht="21" customHeight="1">
      <c r="A2" s="565" t="s">
        <v>22</v>
      </c>
      <c r="B2" s="566"/>
      <c r="C2" s="566"/>
      <c r="D2" s="567" t="s">
        <v>441</v>
      </c>
      <c r="E2" s="569" t="s">
        <v>440</v>
      </c>
      <c r="F2" s="570"/>
      <c r="G2" s="570"/>
      <c r="H2" s="570"/>
      <c r="I2" s="570"/>
      <c r="J2" s="570"/>
      <c r="K2" s="560" t="s">
        <v>23</v>
      </c>
      <c r="L2" s="560"/>
      <c r="M2" s="580" t="s">
        <v>54</v>
      </c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581"/>
      <c r="Y2" s="581"/>
      <c r="Z2" s="581"/>
      <c r="AA2" s="581"/>
      <c r="AB2" s="581"/>
      <c r="AC2" s="581"/>
      <c r="AD2" s="582"/>
    </row>
    <row r="3" spans="1:33" s="3" customFormat="1" ht="30.75" customHeight="1" thickBot="1">
      <c r="A3" s="25" t="s">
        <v>1</v>
      </c>
      <c r="B3" s="26" t="s">
        <v>2</v>
      </c>
      <c r="C3" s="26" t="s">
        <v>3</v>
      </c>
      <c r="D3" s="568"/>
      <c r="E3" s="186" t="s">
        <v>124</v>
      </c>
      <c r="F3" s="304" t="s">
        <v>231</v>
      </c>
      <c r="G3" s="235" t="s">
        <v>159</v>
      </c>
      <c r="H3" s="186" t="s">
        <v>114</v>
      </c>
      <c r="I3" s="280" t="s">
        <v>212</v>
      </c>
      <c r="J3" s="186" t="s">
        <v>116</v>
      </c>
      <c r="K3" s="185" t="s">
        <v>125</v>
      </c>
      <c r="L3" s="131" t="s">
        <v>4</v>
      </c>
      <c r="M3" s="583"/>
      <c r="N3" s="584"/>
      <c r="O3" s="584"/>
      <c r="P3" s="584"/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D3" s="585"/>
    </row>
    <row r="4" spans="1:33" s="12" customFormat="1" ht="21" customHeight="1">
      <c r="A4" s="594" t="s">
        <v>32</v>
      </c>
      <c r="B4" s="595"/>
      <c r="C4" s="595"/>
      <c r="D4" s="194">
        <v>67450</v>
      </c>
      <c r="E4" s="194">
        <f>SUM(F4,G4,H4,J4,I4)</f>
        <v>66582.596000000005</v>
      </c>
      <c r="F4" s="194">
        <f>SUM(F5,F103,F117,F184,F176)</f>
        <v>48146.131000000001</v>
      </c>
      <c r="G4" s="194">
        <f>SUM(G5,G103,G117,G176,G184)</f>
        <v>3030</v>
      </c>
      <c r="H4" s="194">
        <f>SUM(H5,H103,H117,H176,H184)</f>
        <v>13570.523999999999</v>
      </c>
      <c r="I4" s="194">
        <f>SUM(I5,I103,I117,I176,I184)</f>
        <v>1351.8710000000001</v>
      </c>
      <c r="J4" s="194">
        <f>SUM(J5,J103,J117,J176,J184)</f>
        <v>484.07</v>
      </c>
      <c r="K4" s="193">
        <f>E4-D4</f>
        <v>-867.40399999999499</v>
      </c>
      <c r="L4" s="195">
        <f>IF(D4=0,0,K4/D4)</f>
        <v>-1.2859955522609266E-2</v>
      </c>
      <c r="M4" s="352" t="s">
        <v>140</v>
      </c>
      <c r="N4" s="353"/>
      <c r="O4" s="353"/>
      <c r="P4" s="353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>
        <f>SUM(AC5,AC103,AC117,AC176,AC184,AC180)</f>
        <v>66582596</v>
      </c>
      <c r="AD4" s="355" t="s">
        <v>25</v>
      </c>
      <c r="AE4" s="2"/>
    </row>
    <row r="5" spans="1:33" s="12" customFormat="1" ht="21" customHeight="1">
      <c r="A5" s="136" t="s">
        <v>6</v>
      </c>
      <c r="B5" s="592" t="s">
        <v>7</v>
      </c>
      <c r="C5" s="593"/>
      <c r="D5" s="191">
        <v>43784</v>
      </c>
      <c r="E5" s="191">
        <f>SUM(E6,E61,E71)</f>
        <v>42069.71</v>
      </c>
      <c r="F5" s="191">
        <f>SUM(F6,F61,F71)</f>
        <v>38859.095000000001</v>
      </c>
      <c r="G5" s="191">
        <f>SUM(G6,G61,G71)</f>
        <v>1380</v>
      </c>
      <c r="H5" s="191">
        <f>SUM(H6,H61,H71)</f>
        <v>1800</v>
      </c>
      <c r="I5" s="191">
        <f>SUM(I6,I61,I71)</f>
        <v>0</v>
      </c>
      <c r="J5" s="191">
        <f>J6+J61+J71</f>
        <v>30</v>
      </c>
      <c r="K5" s="132">
        <f>E5-D5</f>
        <v>-1714.2900000000009</v>
      </c>
      <c r="L5" s="196">
        <f>IF(D5=0,0,K5/D5)</f>
        <v>-3.9153343687191686E-2</v>
      </c>
      <c r="M5" s="356" t="s">
        <v>139</v>
      </c>
      <c r="N5" s="356"/>
      <c r="O5" s="356"/>
      <c r="P5" s="356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>
        <f>SUM(AC6,AC61,AC71)</f>
        <v>42069095</v>
      </c>
      <c r="AD5" s="358" t="s">
        <v>25</v>
      </c>
      <c r="AE5" s="2"/>
    </row>
    <row r="6" spans="1:33" s="12" customFormat="1" ht="21" customHeight="1">
      <c r="A6" s="51"/>
      <c r="B6" s="42" t="s">
        <v>8</v>
      </c>
      <c r="C6" s="199" t="s">
        <v>5</v>
      </c>
      <c r="D6" s="198">
        <v>36881</v>
      </c>
      <c r="E6" s="198">
        <f>SUM(E7,E58,E11,E29,E33)</f>
        <v>36054.71</v>
      </c>
      <c r="F6" s="198">
        <f>F7+F11+F29+F33</f>
        <v>34674.71</v>
      </c>
      <c r="G6" s="198">
        <f>SUM(G7,G11,G29,G33,G58)</f>
        <v>1380</v>
      </c>
      <c r="H6" s="198">
        <f>SUM(H7,H11,H29,H33)</f>
        <v>0</v>
      </c>
      <c r="I6" s="198">
        <v>0</v>
      </c>
      <c r="J6" s="198">
        <f>SUM(J7,J11,J29,J33)</f>
        <v>0</v>
      </c>
      <c r="K6" s="200">
        <f>E6-D6</f>
        <v>-826.29000000000087</v>
      </c>
      <c r="L6" s="201">
        <f>IF(D6=0,0,K6/D6)</f>
        <v>-2.2404218974539758E-2</v>
      </c>
      <c r="M6" s="202" t="s">
        <v>138</v>
      </c>
      <c r="N6" s="202"/>
      <c r="O6" s="202"/>
      <c r="P6" s="202"/>
      <c r="Q6" s="203"/>
      <c r="R6" s="276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>
        <f>SUM(AC7,AC11,AC29,AC33,AC58)</f>
        <v>36054710</v>
      </c>
      <c r="AD6" s="204" t="s">
        <v>25</v>
      </c>
      <c r="AE6" s="2"/>
    </row>
    <row r="7" spans="1:33" s="12" customFormat="1" ht="21" customHeight="1">
      <c r="A7" s="51"/>
      <c r="B7" s="52"/>
      <c r="C7" s="42" t="s">
        <v>33</v>
      </c>
      <c r="D7" s="138">
        <v>23411</v>
      </c>
      <c r="E7" s="138">
        <f>F7</f>
        <v>23246.400000000001</v>
      </c>
      <c r="F7" s="138">
        <f>AC7/1000</f>
        <v>23246.400000000001</v>
      </c>
      <c r="G7" s="138">
        <v>0</v>
      </c>
      <c r="H7" s="138">
        <v>0</v>
      </c>
      <c r="I7" s="138"/>
      <c r="J7" s="138">
        <v>0</v>
      </c>
      <c r="K7" s="137">
        <f>E7-D7</f>
        <v>-164.59999999999854</v>
      </c>
      <c r="L7" s="145">
        <f>IF(D7=0,0,K7/D7)</f>
        <v>-7.0308829182862131E-3</v>
      </c>
      <c r="M7" s="239" t="s">
        <v>85</v>
      </c>
      <c r="N7" s="239"/>
      <c r="O7" s="225"/>
      <c r="P7" s="225"/>
      <c r="Q7" s="225"/>
      <c r="R7" s="225"/>
      <c r="S7" s="224"/>
      <c r="T7" s="224"/>
      <c r="U7" s="224"/>
      <c r="V7" s="238" t="s">
        <v>126</v>
      </c>
      <c r="W7" s="238"/>
      <c r="X7" s="238"/>
      <c r="Y7" s="238"/>
      <c r="Z7" s="238"/>
      <c r="AA7" s="238"/>
      <c r="AB7" s="205"/>
      <c r="AC7" s="205">
        <f>SUM(AC8:AC10)</f>
        <v>23246400</v>
      </c>
      <c r="AD7" s="204" t="s">
        <v>57</v>
      </c>
      <c r="AE7" s="1"/>
      <c r="AF7" s="369">
        <f>세입!AE7</f>
        <v>51176131</v>
      </c>
    </row>
    <row r="8" spans="1:33" s="12" customFormat="1" ht="21" customHeight="1">
      <c r="A8" s="51"/>
      <c r="B8" s="52"/>
      <c r="C8" s="52"/>
      <c r="D8" s="254"/>
      <c r="E8" s="254"/>
      <c r="F8" s="254"/>
      <c r="G8" s="254"/>
      <c r="H8" s="254"/>
      <c r="I8" s="254"/>
      <c r="J8" s="254"/>
      <c r="K8" s="133"/>
      <c r="L8" s="87"/>
      <c r="M8" s="85" t="s">
        <v>164</v>
      </c>
      <c r="N8" s="255" t="s">
        <v>235</v>
      </c>
      <c r="O8" s="236"/>
      <c r="P8" s="236"/>
      <c r="Q8" s="85">
        <v>1998000</v>
      </c>
      <c r="R8" s="85"/>
      <c r="S8" s="86" t="s">
        <v>160</v>
      </c>
      <c r="T8" s="86" t="s">
        <v>161</v>
      </c>
      <c r="U8" s="86">
        <v>1</v>
      </c>
      <c r="V8" s="86" t="s">
        <v>162</v>
      </c>
      <c r="W8" s="86" t="s">
        <v>161</v>
      </c>
      <c r="X8" s="256">
        <v>5</v>
      </c>
      <c r="Y8" s="86" t="s">
        <v>29</v>
      </c>
      <c r="Z8" s="86" t="s">
        <v>163</v>
      </c>
      <c r="AA8" s="339" t="s">
        <v>262</v>
      </c>
      <c r="AB8" s="84"/>
      <c r="AC8" s="84">
        <f t="shared" ref="AC8:AC10" si="0">Q8*U8*X8</f>
        <v>9990000</v>
      </c>
      <c r="AD8" s="64" t="s">
        <v>25</v>
      </c>
      <c r="AE8" s="1"/>
      <c r="AF8" s="14">
        <f>AC8+AC9+AC10+AC13+AC14+AC17+AC18+AC21+AC22+AC23+AC24+AC26+AC27+AC30+AC34+AC35+AC36+AC38+AC39+AC40+AC41+AC42+AC44+AC46+AC47+AC48+AC49+AC50+AC52+AC53+AC54+AC55+AC56+AC59+AC76+AC77+AC81+AC83+AC88+AC89+AC90+AC91+AC101+AC110+AC120+AC122+AC126+AC133+AC137+AC177+AC185+AC82</f>
        <v>51176131</v>
      </c>
      <c r="AG8" s="369">
        <f>AF7-AF8</f>
        <v>0</v>
      </c>
    </row>
    <row r="9" spans="1:33" s="12" customFormat="1" ht="21" customHeight="1">
      <c r="A9" s="51"/>
      <c r="B9" s="346"/>
      <c r="C9" s="346"/>
      <c r="D9" s="254"/>
      <c r="E9" s="254"/>
      <c r="F9" s="254"/>
      <c r="G9" s="254"/>
      <c r="H9" s="254"/>
      <c r="I9" s="254"/>
      <c r="J9" s="254"/>
      <c r="K9" s="133"/>
      <c r="L9" s="87"/>
      <c r="M9" s="85"/>
      <c r="N9" s="255" t="s">
        <v>235</v>
      </c>
      <c r="O9" s="351"/>
      <c r="P9" s="351"/>
      <c r="Q9" s="85">
        <v>1598400</v>
      </c>
      <c r="R9" s="85"/>
      <c r="S9" s="86" t="s">
        <v>25</v>
      </c>
      <c r="T9" s="86" t="s">
        <v>26</v>
      </c>
      <c r="U9" s="86">
        <v>1</v>
      </c>
      <c r="V9" s="86" t="s">
        <v>143</v>
      </c>
      <c r="W9" s="86" t="s">
        <v>26</v>
      </c>
      <c r="X9" s="256">
        <v>1</v>
      </c>
      <c r="Y9" s="86" t="s">
        <v>29</v>
      </c>
      <c r="Z9" s="86" t="s">
        <v>27</v>
      </c>
      <c r="AA9" s="351" t="s">
        <v>280</v>
      </c>
      <c r="AB9" s="84"/>
      <c r="AC9" s="84">
        <f t="shared" ref="AC9" si="1">Q9*U9*X9</f>
        <v>1598400</v>
      </c>
      <c r="AD9" s="64" t="s">
        <v>25</v>
      </c>
      <c r="AE9" s="1"/>
    </row>
    <row r="10" spans="1:33" s="12" customFormat="1" ht="21" customHeight="1">
      <c r="A10" s="51"/>
      <c r="B10" s="52"/>
      <c r="C10" s="66"/>
      <c r="D10" s="135"/>
      <c r="E10" s="135"/>
      <c r="F10" s="135"/>
      <c r="G10" s="135"/>
      <c r="H10" s="135"/>
      <c r="I10" s="135"/>
      <c r="J10" s="135"/>
      <c r="K10" s="135"/>
      <c r="L10" s="105"/>
      <c r="M10" s="85"/>
      <c r="N10" s="255" t="s">
        <v>281</v>
      </c>
      <c r="O10" s="236"/>
      <c r="P10" s="236"/>
      <c r="Q10" s="85">
        <v>1943000</v>
      </c>
      <c r="R10" s="85"/>
      <c r="S10" s="86" t="s">
        <v>160</v>
      </c>
      <c r="T10" s="86" t="s">
        <v>161</v>
      </c>
      <c r="U10" s="86">
        <v>1</v>
      </c>
      <c r="V10" s="86" t="s">
        <v>162</v>
      </c>
      <c r="W10" s="86" t="s">
        <v>161</v>
      </c>
      <c r="X10" s="256">
        <v>6</v>
      </c>
      <c r="Y10" s="86" t="s">
        <v>29</v>
      </c>
      <c r="Z10" s="86" t="s">
        <v>163</v>
      </c>
      <c r="AA10" s="339" t="s">
        <v>262</v>
      </c>
      <c r="AB10" s="84"/>
      <c r="AC10" s="84">
        <f t="shared" si="0"/>
        <v>11658000</v>
      </c>
      <c r="AD10" s="64" t="s">
        <v>25</v>
      </c>
      <c r="AE10" s="1"/>
      <c r="AF10" s="369">
        <f>세입!AE9</f>
        <v>13570524</v>
      </c>
    </row>
    <row r="11" spans="1:33" s="12" customFormat="1" ht="21" customHeight="1">
      <c r="A11" s="51"/>
      <c r="B11" s="52"/>
      <c r="C11" s="42" t="s">
        <v>34</v>
      </c>
      <c r="D11" s="138">
        <v>7741</v>
      </c>
      <c r="E11" s="138">
        <f>F11+G11+H11+J11</f>
        <v>7590.6</v>
      </c>
      <c r="F11" s="138">
        <f>SUM(명절휴가비,AC16,AC20)/1000</f>
        <v>6410.6</v>
      </c>
      <c r="G11" s="138">
        <f>SUM(AC25)/1000</f>
        <v>1180</v>
      </c>
      <c r="H11" s="138">
        <v>0</v>
      </c>
      <c r="I11" s="138">
        <v>0</v>
      </c>
      <c r="J11" s="138">
        <f>0</f>
        <v>0</v>
      </c>
      <c r="K11" s="137">
        <f>E11-D11</f>
        <v>-150.39999999999964</v>
      </c>
      <c r="L11" s="145">
        <f>IF(D11=0,0,K11/D11)</f>
        <v>-1.9429014339232609E-2</v>
      </c>
      <c r="M11" s="121" t="s">
        <v>35</v>
      </c>
      <c r="N11" s="202"/>
      <c r="O11" s="117"/>
      <c r="P11" s="117"/>
      <c r="Q11" s="117"/>
      <c r="R11" s="225"/>
      <c r="S11" s="110"/>
      <c r="T11" s="110"/>
      <c r="U11" s="110"/>
      <c r="V11" s="203" t="s">
        <v>126</v>
      </c>
      <c r="W11" s="203"/>
      <c r="X11" s="203"/>
      <c r="Y11" s="203"/>
      <c r="Z11" s="203"/>
      <c r="AA11" s="203"/>
      <c r="AB11" s="205"/>
      <c r="AC11" s="205">
        <f>SUM(명절휴가비,연장근로수당,AC16,AC25)</f>
        <v>7590600</v>
      </c>
      <c r="AD11" s="204" t="s">
        <v>57</v>
      </c>
      <c r="AE11" s="1"/>
      <c r="AF11" s="369">
        <f>AC63+AC68+AC78+AC84+AC85+AC93+AC94+AC95+AC98+AC102+AC111+AC112+AC113+AC121+AC127+AC130+AC134+AC138+AC92+AC96+AC142+AC150+AC153+AC156+AC159+AC165+AC169+AC172</f>
        <v>13570524</v>
      </c>
      <c r="AG11" s="369">
        <f>AF10-AF11</f>
        <v>0</v>
      </c>
    </row>
    <row r="12" spans="1:33" s="12" customFormat="1" ht="21" customHeight="1">
      <c r="A12" s="51"/>
      <c r="B12" s="52"/>
      <c r="C12" s="52"/>
      <c r="D12" s="133"/>
      <c r="E12" s="133"/>
      <c r="F12" s="133"/>
      <c r="G12" s="133"/>
      <c r="H12" s="133"/>
      <c r="I12" s="133"/>
      <c r="J12" s="133"/>
      <c r="K12" s="133"/>
      <c r="L12" s="87"/>
      <c r="M12" s="338" t="s">
        <v>261</v>
      </c>
      <c r="N12" s="153"/>
      <c r="O12" s="153"/>
      <c r="P12" s="153"/>
      <c r="Q12" s="153"/>
      <c r="R12" s="279"/>
      <c r="S12" s="152"/>
      <c r="T12" s="152"/>
      <c r="U12" s="152"/>
      <c r="V12" s="162" t="s">
        <v>72</v>
      </c>
      <c r="W12" s="162"/>
      <c r="X12" s="162"/>
      <c r="Y12" s="162"/>
      <c r="Z12" s="162"/>
      <c r="AA12" s="162"/>
      <c r="AB12" s="89" t="s">
        <v>90</v>
      </c>
      <c r="AC12" s="89">
        <f>SUM(AC13:AC14)</f>
        <v>2364600</v>
      </c>
      <c r="AD12" s="90" t="s">
        <v>57</v>
      </c>
      <c r="AE12" s="18"/>
    </row>
    <row r="13" spans="1:33" s="12" customFormat="1" ht="21" customHeight="1">
      <c r="A13" s="51"/>
      <c r="B13" s="52"/>
      <c r="C13" s="52"/>
      <c r="D13" s="133"/>
      <c r="E13" s="133"/>
      <c r="F13" s="133"/>
      <c r="G13" s="133"/>
      <c r="H13" s="133"/>
      <c r="I13" s="133"/>
      <c r="J13" s="133"/>
      <c r="K13" s="133"/>
      <c r="L13" s="87"/>
      <c r="M13" s="261" t="s">
        <v>200</v>
      </c>
      <c r="N13" s="274" t="str">
        <f>N8</f>
        <v>5호</v>
      </c>
      <c r="O13" s="153"/>
      <c r="P13" s="153"/>
      <c r="Q13" s="85">
        <f>Q8</f>
        <v>1998000</v>
      </c>
      <c r="R13" s="85"/>
      <c r="S13" s="86" t="s">
        <v>160</v>
      </c>
      <c r="T13" s="86" t="s">
        <v>161</v>
      </c>
      <c r="U13" s="257">
        <v>1</v>
      </c>
      <c r="V13" s="86" t="s">
        <v>161</v>
      </c>
      <c r="W13" s="258">
        <v>0.6</v>
      </c>
      <c r="X13" s="259">
        <v>1</v>
      </c>
      <c r="Y13" s="260" t="s">
        <v>165</v>
      </c>
      <c r="Z13" s="86" t="s">
        <v>163</v>
      </c>
      <c r="AA13" s="339" t="s">
        <v>262</v>
      </c>
      <c r="AB13" s="84"/>
      <c r="AC13" s="84">
        <f t="shared" ref="AC13" si="2">Q13*U13*W13*X13</f>
        <v>1198800</v>
      </c>
      <c r="AD13" s="64" t="s">
        <v>160</v>
      </c>
      <c r="AE13" s="18"/>
      <c r="AF13" s="369">
        <f>세입!AE11</f>
        <v>1351871</v>
      </c>
    </row>
    <row r="14" spans="1:33" s="12" customFormat="1" ht="21" customHeight="1">
      <c r="A14" s="51"/>
      <c r="B14" s="52"/>
      <c r="C14" s="52"/>
      <c r="D14" s="133"/>
      <c r="E14" s="133"/>
      <c r="F14" s="133"/>
      <c r="G14" s="133"/>
      <c r="H14" s="133"/>
      <c r="I14" s="133"/>
      <c r="J14" s="133"/>
      <c r="K14" s="133"/>
      <c r="L14" s="87"/>
      <c r="M14" s="331" t="s">
        <v>257</v>
      </c>
      <c r="N14" s="274" t="str">
        <f>N10</f>
        <v>4호</v>
      </c>
      <c r="O14" s="153"/>
      <c r="P14" s="153"/>
      <c r="Q14" s="85">
        <f>Q10</f>
        <v>1943000</v>
      </c>
      <c r="R14" s="85"/>
      <c r="S14" s="86" t="s">
        <v>160</v>
      </c>
      <c r="T14" s="86" t="s">
        <v>161</v>
      </c>
      <c r="U14" s="257">
        <v>1</v>
      </c>
      <c r="V14" s="86" t="s">
        <v>161</v>
      </c>
      <c r="W14" s="258">
        <v>0.6</v>
      </c>
      <c r="X14" s="259">
        <v>1</v>
      </c>
      <c r="Y14" s="260" t="s">
        <v>29</v>
      </c>
      <c r="Z14" s="86" t="s">
        <v>163</v>
      </c>
      <c r="AA14" s="339" t="s">
        <v>262</v>
      </c>
      <c r="AB14" s="84"/>
      <c r="AC14" s="84">
        <f>Q14*U14*W14*X14</f>
        <v>1165800</v>
      </c>
      <c r="AD14" s="64" t="s">
        <v>160</v>
      </c>
      <c r="AE14" s="18"/>
      <c r="AF14" s="14">
        <f>AC123+AC131</f>
        <v>1351871</v>
      </c>
      <c r="AG14" s="369">
        <f>AF13-AF14</f>
        <v>0</v>
      </c>
    </row>
    <row r="15" spans="1:33" s="12" customFormat="1" ht="21" customHeight="1">
      <c r="A15" s="51"/>
      <c r="B15" s="52"/>
      <c r="C15" s="52"/>
      <c r="D15" s="133"/>
      <c r="E15" s="133"/>
      <c r="F15" s="133"/>
      <c r="G15" s="133"/>
      <c r="H15" s="133"/>
      <c r="I15" s="133"/>
      <c r="J15" s="133"/>
      <c r="K15" s="133"/>
      <c r="L15" s="87"/>
      <c r="M15" s="270"/>
      <c r="N15" s="274"/>
      <c r="O15" s="270"/>
      <c r="P15" s="270"/>
      <c r="Q15" s="85"/>
      <c r="R15" s="85"/>
      <c r="S15" s="86"/>
      <c r="T15" s="86"/>
      <c r="U15" s="257"/>
      <c r="V15" s="86"/>
      <c r="W15" s="258"/>
      <c r="X15" s="259"/>
      <c r="Y15" s="260"/>
      <c r="Z15" s="86"/>
      <c r="AA15" s="269"/>
      <c r="AB15" s="84"/>
      <c r="AC15" s="84"/>
      <c r="AD15" s="64"/>
      <c r="AE15" s="18"/>
    </row>
    <row r="16" spans="1:33" s="12" customFormat="1" ht="21" customHeight="1">
      <c r="A16" s="51"/>
      <c r="B16" s="52"/>
      <c r="C16" s="52"/>
      <c r="D16" s="133"/>
      <c r="E16" s="133"/>
      <c r="F16" s="133"/>
      <c r="G16" s="133"/>
      <c r="H16" s="133"/>
      <c r="I16" s="133"/>
      <c r="J16" s="133"/>
      <c r="K16" s="133"/>
      <c r="L16" s="87"/>
      <c r="M16" s="266" t="s">
        <v>198</v>
      </c>
      <c r="N16" s="274"/>
      <c r="O16" s="270"/>
      <c r="P16" s="270"/>
      <c r="Q16" s="85"/>
      <c r="R16" s="85"/>
      <c r="S16" s="86"/>
      <c r="T16" s="86"/>
      <c r="U16" s="257"/>
      <c r="V16" s="265" t="s">
        <v>72</v>
      </c>
      <c r="W16" s="265"/>
      <c r="X16" s="265"/>
      <c r="Y16" s="265"/>
      <c r="Z16" s="265"/>
      <c r="AA16" s="265"/>
      <c r="AB16" s="89" t="s">
        <v>62</v>
      </c>
      <c r="AC16" s="89">
        <f>SUM(AC17:AC18)</f>
        <v>72000</v>
      </c>
      <c r="AD16" s="90" t="s">
        <v>57</v>
      </c>
      <c r="AE16" s="18"/>
    </row>
    <row r="17" spans="1:31" s="12" customFormat="1" ht="21" customHeight="1">
      <c r="A17" s="51"/>
      <c r="B17" s="52"/>
      <c r="C17" s="52"/>
      <c r="D17" s="133"/>
      <c r="E17" s="133"/>
      <c r="F17" s="133"/>
      <c r="G17" s="133"/>
      <c r="H17" s="133"/>
      <c r="I17" s="133"/>
      <c r="J17" s="133"/>
      <c r="K17" s="133"/>
      <c r="L17" s="87"/>
      <c r="M17" s="303" t="s">
        <v>227</v>
      </c>
      <c r="N17" s="274"/>
      <c r="O17" s="270"/>
      <c r="P17" s="270"/>
      <c r="Q17" s="85">
        <v>40000</v>
      </c>
      <c r="R17" s="85"/>
      <c r="S17" s="86" t="s">
        <v>201</v>
      </c>
      <c r="T17" s="86"/>
      <c r="U17" s="257"/>
      <c r="V17" s="86"/>
      <c r="W17" s="258"/>
      <c r="X17" s="259">
        <v>1</v>
      </c>
      <c r="Y17" s="260" t="s">
        <v>202</v>
      </c>
      <c r="Z17" s="86"/>
      <c r="AA17" s="269"/>
      <c r="AB17" s="84"/>
      <c r="AC17" s="84">
        <f>Q17*X17</f>
        <v>40000</v>
      </c>
      <c r="AD17" s="64" t="s">
        <v>203</v>
      </c>
      <c r="AE17" s="18"/>
    </row>
    <row r="18" spans="1:31" s="12" customFormat="1" ht="21" customHeight="1">
      <c r="A18" s="51"/>
      <c r="B18" s="346"/>
      <c r="C18" s="346"/>
      <c r="D18" s="133"/>
      <c r="E18" s="133"/>
      <c r="F18" s="133"/>
      <c r="G18" s="133"/>
      <c r="H18" s="133"/>
      <c r="I18" s="133"/>
      <c r="J18" s="133"/>
      <c r="K18" s="133"/>
      <c r="L18" s="87"/>
      <c r="M18" s="499"/>
      <c r="N18" s="274"/>
      <c r="O18" s="499"/>
      <c r="P18" s="499"/>
      <c r="Q18" s="85">
        <v>32000</v>
      </c>
      <c r="R18" s="85"/>
      <c r="S18" s="86" t="s">
        <v>57</v>
      </c>
      <c r="T18" s="86"/>
      <c r="U18" s="257"/>
      <c r="V18" s="86"/>
      <c r="W18" s="258"/>
      <c r="X18" s="259">
        <v>1</v>
      </c>
      <c r="Y18" s="260" t="s">
        <v>0</v>
      </c>
      <c r="Z18" s="86"/>
      <c r="AA18" s="498"/>
      <c r="AB18" s="84"/>
      <c r="AC18" s="84">
        <f>Q18*X18</f>
        <v>32000</v>
      </c>
      <c r="AD18" s="64" t="s">
        <v>57</v>
      </c>
      <c r="AE18" s="18"/>
    </row>
    <row r="19" spans="1:31" s="12" customFormat="1" ht="21" customHeight="1">
      <c r="A19" s="51"/>
      <c r="B19" s="52"/>
      <c r="C19" s="52"/>
      <c r="D19" s="133"/>
      <c r="E19" s="133"/>
      <c r="F19" s="133"/>
      <c r="G19" s="133"/>
      <c r="H19" s="133"/>
      <c r="I19" s="133"/>
      <c r="J19" s="133"/>
      <c r="K19" s="133"/>
      <c r="L19" s="87"/>
      <c r="M19" s="189"/>
      <c r="N19" s="153"/>
      <c r="O19" s="153"/>
      <c r="P19" s="153"/>
      <c r="Q19" s="153"/>
      <c r="R19" s="279"/>
      <c r="S19" s="152"/>
      <c r="T19" s="152"/>
      <c r="U19" s="152"/>
      <c r="V19" s="152"/>
      <c r="W19" s="152"/>
      <c r="X19" s="152"/>
      <c r="Y19" s="152"/>
      <c r="Z19" s="152"/>
      <c r="AA19" s="152"/>
      <c r="AB19" s="84"/>
      <c r="AC19" s="84"/>
      <c r="AD19" s="64"/>
      <c r="AE19" s="18"/>
    </row>
    <row r="20" spans="1:31" s="12" customFormat="1" ht="21" customHeight="1">
      <c r="A20" s="51"/>
      <c r="B20" s="52"/>
      <c r="C20" s="52"/>
      <c r="D20" s="133"/>
      <c r="E20" s="133"/>
      <c r="F20" s="133"/>
      <c r="G20" s="133"/>
      <c r="H20" s="133"/>
      <c r="I20" s="133"/>
      <c r="J20" s="133"/>
      <c r="K20" s="133"/>
      <c r="L20" s="87"/>
      <c r="M20" s="323" t="s">
        <v>233</v>
      </c>
      <c r="N20" s="153"/>
      <c r="O20" s="153"/>
      <c r="P20" s="153"/>
      <c r="Q20" s="153"/>
      <c r="R20" s="279"/>
      <c r="S20" s="152"/>
      <c r="T20" s="152"/>
      <c r="U20" s="152"/>
      <c r="V20" s="162" t="s">
        <v>72</v>
      </c>
      <c r="W20" s="162"/>
      <c r="X20" s="162"/>
      <c r="Y20" s="162"/>
      <c r="Z20" s="162"/>
      <c r="AA20" s="162"/>
      <c r="AB20" s="89" t="s">
        <v>90</v>
      </c>
      <c r="AC20" s="89">
        <f>SUM(AC21:AC24)</f>
        <v>3974000</v>
      </c>
      <c r="AD20" s="90" t="s">
        <v>57</v>
      </c>
      <c r="AE20" s="18"/>
    </row>
    <row r="21" spans="1:31" s="12" customFormat="1" ht="21" customHeight="1">
      <c r="A21" s="51"/>
      <c r="B21" s="52"/>
      <c r="C21" s="52"/>
      <c r="D21" s="133"/>
      <c r="E21" s="133"/>
      <c r="F21" s="133"/>
      <c r="G21" s="133"/>
      <c r="H21" s="133"/>
      <c r="I21" s="133"/>
      <c r="J21" s="133"/>
      <c r="K21" s="133"/>
      <c r="L21" s="87"/>
      <c r="M21" s="189"/>
      <c r="N21" s="274" t="str">
        <f>N8</f>
        <v>5호</v>
      </c>
      <c r="O21" s="236"/>
      <c r="P21" s="236"/>
      <c r="Q21" s="85">
        <f>Q8</f>
        <v>1998000</v>
      </c>
      <c r="R21" s="86" t="s">
        <v>57</v>
      </c>
      <c r="S21" s="86" t="s">
        <v>58</v>
      </c>
      <c r="T21" s="248">
        <v>25</v>
      </c>
      <c r="U21" s="91" t="s">
        <v>58</v>
      </c>
      <c r="V21" s="249">
        <v>4</v>
      </c>
      <c r="W21" s="250">
        <v>1.5</v>
      </c>
      <c r="X21" s="234" t="s">
        <v>73</v>
      </c>
      <c r="Y21" s="234">
        <v>209</v>
      </c>
      <c r="Z21" s="234" t="s">
        <v>53</v>
      </c>
      <c r="AA21" s="339" t="s">
        <v>262</v>
      </c>
      <c r="AB21" s="84"/>
      <c r="AC21" s="84">
        <f>ROUNDDOWN((Q21*W21/Y21),-1)*T21*V21</f>
        <v>1433000</v>
      </c>
      <c r="AD21" s="64" t="s">
        <v>57</v>
      </c>
      <c r="AE21" s="18"/>
    </row>
    <row r="22" spans="1:31" s="12" customFormat="1" ht="21" customHeight="1">
      <c r="A22" s="51"/>
      <c r="B22" s="346"/>
      <c r="C22" s="346"/>
      <c r="D22" s="133"/>
      <c r="E22" s="133"/>
      <c r="F22" s="133"/>
      <c r="G22" s="133"/>
      <c r="H22" s="133"/>
      <c r="I22" s="133"/>
      <c r="J22" s="133"/>
      <c r="K22" s="133"/>
      <c r="L22" s="87"/>
      <c r="M22" s="499"/>
      <c r="N22" s="274"/>
      <c r="O22" s="498"/>
      <c r="P22" s="498"/>
      <c r="Q22" s="85">
        <v>1998000</v>
      </c>
      <c r="R22" s="86" t="s">
        <v>57</v>
      </c>
      <c r="S22" s="86" t="s">
        <v>58</v>
      </c>
      <c r="T22" s="248">
        <v>17</v>
      </c>
      <c r="U22" s="91" t="s">
        <v>58</v>
      </c>
      <c r="V22" s="249">
        <v>1</v>
      </c>
      <c r="W22" s="250">
        <v>1.5</v>
      </c>
      <c r="X22" s="234" t="s">
        <v>73</v>
      </c>
      <c r="Y22" s="234">
        <v>209</v>
      </c>
      <c r="Z22" s="234" t="s">
        <v>53</v>
      </c>
      <c r="AA22" s="498" t="s">
        <v>97</v>
      </c>
      <c r="AB22" s="84"/>
      <c r="AC22" s="84">
        <f>ROUNDDOWN((Q22*W22/Y22),-1)*T22*V22</f>
        <v>243610</v>
      </c>
      <c r="AD22" s="64" t="s">
        <v>57</v>
      </c>
      <c r="AE22" s="18"/>
    </row>
    <row r="23" spans="1:31" s="12" customFormat="1" ht="21" customHeight="1">
      <c r="A23" s="51"/>
      <c r="B23" s="52"/>
      <c r="C23" s="52"/>
      <c r="D23" s="133"/>
      <c r="E23" s="133"/>
      <c r="F23" s="133"/>
      <c r="G23" s="133"/>
      <c r="H23" s="133"/>
      <c r="I23" s="133"/>
      <c r="J23" s="133"/>
      <c r="K23" s="133"/>
      <c r="L23" s="87"/>
      <c r="M23" s="189"/>
      <c r="N23" s="274">
        <v>5</v>
      </c>
      <c r="O23" s="220"/>
      <c r="P23" s="220"/>
      <c r="Q23" s="85">
        <f>Q9</f>
        <v>1598400</v>
      </c>
      <c r="R23" s="86" t="s">
        <v>57</v>
      </c>
      <c r="S23" s="86" t="s">
        <v>58</v>
      </c>
      <c r="T23" s="248">
        <v>18</v>
      </c>
      <c r="U23" s="91" t="s">
        <v>58</v>
      </c>
      <c r="V23" s="249">
        <v>1</v>
      </c>
      <c r="W23" s="250">
        <v>1.5</v>
      </c>
      <c r="X23" s="234" t="s">
        <v>73</v>
      </c>
      <c r="Y23" s="234">
        <v>209</v>
      </c>
      <c r="Z23" s="234" t="s">
        <v>53</v>
      </c>
      <c r="AA23" s="339" t="s">
        <v>262</v>
      </c>
      <c r="AB23" s="84"/>
      <c r="AC23" s="84">
        <v>206390</v>
      </c>
      <c r="AD23" s="64" t="s">
        <v>57</v>
      </c>
      <c r="AE23" s="18"/>
    </row>
    <row r="24" spans="1:31" s="12" customFormat="1" ht="21" customHeight="1">
      <c r="A24" s="51"/>
      <c r="B24" s="52"/>
      <c r="C24" s="52"/>
      <c r="D24" s="133"/>
      <c r="E24" s="133"/>
      <c r="F24" s="133"/>
      <c r="G24" s="133"/>
      <c r="H24" s="133"/>
      <c r="I24" s="133"/>
      <c r="J24" s="133"/>
      <c r="K24" s="133"/>
      <c r="L24" s="87"/>
      <c r="M24" s="189"/>
      <c r="N24" s="501" t="s">
        <v>281</v>
      </c>
      <c r="O24" s="56"/>
      <c r="P24" s="56"/>
      <c r="Q24" s="85">
        <f>Q10</f>
        <v>1943000</v>
      </c>
      <c r="R24" s="279" t="s">
        <v>25</v>
      </c>
      <c r="S24" s="57" t="s">
        <v>26</v>
      </c>
      <c r="T24" s="248">
        <v>25</v>
      </c>
      <c r="U24" s="91" t="s">
        <v>58</v>
      </c>
      <c r="V24" s="249">
        <v>6</v>
      </c>
      <c r="W24" s="250">
        <v>1.5</v>
      </c>
      <c r="X24" s="234" t="s">
        <v>73</v>
      </c>
      <c r="Y24" s="57">
        <v>209</v>
      </c>
      <c r="Z24" s="57" t="s">
        <v>27</v>
      </c>
      <c r="AA24" s="57" t="s">
        <v>280</v>
      </c>
      <c r="AB24" s="84"/>
      <c r="AC24" s="84">
        <f>ROUNDDOWN((Q24*W24/Y24),-1)*25*V24</f>
        <v>2091000</v>
      </c>
      <c r="AD24" s="64" t="s">
        <v>25</v>
      </c>
      <c r="AE24" s="18"/>
    </row>
    <row r="25" spans="1:31" s="12" customFormat="1" ht="21" customHeight="1">
      <c r="A25" s="51"/>
      <c r="B25" s="52"/>
      <c r="C25" s="52"/>
      <c r="D25" s="133"/>
      <c r="E25" s="133"/>
      <c r="F25" s="133"/>
      <c r="G25" s="133"/>
      <c r="H25" s="133"/>
      <c r="I25" s="133"/>
      <c r="J25" s="133"/>
      <c r="K25" s="133"/>
      <c r="L25" s="87"/>
      <c r="M25" s="266" t="s">
        <v>199</v>
      </c>
      <c r="N25" s="56"/>
      <c r="O25" s="56"/>
      <c r="P25" s="56"/>
      <c r="Q25" s="56"/>
      <c r="R25" s="279"/>
      <c r="S25" s="57"/>
      <c r="T25" s="57"/>
      <c r="U25" s="57"/>
      <c r="V25" s="97" t="s">
        <v>91</v>
      </c>
      <c r="W25" s="97"/>
      <c r="X25" s="97"/>
      <c r="Y25" s="97"/>
      <c r="Z25" s="97"/>
      <c r="AA25" s="97"/>
      <c r="AB25" s="89" t="s">
        <v>93</v>
      </c>
      <c r="AC25" s="89">
        <f>SUM(AC26:AC27)</f>
        <v>1180000</v>
      </c>
      <c r="AD25" s="90" t="s">
        <v>92</v>
      </c>
      <c r="AE25" s="18"/>
    </row>
    <row r="26" spans="1:31" s="12" customFormat="1" ht="21" customHeight="1">
      <c r="A26" s="51"/>
      <c r="B26" s="322"/>
      <c r="C26" s="322"/>
      <c r="D26" s="133"/>
      <c r="E26" s="133"/>
      <c r="F26" s="133"/>
      <c r="G26" s="133"/>
      <c r="H26" s="133"/>
      <c r="I26" s="133"/>
      <c r="J26" s="133"/>
      <c r="K26" s="133"/>
      <c r="L26" s="87"/>
      <c r="M26" s="325"/>
      <c r="N26" s="325"/>
      <c r="O26" s="325"/>
      <c r="P26" s="325"/>
      <c r="Q26" s="85">
        <v>100000</v>
      </c>
      <c r="R26" s="85"/>
      <c r="S26" s="86" t="s">
        <v>57</v>
      </c>
      <c r="T26" s="86" t="s">
        <v>58</v>
      </c>
      <c r="U26" s="86">
        <v>1</v>
      </c>
      <c r="V26" s="86" t="s">
        <v>56</v>
      </c>
      <c r="W26" s="86" t="s">
        <v>58</v>
      </c>
      <c r="X26" s="256">
        <v>11</v>
      </c>
      <c r="Y26" s="86" t="s">
        <v>29</v>
      </c>
      <c r="Z26" s="86" t="s">
        <v>53</v>
      </c>
      <c r="AA26" s="339" t="s">
        <v>262</v>
      </c>
      <c r="AB26" s="84"/>
      <c r="AC26" s="84">
        <f t="shared" ref="AC26" si="3">Q26*U26*X26</f>
        <v>1100000</v>
      </c>
      <c r="AD26" s="64" t="s">
        <v>25</v>
      </c>
      <c r="AE26" s="18"/>
    </row>
    <row r="27" spans="1:31" s="12" customFormat="1" ht="21" customHeight="1">
      <c r="A27" s="51"/>
      <c r="B27" s="52"/>
      <c r="C27" s="52"/>
      <c r="D27" s="133"/>
      <c r="E27" s="133"/>
      <c r="F27" s="133"/>
      <c r="G27" s="133"/>
      <c r="H27" s="133"/>
      <c r="I27" s="133"/>
      <c r="J27" s="133"/>
      <c r="K27" s="133"/>
      <c r="L27" s="87"/>
      <c r="M27" s="237"/>
      <c r="N27" s="237"/>
      <c r="O27" s="237"/>
      <c r="P27" s="237"/>
      <c r="Q27" s="85">
        <v>80000</v>
      </c>
      <c r="R27" s="85"/>
      <c r="S27" s="86" t="s">
        <v>57</v>
      </c>
      <c r="T27" s="86" t="s">
        <v>58</v>
      </c>
      <c r="U27" s="86">
        <v>1</v>
      </c>
      <c r="V27" s="86" t="s">
        <v>56</v>
      </c>
      <c r="W27" s="86" t="s">
        <v>58</v>
      </c>
      <c r="X27" s="256">
        <v>1</v>
      </c>
      <c r="Y27" s="86" t="s">
        <v>29</v>
      </c>
      <c r="Z27" s="86" t="s">
        <v>53</v>
      </c>
      <c r="AA27" s="498" t="s">
        <v>97</v>
      </c>
      <c r="AB27" s="84"/>
      <c r="AC27" s="84">
        <f t="shared" ref="AC27" si="4">Q27*U27*X27</f>
        <v>80000</v>
      </c>
      <c r="AD27" s="64" t="s">
        <v>25</v>
      </c>
      <c r="AE27" s="18"/>
    </row>
    <row r="28" spans="1:31" s="12" customFormat="1" ht="21" customHeight="1">
      <c r="A28" s="51"/>
      <c r="B28" s="52"/>
      <c r="C28" s="52"/>
      <c r="D28" s="133"/>
      <c r="E28" s="133"/>
      <c r="F28" s="133"/>
      <c r="G28" s="133"/>
      <c r="H28" s="133"/>
      <c r="I28" s="133"/>
      <c r="J28" s="133"/>
      <c r="K28" s="133"/>
      <c r="L28" s="87"/>
      <c r="M28" s="189"/>
      <c r="N28" s="56"/>
      <c r="O28" s="56"/>
      <c r="P28" s="56"/>
      <c r="Q28" s="57"/>
      <c r="R28" s="278"/>
      <c r="S28" s="61"/>
      <c r="T28" s="148"/>
      <c r="U28" s="61"/>
      <c r="V28" s="146"/>
      <c r="W28" s="146"/>
      <c r="X28" s="57"/>
      <c r="Y28" s="57"/>
      <c r="Z28" s="57"/>
      <c r="AA28" s="57"/>
      <c r="AB28" s="57"/>
      <c r="AC28" s="57"/>
      <c r="AD28" s="64"/>
      <c r="AE28" s="18"/>
    </row>
    <row r="29" spans="1:31" s="12" customFormat="1" ht="21" customHeight="1">
      <c r="A29" s="51"/>
      <c r="B29" s="52"/>
      <c r="C29" s="42" t="s">
        <v>9</v>
      </c>
      <c r="D29" s="138">
        <v>2596</v>
      </c>
      <c r="E29" s="138">
        <f>F29+G29+H29+J29</f>
        <v>2258.96</v>
      </c>
      <c r="F29" s="138">
        <f>AC30/1000</f>
        <v>2258.96</v>
      </c>
      <c r="G29" s="138">
        <v>0</v>
      </c>
      <c r="H29" s="138">
        <v>0</v>
      </c>
      <c r="I29" s="138">
        <v>0</v>
      </c>
      <c r="J29" s="138">
        <f>AC31/1000</f>
        <v>0</v>
      </c>
      <c r="K29" s="137">
        <f>E29-D29</f>
        <v>-337.03999999999996</v>
      </c>
      <c r="L29" s="145">
        <f>IF(D29=0,0,K29/D29)</f>
        <v>-0.12983050847457625</v>
      </c>
      <c r="M29" s="121" t="s">
        <v>36</v>
      </c>
      <c r="N29" s="202"/>
      <c r="O29" s="188"/>
      <c r="P29" s="117"/>
      <c r="Q29" s="117"/>
      <c r="R29" s="225"/>
      <c r="S29" s="110"/>
      <c r="T29" s="110"/>
      <c r="U29" s="110"/>
      <c r="V29" s="267" t="s">
        <v>192</v>
      </c>
      <c r="W29" s="267"/>
      <c r="X29" s="267"/>
      <c r="Y29" s="267"/>
      <c r="Z29" s="267"/>
      <c r="AA29" s="267"/>
      <c r="AB29" s="205" t="s">
        <v>193</v>
      </c>
      <c r="AC29" s="205">
        <f>AC30+AC31</f>
        <v>2258960</v>
      </c>
      <c r="AD29" s="204" t="s">
        <v>194</v>
      </c>
      <c r="AE29" s="2"/>
    </row>
    <row r="30" spans="1:31" s="12" customFormat="1" ht="21" customHeight="1">
      <c r="A30" s="51"/>
      <c r="B30" s="52"/>
      <c r="C30" s="52"/>
      <c r="D30" s="133"/>
      <c r="E30" s="133"/>
      <c r="F30" s="133"/>
      <c r="G30" s="133"/>
      <c r="H30" s="133"/>
      <c r="I30" s="133"/>
      <c r="J30" s="133"/>
      <c r="K30" s="139"/>
      <c r="L30" s="87"/>
      <c r="M30" s="270" t="s">
        <v>204</v>
      </c>
      <c r="N30" s="56"/>
      <c r="O30" s="56"/>
      <c r="P30" s="56"/>
      <c r="Q30" s="176">
        <f>AC7+명절휴가비+AC16+AC25+AC20</f>
        <v>30837000</v>
      </c>
      <c r="R30" s="278"/>
      <c r="S30" s="111" t="s">
        <v>57</v>
      </c>
      <c r="T30" s="111" t="s">
        <v>73</v>
      </c>
      <c r="U30" s="94">
        <v>12</v>
      </c>
      <c r="V30" s="91" t="s">
        <v>0</v>
      </c>
      <c r="W30" s="152"/>
      <c r="X30" s="152"/>
      <c r="Y30" s="152"/>
      <c r="Z30" s="152" t="s">
        <v>74</v>
      </c>
      <c r="AA30" s="339" t="s">
        <v>262</v>
      </c>
      <c r="AB30" s="84"/>
      <c r="AC30" s="84">
        <v>2258960</v>
      </c>
      <c r="AD30" s="64" t="s">
        <v>67</v>
      </c>
      <c r="AE30" s="2"/>
    </row>
    <row r="31" spans="1:31" s="12" customFormat="1" ht="21" customHeight="1">
      <c r="A31" s="51"/>
      <c r="B31" s="52"/>
      <c r="C31" s="52"/>
      <c r="D31" s="133"/>
      <c r="E31" s="133"/>
      <c r="F31" s="133"/>
      <c r="G31" s="133"/>
      <c r="H31" s="133"/>
      <c r="I31" s="133"/>
      <c r="J31" s="133"/>
      <c r="K31" s="139"/>
      <c r="L31" s="87"/>
      <c r="M31" s="270"/>
      <c r="N31" s="270"/>
      <c r="O31" s="270"/>
      <c r="P31" s="270"/>
      <c r="Q31" s="269"/>
      <c r="R31" s="278"/>
      <c r="S31" s="234"/>
      <c r="T31" s="234"/>
      <c r="U31" s="94"/>
      <c r="V31" s="91"/>
      <c r="W31" s="269"/>
      <c r="X31" s="269"/>
      <c r="Y31" s="269"/>
      <c r="Z31" s="269"/>
      <c r="AA31" s="269"/>
      <c r="AB31" s="84"/>
      <c r="AC31" s="84"/>
      <c r="AD31" s="64"/>
      <c r="AE31" s="2"/>
    </row>
    <row r="32" spans="1:31" s="12" customFormat="1" ht="21" customHeight="1">
      <c r="A32" s="51"/>
      <c r="B32" s="52"/>
      <c r="C32" s="52"/>
      <c r="D32" s="133"/>
      <c r="E32" s="133"/>
      <c r="F32" s="133"/>
      <c r="G32" s="133"/>
      <c r="H32" s="133"/>
      <c r="I32" s="133"/>
      <c r="J32" s="133"/>
      <c r="K32" s="139"/>
      <c r="L32" s="87"/>
      <c r="M32" s="38"/>
      <c r="N32" s="38"/>
      <c r="O32" s="38"/>
      <c r="P32" s="38"/>
      <c r="Q32" s="38"/>
      <c r="R32" s="221"/>
      <c r="S32" s="39"/>
      <c r="T32" s="39"/>
      <c r="U32" s="39"/>
      <c r="V32" s="39"/>
      <c r="W32" s="39"/>
      <c r="X32" s="39"/>
      <c r="Y32" s="39"/>
      <c r="Z32" s="39"/>
      <c r="AA32" s="39"/>
      <c r="AB32" s="58"/>
      <c r="AC32" s="58"/>
      <c r="AD32" s="40"/>
      <c r="AE32" s="2"/>
    </row>
    <row r="33" spans="1:31" s="12" customFormat="1" ht="21" customHeight="1">
      <c r="A33" s="51"/>
      <c r="B33" s="52"/>
      <c r="C33" s="149" t="s">
        <v>94</v>
      </c>
      <c r="D33" s="138">
        <v>2933</v>
      </c>
      <c r="E33" s="138">
        <f>F33</f>
        <v>2758.75</v>
      </c>
      <c r="F33" s="138">
        <f>AC33/1000</f>
        <v>2758.75</v>
      </c>
      <c r="G33" s="138">
        <v>0</v>
      </c>
      <c r="H33" s="138">
        <v>0</v>
      </c>
      <c r="I33" s="138">
        <v>0</v>
      </c>
      <c r="J33" s="138">
        <v>0</v>
      </c>
      <c r="K33" s="150">
        <f>E33-D33</f>
        <v>-174.25</v>
      </c>
      <c r="L33" s="145">
        <f>IF(D33=0,0,K33/D33)</f>
        <v>-5.9410160245482443E-2</v>
      </c>
      <c r="M33" s="121" t="s">
        <v>37</v>
      </c>
      <c r="N33" s="202"/>
      <c r="O33" s="117"/>
      <c r="P33" s="117"/>
      <c r="Q33" s="117"/>
      <c r="R33" s="225"/>
      <c r="S33" s="110"/>
      <c r="T33" s="110"/>
      <c r="U33" s="110"/>
      <c r="V33" s="203" t="s">
        <v>126</v>
      </c>
      <c r="W33" s="203"/>
      <c r="X33" s="203"/>
      <c r="Y33" s="291" t="s">
        <v>214</v>
      </c>
      <c r="Z33" s="203"/>
      <c r="AA33" s="203"/>
      <c r="AB33" s="205"/>
      <c r="AC33" s="205">
        <f>SUM(AC34:AC56)</f>
        <v>2758750</v>
      </c>
      <c r="AD33" s="204" t="s">
        <v>25</v>
      </c>
    </row>
    <row r="34" spans="1:31" s="12" customFormat="1" ht="21" customHeight="1">
      <c r="A34" s="51"/>
      <c r="B34" s="52"/>
      <c r="C34" s="296"/>
      <c r="D34" s="254"/>
      <c r="E34" s="254"/>
      <c r="F34" s="254"/>
      <c r="G34" s="254"/>
      <c r="H34" s="254"/>
      <c r="I34" s="254"/>
      <c r="J34" s="254"/>
      <c r="K34" s="297"/>
      <c r="L34" s="87"/>
      <c r="M34" s="293" t="s">
        <v>167</v>
      </c>
      <c r="N34" s="221"/>
      <c r="O34" s="221"/>
      <c r="P34" s="221"/>
      <c r="Q34" s="292">
        <v>111100</v>
      </c>
      <c r="R34" s="292"/>
      <c r="S34" s="234" t="s">
        <v>57</v>
      </c>
      <c r="T34" s="234" t="s">
        <v>26</v>
      </c>
      <c r="U34" s="504">
        <v>4</v>
      </c>
      <c r="V34" s="234" t="s">
        <v>434</v>
      </c>
      <c r="W34" s="290"/>
      <c r="X34" s="298"/>
      <c r="Y34" s="93"/>
      <c r="Z34" s="234" t="s">
        <v>53</v>
      </c>
      <c r="AA34" s="339" t="s">
        <v>262</v>
      </c>
      <c r="AB34" s="84"/>
      <c r="AC34" s="84">
        <f>Q34*U34</f>
        <v>444400</v>
      </c>
      <c r="AD34" s="64" t="s">
        <v>57</v>
      </c>
    </row>
    <row r="35" spans="1:31" s="12" customFormat="1" ht="21" customHeight="1">
      <c r="A35" s="51"/>
      <c r="B35" s="346"/>
      <c r="C35" s="296"/>
      <c r="D35" s="254"/>
      <c r="E35" s="254"/>
      <c r="F35" s="254"/>
      <c r="G35" s="254"/>
      <c r="H35" s="254"/>
      <c r="I35" s="254"/>
      <c r="J35" s="254"/>
      <c r="K35" s="297"/>
      <c r="L35" s="87"/>
      <c r="M35" s="501"/>
      <c r="N35" s="221"/>
      <c r="O35" s="221"/>
      <c r="P35" s="221"/>
      <c r="Q35" s="500">
        <v>121360</v>
      </c>
      <c r="R35" s="500"/>
      <c r="S35" s="234" t="s">
        <v>57</v>
      </c>
      <c r="T35" s="234" t="s">
        <v>26</v>
      </c>
      <c r="U35" s="504">
        <v>2</v>
      </c>
      <c r="V35" s="234" t="s">
        <v>434</v>
      </c>
      <c r="W35" s="290"/>
      <c r="X35" s="298"/>
      <c r="Y35" s="93"/>
      <c r="Z35" s="234" t="s">
        <v>53</v>
      </c>
      <c r="AA35" s="500" t="s">
        <v>97</v>
      </c>
      <c r="AB35" s="84"/>
      <c r="AC35" s="84">
        <f>Q35*U35</f>
        <v>242720</v>
      </c>
      <c r="AD35" s="64" t="s">
        <v>57</v>
      </c>
      <c r="AE35" s="14"/>
    </row>
    <row r="36" spans="1:31" s="12" customFormat="1" ht="21" customHeight="1">
      <c r="A36" s="51"/>
      <c r="B36" s="346"/>
      <c r="C36" s="296"/>
      <c r="D36" s="254"/>
      <c r="E36" s="254"/>
      <c r="F36" s="254"/>
      <c r="G36" s="254"/>
      <c r="H36" s="254"/>
      <c r="I36" s="254"/>
      <c r="J36" s="254"/>
      <c r="K36" s="297"/>
      <c r="L36" s="87"/>
      <c r="M36" s="501"/>
      <c r="N36" s="221"/>
      <c r="O36" s="221"/>
      <c r="P36" s="221"/>
      <c r="Q36" s="500">
        <v>107590</v>
      </c>
      <c r="R36" s="500"/>
      <c r="S36" s="234" t="s">
        <v>57</v>
      </c>
      <c r="T36" s="234" t="s">
        <v>26</v>
      </c>
      <c r="U36" s="504">
        <v>6</v>
      </c>
      <c r="V36" s="234" t="s">
        <v>434</v>
      </c>
      <c r="W36" s="290"/>
      <c r="X36" s="298"/>
      <c r="Y36" s="93"/>
      <c r="Z36" s="234" t="s">
        <v>53</v>
      </c>
      <c r="AA36" s="500" t="s">
        <v>97</v>
      </c>
      <c r="AB36" s="84"/>
      <c r="AC36" s="84">
        <f>Q36*U36</f>
        <v>645540</v>
      </c>
      <c r="AD36" s="64" t="s">
        <v>57</v>
      </c>
    </row>
    <row r="37" spans="1:31" s="12" customFormat="1" ht="21" customHeight="1">
      <c r="A37" s="51"/>
      <c r="B37" s="346"/>
      <c r="C37" s="296"/>
      <c r="D37" s="254"/>
      <c r="E37" s="254"/>
      <c r="F37" s="254"/>
      <c r="G37" s="254"/>
      <c r="H37" s="254"/>
      <c r="I37" s="254"/>
      <c r="J37" s="254"/>
      <c r="K37" s="297"/>
      <c r="L37" s="87"/>
      <c r="M37" s="501"/>
      <c r="N37" s="221"/>
      <c r="O37" s="221"/>
      <c r="P37" s="221"/>
      <c r="Q37" s="500"/>
      <c r="R37" s="500"/>
      <c r="S37" s="234"/>
      <c r="T37" s="234"/>
      <c r="U37" s="504"/>
      <c r="V37" s="234"/>
      <c r="W37" s="290"/>
      <c r="X37" s="298"/>
      <c r="Y37" s="93"/>
      <c r="Z37" s="234"/>
      <c r="AA37" s="500"/>
      <c r="AB37" s="84"/>
      <c r="AC37" s="84"/>
      <c r="AD37" s="64"/>
    </row>
    <row r="38" spans="1:31" s="12" customFormat="1" ht="21" customHeight="1">
      <c r="A38" s="51"/>
      <c r="B38" s="52"/>
      <c r="C38" s="52"/>
      <c r="D38" s="133"/>
      <c r="E38" s="133"/>
      <c r="F38" s="133"/>
      <c r="G38" s="133"/>
      <c r="H38" s="133"/>
      <c r="I38" s="133"/>
      <c r="J38" s="133"/>
      <c r="K38" s="133"/>
      <c r="L38" s="87"/>
      <c r="M38" s="501" t="s">
        <v>435</v>
      </c>
      <c r="N38" s="153"/>
      <c r="O38" s="153"/>
      <c r="P38" s="153"/>
      <c r="Q38" s="302">
        <v>79850</v>
      </c>
      <c r="R38" s="292"/>
      <c r="S38" s="234" t="s">
        <v>57</v>
      </c>
      <c r="T38" s="234" t="s">
        <v>26</v>
      </c>
      <c r="U38" s="504">
        <v>4</v>
      </c>
      <c r="V38" s="234" t="s">
        <v>434</v>
      </c>
      <c r="W38" s="290"/>
      <c r="X38" s="298"/>
      <c r="Y38" s="93"/>
      <c r="Z38" s="219" t="s">
        <v>53</v>
      </c>
      <c r="AA38" s="339" t="s">
        <v>262</v>
      </c>
      <c r="AB38" s="84"/>
      <c r="AC38" s="84">
        <f>Q38*U38</f>
        <v>319400</v>
      </c>
      <c r="AD38" s="64" t="s">
        <v>67</v>
      </c>
      <c r="AE38" s="2"/>
    </row>
    <row r="39" spans="1:31" s="12" customFormat="1" ht="21" customHeight="1">
      <c r="A39" s="51"/>
      <c r="B39" s="346"/>
      <c r="C39" s="346"/>
      <c r="D39" s="133"/>
      <c r="E39" s="133"/>
      <c r="F39" s="133"/>
      <c r="G39" s="133"/>
      <c r="H39" s="133"/>
      <c r="I39" s="133"/>
      <c r="J39" s="133"/>
      <c r="K39" s="133"/>
      <c r="L39" s="87"/>
      <c r="M39" s="501"/>
      <c r="N39" s="501"/>
      <c r="O39" s="501"/>
      <c r="P39" s="501"/>
      <c r="Q39" s="500">
        <v>87220</v>
      </c>
      <c r="R39" s="500"/>
      <c r="S39" s="234" t="s">
        <v>57</v>
      </c>
      <c r="T39" s="234" t="s">
        <v>26</v>
      </c>
      <c r="U39" s="504">
        <v>2</v>
      </c>
      <c r="V39" s="234" t="s">
        <v>434</v>
      </c>
      <c r="W39" s="290"/>
      <c r="X39" s="298"/>
      <c r="Y39" s="93"/>
      <c r="Z39" s="234" t="s">
        <v>53</v>
      </c>
      <c r="AA39" s="500" t="s">
        <v>97</v>
      </c>
      <c r="AB39" s="84"/>
      <c r="AC39" s="84">
        <f>Q39*U39</f>
        <v>174440</v>
      </c>
      <c r="AD39" s="64" t="s">
        <v>57</v>
      </c>
      <c r="AE39" s="2"/>
    </row>
    <row r="40" spans="1:31" s="12" customFormat="1" ht="21" customHeight="1">
      <c r="A40" s="51"/>
      <c r="B40" s="52"/>
      <c r="C40" s="52"/>
      <c r="D40" s="133"/>
      <c r="E40" s="133"/>
      <c r="F40" s="133"/>
      <c r="G40" s="133"/>
      <c r="H40" s="133"/>
      <c r="I40" s="133"/>
      <c r="J40" s="133"/>
      <c r="K40" s="133"/>
      <c r="L40" s="87"/>
      <c r="M40" s="303"/>
      <c r="N40" s="293"/>
      <c r="O40" s="293"/>
      <c r="P40" s="293"/>
      <c r="Q40" s="500">
        <v>77330</v>
      </c>
      <c r="R40" s="500"/>
      <c r="S40" s="234" t="s">
        <v>57</v>
      </c>
      <c r="T40" s="234" t="s">
        <v>26</v>
      </c>
      <c r="U40" s="504">
        <v>4</v>
      </c>
      <c r="V40" s="234" t="s">
        <v>434</v>
      </c>
      <c r="W40" s="290"/>
      <c r="X40" s="298"/>
      <c r="Y40" s="93"/>
      <c r="Z40" s="234" t="s">
        <v>53</v>
      </c>
      <c r="AA40" s="500" t="s">
        <v>97</v>
      </c>
      <c r="AB40" s="84"/>
      <c r="AC40" s="84">
        <f>Q40*U40</f>
        <v>309320</v>
      </c>
      <c r="AD40" s="64" t="s">
        <v>57</v>
      </c>
      <c r="AE40" s="2"/>
    </row>
    <row r="41" spans="1:31" s="12" customFormat="1" ht="21" customHeight="1">
      <c r="A41" s="51"/>
      <c r="B41" s="346"/>
      <c r="C41" s="346"/>
      <c r="D41" s="133"/>
      <c r="E41" s="133"/>
      <c r="F41" s="133"/>
      <c r="G41" s="133"/>
      <c r="H41" s="133"/>
      <c r="I41" s="133"/>
      <c r="J41" s="133"/>
      <c r="K41" s="133"/>
      <c r="L41" s="87"/>
      <c r="M41" s="501"/>
      <c r="N41" s="501"/>
      <c r="O41" s="501"/>
      <c r="P41" s="501"/>
      <c r="Q41" s="500">
        <v>83360</v>
      </c>
      <c r="R41" s="500"/>
      <c r="S41" s="234" t="s">
        <v>57</v>
      </c>
      <c r="T41" s="234" t="s">
        <v>26</v>
      </c>
      <c r="U41" s="504">
        <v>1</v>
      </c>
      <c r="V41" s="234" t="s">
        <v>434</v>
      </c>
      <c r="W41" s="290"/>
      <c r="X41" s="298"/>
      <c r="Y41" s="93"/>
      <c r="Z41" s="234" t="s">
        <v>53</v>
      </c>
      <c r="AA41" s="500" t="s">
        <v>97</v>
      </c>
      <c r="AB41" s="84"/>
      <c r="AC41" s="84">
        <f>Q41*U41</f>
        <v>83360</v>
      </c>
      <c r="AD41" s="64" t="s">
        <v>57</v>
      </c>
      <c r="AE41" s="2"/>
    </row>
    <row r="42" spans="1:31" s="12" customFormat="1" ht="21" customHeight="1">
      <c r="A42" s="51"/>
      <c r="B42" s="346"/>
      <c r="C42" s="346"/>
      <c r="D42" s="133"/>
      <c r="E42" s="133"/>
      <c r="F42" s="133"/>
      <c r="G42" s="133"/>
      <c r="H42" s="133"/>
      <c r="I42" s="133"/>
      <c r="J42" s="133"/>
      <c r="K42" s="133"/>
      <c r="L42" s="87"/>
      <c r="M42" s="501"/>
      <c r="N42" s="501"/>
      <c r="O42" s="501"/>
      <c r="P42" s="501"/>
      <c r="Q42" s="500">
        <v>45570</v>
      </c>
      <c r="R42" s="500"/>
      <c r="S42" s="234" t="s">
        <v>57</v>
      </c>
      <c r="T42" s="234" t="s">
        <v>26</v>
      </c>
      <c r="U42" s="504">
        <v>1</v>
      </c>
      <c r="V42" s="234" t="s">
        <v>434</v>
      </c>
      <c r="W42" s="290"/>
      <c r="X42" s="298"/>
      <c r="Y42" s="93"/>
      <c r="Z42" s="234" t="s">
        <v>53</v>
      </c>
      <c r="AA42" s="500" t="s">
        <v>97</v>
      </c>
      <c r="AB42" s="84"/>
      <c r="AC42" s="84">
        <f>Q42*U42</f>
        <v>45570</v>
      </c>
      <c r="AD42" s="64" t="s">
        <v>57</v>
      </c>
      <c r="AE42" s="2"/>
    </row>
    <row r="43" spans="1:31" s="12" customFormat="1" ht="21" customHeight="1">
      <c r="A43" s="51"/>
      <c r="B43" s="346"/>
      <c r="C43" s="346"/>
      <c r="D43" s="133"/>
      <c r="E43" s="133"/>
      <c r="F43" s="133"/>
      <c r="G43" s="133"/>
      <c r="H43" s="133"/>
      <c r="I43" s="133"/>
      <c r="J43" s="133"/>
      <c r="K43" s="133"/>
      <c r="L43" s="87"/>
      <c r="M43" s="503"/>
      <c r="N43" s="503"/>
      <c r="O43" s="503"/>
      <c r="P43" s="503"/>
      <c r="Q43" s="502"/>
      <c r="R43" s="502"/>
      <c r="S43" s="234"/>
      <c r="T43" s="234"/>
      <c r="U43" s="504"/>
      <c r="V43" s="234"/>
      <c r="W43" s="290"/>
      <c r="X43" s="298"/>
      <c r="Y43" s="93"/>
      <c r="Z43" s="234"/>
      <c r="AA43" s="502"/>
      <c r="AB43" s="84"/>
      <c r="AC43" s="84"/>
      <c r="AD43" s="64"/>
      <c r="AE43" s="2"/>
    </row>
    <row r="44" spans="1:31" s="12" customFormat="1" ht="21" customHeight="1">
      <c r="A44" s="51"/>
      <c r="B44" s="346"/>
      <c r="C44" s="346"/>
      <c r="D44" s="133"/>
      <c r="E44" s="133"/>
      <c r="F44" s="133"/>
      <c r="G44" s="133"/>
      <c r="H44" s="133"/>
      <c r="I44" s="133"/>
      <c r="J44" s="133"/>
      <c r="K44" s="133"/>
      <c r="L44" s="87"/>
      <c r="M44" s="503" t="s">
        <v>436</v>
      </c>
      <c r="N44" s="503"/>
      <c r="O44" s="503"/>
      <c r="P44" s="503"/>
      <c r="Q44" s="502">
        <v>25480</v>
      </c>
      <c r="R44" s="502"/>
      <c r="S44" s="234" t="s">
        <v>57</v>
      </c>
      <c r="T44" s="234" t="s">
        <v>26</v>
      </c>
      <c r="U44" s="504">
        <v>1</v>
      </c>
      <c r="V44" s="234" t="s">
        <v>75</v>
      </c>
      <c r="W44" s="290"/>
      <c r="X44" s="298"/>
      <c r="Y44" s="93"/>
      <c r="Z44" s="234" t="s">
        <v>53</v>
      </c>
      <c r="AA44" s="502" t="s">
        <v>97</v>
      </c>
      <c r="AB44" s="84"/>
      <c r="AC44" s="84">
        <f>Q44*U44</f>
        <v>25480</v>
      </c>
      <c r="AD44" s="64" t="s">
        <v>57</v>
      </c>
      <c r="AE44" s="2"/>
    </row>
    <row r="45" spans="1:31" s="12" customFormat="1" ht="21" customHeight="1">
      <c r="A45" s="51"/>
      <c r="B45" s="346"/>
      <c r="C45" s="346"/>
      <c r="D45" s="133"/>
      <c r="E45" s="133"/>
      <c r="F45" s="133"/>
      <c r="G45" s="133"/>
      <c r="H45" s="133"/>
      <c r="I45" s="133"/>
      <c r="J45" s="133"/>
      <c r="K45" s="133"/>
      <c r="L45" s="87"/>
      <c r="M45" s="501"/>
      <c r="N45" s="501"/>
      <c r="O45" s="501"/>
      <c r="P45" s="501"/>
      <c r="Q45" s="500"/>
      <c r="R45" s="500"/>
      <c r="S45" s="234"/>
      <c r="T45" s="234"/>
      <c r="U45" s="504"/>
      <c r="V45" s="234"/>
      <c r="W45" s="290"/>
      <c r="X45" s="298"/>
      <c r="Y45" s="93"/>
      <c r="Z45" s="234"/>
      <c r="AA45" s="500"/>
      <c r="AB45" s="84"/>
      <c r="AC45" s="84"/>
      <c r="AD45" s="64"/>
      <c r="AE45" s="2"/>
    </row>
    <row r="46" spans="1:31" s="12" customFormat="1" ht="21" customHeight="1">
      <c r="A46" s="51"/>
      <c r="B46" s="52"/>
      <c r="C46" s="52"/>
      <c r="D46" s="133"/>
      <c r="E46" s="133"/>
      <c r="F46" s="133"/>
      <c r="G46" s="133"/>
      <c r="H46" s="133"/>
      <c r="I46" s="133"/>
      <c r="J46" s="133"/>
      <c r="K46" s="133"/>
      <c r="L46" s="87"/>
      <c r="M46" s="303" t="s">
        <v>166</v>
      </c>
      <c r="N46" s="153"/>
      <c r="O46" s="153"/>
      <c r="P46" s="153"/>
      <c r="Q46" s="302">
        <v>22220</v>
      </c>
      <c r="R46" s="292"/>
      <c r="S46" s="234" t="s">
        <v>57</v>
      </c>
      <c r="T46" s="234" t="s">
        <v>26</v>
      </c>
      <c r="U46" s="504">
        <v>4</v>
      </c>
      <c r="V46" s="234" t="s">
        <v>434</v>
      </c>
      <c r="W46" s="290"/>
      <c r="X46" s="298"/>
      <c r="Y46" s="93"/>
      <c r="Z46" s="234" t="s">
        <v>53</v>
      </c>
      <c r="AA46" s="339" t="s">
        <v>262</v>
      </c>
      <c r="AB46" s="84"/>
      <c r="AC46" s="84">
        <f>Q46*U46</f>
        <v>88880</v>
      </c>
      <c r="AD46" s="64" t="s">
        <v>67</v>
      </c>
      <c r="AE46" s="2"/>
    </row>
    <row r="47" spans="1:31" s="12" customFormat="1" ht="21" customHeight="1">
      <c r="A47" s="51"/>
      <c r="B47" s="346"/>
      <c r="C47" s="346"/>
      <c r="D47" s="133"/>
      <c r="E47" s="133"/>
      <c r="F47" s="133"/>
      <c r="G47" s="133"/>
      <c r="H47" s="133"/>
      <c r="I47" s="133"/>
      <c r="J47" s="133"/>
      <c r="K47" s="133"/>
      <c r="L47" s="87"/>
      <c r="M47" s="503"/>
      <c r="N47" s="503"/>
      <c r="O47" s="503"/>
      <c r="P47" s="503"/>
      <c r="Q47" s="502">
        <v>23520</v>
      </c>
      <c r="R47" s="502"/>
      <c r="S47" s="234" t="s">
        <v>57</v>
      </c>
      <c r="T47" s="234" t="s">
        <v>26</v>
      </c>
      <c r="U47" s="504">
        <v>1</v>
      </c>
      <c r="V47" s="234" t="s">
        <v>75</v>
      </c>
      <c r="W47" s="290"/>
      <c r="X47" s="298"/>
      <c r="Y47" s="93"/>
      <c r="Z47" s="234" t="s">
        <v>53</v>
      </c>
      <c r="AA47" s="502" t="s">
        <v>97</v>
      </c>
      <c r="AB47" s="84"/>
      <c r="AC47" s="84">
        <f>Q47*U47</f>
        <v>23520</v>
      </c>
      <c r="AD47" s="64" t="s">
        <v>67</v>
      </c>
      <c r="AE47" s="2"/>
    </row>
    <row r="48" spans="1:31" s="12" customFormat="1" ht="21" customHeight="1">
      <c r="A48" s="51"/>
      <c r="B48" s="346"/>
      <c r="C48" s="346"/>
      <c r="D48" s="133"/>
      <c r="E48" s="133"/>
      <c r="F48" s="133"/>
      <c r="G48" s="133"/>
      <c r="H48" s="133"/>
      <c r="I48" s="133"/>
      <c r="J48" s="133"/>
      <c r="K48" s="133"/>
      <c r="L48" s="87"/>
      <c r="M48" s="503"/>
      <c r="N48" s="503"/>
      <c r="O48" s="503"/>
      <c r="P48" s="503"/>
      <c r="Q48" s="502">
        <v>14360</v>
      </c>
      <c r="R48" s="502"/>
      <c r="S48" s="234" t="s">
        <v>57</v>
      </c>
      <c r="T48" s="234" t="s">
        <v>26</v>
      </c>
      <c r="U48" s="504">
        <v>1</v>
      </c>
      <c r="V48" s="234" t="s">
        <v>75</v>
      </c>
      <c r="W48" s="290"/>
      <c r="X48" s="298"/>
      <c r="Y48" s="93"/>
      <c r="Z48" s="234" t="s">
        <v>53</v>
      </c>
      <c r="AA48" s="502" t="s">
        <v>97</v>
      </c>
      <c r="AB48" s="84"/>
      <c r="AC48" s="84">
        <f>Q48*U48</f>
        <v>14360</v>
      </c>
      <c r="AD48" s="64" t="s">
        <v>67</v>
      </c>
      <c r="AE48" s="2"/>
    </row>
    <row r="49" spans="1:31" s="12" customFormat="1" ht="21" customHeight="1">
      <c r="A49" s="51"/>
      <c r="B49" s="346"/>
      <c r="C49" s="346"/>
      <c r="D49" s="133"/>
      <c r="E49" s="133"/>
      <c r="F49" s="133"/>
      <c r="G49" s="133"/>
      <c r="H49" s="133"/>
      <c r="I49" s="133"/>
      <c r="J49" s="133"/>
      <c r="K49" s="133"/>
      <c r="L49" s="87"/>
      <c r="M49" s="503"/>
      <c r="N49" s="503"/>
      <c r="O49" s="503"/>
      <c r="P49" s="503"/>
      <c r="Q49" s="502">
        <v>16650</v>
      </c>
      <c r="R49" s="502"/>
      <c r="S49" s="234" t="s">
        <v>57</v>
      </c>
      <c r="T49" s="234" t="s">
        <v>26</v>
      </c>
      <c r="U49" s="504">
        <v>1</v>
      </c>
      <c r="V49" s="234" t="s">
        <v>75</v>
      </c>
      <c r="W49" s="290"/>
      <c r="X49" s="298"/>
      <c r="Y49" s="93"/>
      <c r="Z49" s="234" t="s">
        <v>53</v>
      </c>
      <c r="AA49" s="502" t="s">
        <v>97</v>
      </c>
      <c r="AB49" s="84"/>
      <c r="AC49" s="84">
        <f>Q49*U49</f>
        <v>16650</v>
      </c>
      <c r="AD49" s="64" t="s">
        <v>67</v>
      </c>
      <c r="AE49" s="2"/>
    </row>
    <row r="50" spans="1:31" s="12" customFormat="1" ht="21" customHeight="1">
      <c r="A50" s="51"/>
      <c r="B50" s="346"/>
      <c r="C50" s="346"/>
      <c r="D50" s="133"/>
      <c r="E50" s="133"/>
      <c r="F50" s="133"/>
      <c r="G50" s="133"/>
      <c r="H50" s="133"/>
      <c r="I50" s="133"/>
      <c r="J50" s="133"/>
      <c r="K50" s="133"/>
      <c r="L50" s="87"/>
      <c r="M50" s="503"/>
      <c r="N50" s="503"/>
      <c r="O50" s="503"/>
      <c r="P50" s="503"/>
      <c r="Q50" s="502">
        <v>21510</v>
      </c>
      <c r="R50" s="502"/>
      <c r="S50" s="234" t="s">
        <v>57</v>
      </c>
      <c r="T50" s="234" t="s">
        <v>26</v>
      </c>
      <c r="U50" s="504">
        <v>5</v>
      </c>
      <c r="V50" s="234" t="s">
        <v>75</v>
      </c>
      <c r="W50" s="290"/>
      <c r="X50" s="298"/>
      <c r="Y50" s="93"/>
      <c r="Z50" s="234" t="s">
        <v>53</v>
      </c>
      <c r="AA50" s="502" t="s">
        <v>97</v>
      </c>
      <c r="AB50" s="84"/>
      <c r="AC50" s="84">
        <f>Q50*U50</f>
        <v>107550</v>
      </c>
      <c r="AD50" s="64" t="s">
        <v>67</v>
      </c>
      <c r="AE50" s="2"/>
    </row>
    <row r="51" spans="1:31" s="12" customFormat="1" ht="21" customHeight="1">
      <c r="A51" s="51"/>
      <c r="B51" s="346"/>
      <c r="C51" s="346"/>
      <c r="D51" s="133"/>
      <c r="E51" s="133"/>
      <c r="F51" s="133"/>
      <c r="G51" s="133"/>
      <c r="H51" s="133"/>
      <c r="I51" s="133"/>
      <c r="J51" s="133"/>
      <c r="K51" s="133"/>
      <c r="L51" s="87"/>
      <c r="M51" s="501"/>
      <c r="N51" s="501"/>
      <c r="O51" s="501"/>
      <c r="P51" s="501"/>
      <c r="Q51" s="500"/>
      <c r="R51" s="500"/>
      <c r="S51" s="234"/>
      <c r="T51" s="234"/>
      <c r="U51" s="504"/>
      <c r="V51" s="234"/>
      <c r="W51" s="290"/>
      <c r="X51" s="298"/>
      <c r="Y51" s="93"/>
      <c r="Z51" s="234"/>
      <c r="AA51" s="500"/>
      <c r="AB51" s="84"/>
      <c r="AC51" s="84"/>
      <c r="AD51" s="64"/>
      <c r="AE51" s="2"/>
    </row>
    <row r="52" spans="1:31" s="12" customFormat="1" ht="21" customHeight="1">
      <c r="A52" s="51"/>
      <c r="B52" s="52"/>
      <c r="C52" s="52"/>
      <c r="D52" s="133"/>
      <c r="E52" s="133"/>
      <c r="F52" s="133"/>
      <c r="G52" s="133"/>
      <c r="H52" s="133"/>
      <c r="I52" s="133"/>
      <c r="J52" s="133"/>
      <c r="K52" s="133"/>
      <c r="L52" s="87"/>
      <c r="M52" s="303" t="s">
        <v>223</v>
      </c>
      <c r="N52" s="303"/>
      <c r="O52" s="303"/>
      <c r="P52" s="303"/>
      <c r="Q52" s="302">
        <v>19260</v>
      </c>
      <c r="R52" s="302"/>
      <c r="S52" s="234" t="s">
        <v>57</v>
      </c>
      <c r="T52" s="234" t="s">
        <v>26</v>
      </c>
      <c r="U52" s="504">
        <v>4</v>
      </c>
      <c r="V52" s="234" t="s">
        <v>434</v>
      </c>
      <c r="W52" s="290"/>
      <c r="X52" s="298"/>
      <c r="Y52" s="93"/>
      <c r="Z52" s="234" t="s">
        <v>224</v>
      </c>
      <c r="AA52" s="339" t="s">
        <v>262</v>
      </c>
      <c r="AB52" s="84"/>
      <c r="AC52" s="84">
        <f>Q52*U52</f>
        <v>77040</v>
      </c>
      <c r="AD52" s="64" t="s">
        <v>57</v>
      </c>
      <c r="AE52" s="2"/>
    </row>
    <row r="53" spans="1:31" s="12" customFormat="1" ht="21" customHeight="1">
      <c r="A53" s="51"/>
      <c r="B53" s="346"/>
      <c r="C53" s="346"/>
      <c r="D53" s="133"/>
      <c r="E53" s="133"/>
      <c r="F53" s="133"/>
      <c r="G53" s="133"/>
      <c r="H53" s="133"/>
      <c r="I53" s="133"/>
      <c r="J53" s="133"/>
      <c r="K53" s="133"/>
      <c r="L53" s="87"/>
      <c r="M53" s="503"/>
      <c r="N53" s="503"/>
      <c r="O53" s="503"/>
      <c r="P53" s="503"/>
      <c r="Q53" s="502">
        <v>20400</v>
      </c>
      <c r="R53" s="502"/>
      <c r="S53" s="234" t="s">
        <v>57</v>
      </c>
      <c r="T53" s="234" t="s">
        <v>26</v>
      </c>
      <c r="U53" s="504">
        <v>1</v>
      </c>
      <c r="V53" s="234" t="s">
        <v>75</v>
      </c>
      <c r="W53" s="290"/>
      <c r="X53" s="298"/>
      <c r="Y53" s="93"/>
      <c r="Z53" s="234" t="s">
        <v>89</v>
      </c>
      <c r="AA53" s="502" t="s">
        <v>97</v>
      </c>
      <c r="AB53" s="84"/>
      <c r="AC53" s="84">
        <f>Q53*U53</f>
        <v>20400</v>
      </c>
      <c r="AD53" s="64" t="s">
        <v>57</v>
      </c>
      <c r="AE53" s="2"/>
    </row>
    <row r="54" spans="1:31" s="12" customFormat="1" ht="21" customHeight="1">
      <c r="A54" s="51"/>
      <c r="B54" s="346"/>
      <c r="C54" s="346"/>
      <c r="D54" s="133"/>
      <c r="E54" s="133"/>
      <c r="F54" s="133"/>
      <c r="G54" s="133"/>
      <c r="H54" s="133"/>
      <c r="I54" s="133"/>
      <c r="J54" s="133"/>
      <c r="K54" s="133"/>
      <c r="L54" s="87"/>
      <c r="M54" s="503"/>
      <c r="N54" s="503"/>
      <c r="O54" s="503"/>
      <c r="P54" s="503"/>
      <c r="Q54" s="502">
        <v>12430</v>
      </c>
      <c r="R54" s="502"/>
      <c r="S54" s="234" t="s">
        <v>57</v>
      </c>
      <c r="T54" s="234" t="s">
        <v>26</v>
      </c>
      <c r="U54" s="504">
        <v>1</v>
      </c>
      <c r="V54" s="234" t="s">
        <v>75</v>
      </c>
      <c r="W54" s="290"/>
      <c r="X54" s="298"/>
      <c r="Y54" s="93"/>
      <c r="Z54" s="234" t="s">
        <v>89</v>
      </c>
      <c r="AA54" s="502" t="s">
        <v>97</v>
      </c>
      <c r="AB54" s="84"/>
      <c r="AC54" s="84">
        <f>Q54*U54</f>
        <v>12430</v>
      </c>
      <c r="AD54" s="64" t="s">
        <v>57</v>
      </c>
      <c r="AE54" s="2"/>
    </row>
    <row r="55" spans="1:31" s="12" customFormat="1" ht="21" customHeight="1">
      <c r="A55" s="51"/>
      <c r="B55" s="346"/>
      <c r="C55" s="346"/>
      <c r="D55" s="133"/>
      <c r="E55" s="133"/>
      <c r="F55" s="133"/>
      <c r="G55" s="133"/>
      <c r="H55" s="133"/>
      <c r="I55" s="133"/>
      <c r="J55" s="133"/>
      <c r="K55" s="133"/>
      <c r="L55" s="87"/>
      <c r="M55" s="503"/>
      <c r="N55" s="503"/>
      <c r="O55" s="503"/>
      <c r="P55" s="503"/>
      <c r="Q55" s="502">
        <v>14440</v>
      </c>
      <c r="R55" s="502"/>
      <c r="S55" s="234" t="s">
        <v>57</v>
      </c>
      <c r="T55" s="234" t="s">
        <v>26</v>
      </c>
      <c r="U55" s="504">
        <v>1</v>
      </c>
      <c r="V55" s="234" t="s">
        <v>75</v>
      </c>
      <c r="W55" s="290"/>
      <c r="X55" s="298"/>
      <c r="Y55" s="93"/>
      <c r="Z55" s="234" t="s">
        <v>89</v>
      </c>
      <c r="AA55" s="502" t="s">
        <v>97</v>
      </c>
      <c r="AB55" s="84"/>
      <c r="AC55" s="84">
        <f>Q55*U55</f>
        <v>14440</v>
      </c>
      <c r="AD55" s="64" t="s">
        <v>57</v>
      </c>
      <c r="AE55" s="2"/>
    </row>
    <row r="56" spans="1:31" s="12" customFormat="1" ht="21" customHeight="1">
      <c r="A56" s="51"/>
      <c r="B56" s="346"/>
      <c r="C56" s="346"/>
      <c r="D56" s="133"/>
      <c r="E56" s="133"/>
      <c r="F56" s="133"/>
      <c r="G56" s="133"/>
      <c r="H56" s="133"/>
      <c r="I56" s="133"/>
      <c r="J56" s="133"/>
      <c r="K56" s="133"/>
      <c r="L56" s="87"/>
      <c r="M56" s="503"/>
      <c r="N56" s="503"/>
      <c r="O56" s="503"/>
      <c r="P56" s="503"/>
      <c r="Q56" s="502">
        <v>18650</v>
      </c>
      <c r="R56" s="502"/>
      <c r="S56" s="234" t="s">
        <v>57</v>
      </c>
      <c r="T56" s="234" t="s">
        <v>26</v>
      </c>
      <c r="U56" s="504">
        <v>5</v>
      </c>
      <c r="V56" s="234" t="s">
        <v>75</v>
      </c>
      <c r="W56" s="290"/>
      <c r="X56" s="298"/>
      <c r="Y56" s="93"/>
      <c r="Z56" s="234" t="s">
        <v>89</v>
      </c>
      <c r="AA56" s="502" t="s">
        <v>97</v>
      </c>
      <c r="AB56" s="84"/>
      <c r="AC56" s="84">
        <f>Q56*U56</f>
        <v>93250</v>
      </c>
      <c r="AD56" s="64" t="s">
        <v>57</v>
      </c>
      <c r="AE56" s="2"/>
    </row>
    <row r="57" spans="1:31" s="12" customFormat="1" ht="21" customHeight="1">
      <c r="A57" s="51"/>
      <c r="B57" s="52"/>
      <c r="C57" s="52"/>
      <c r="D57" s="133"/>
      <c r="E57" s="133"/>
      <c r="F57" s="133"/>
      <c r="G57" s="133"/>
      <c r="H57" s="133"/>
      <c r="I57" s="133"/>
      <c r="J57" s="133"/>
      <c r="K57" s="133"/>
      <c r="L57" s="87"/>
      <c r="M57" s="270"/>
      <c r="N57" s="270"/>
      <c r="O57" s="270"/>
      <c r="P57" s="270"/>
      <c r="Q57" s="269"/>
      <c r="R57" s="278"/>
      <c r="S57" s="234"/>
      <c r="T57" s="91"/>
      <c r="U57" s="95"/>
      <c r="V57" s="91"/>
      <c r="W57" s="96"/>
      <c r="X57" s="93"/>
      <c r="Y57" s="93"/>
      <c r="Z57" s="234"/>
      <c r="AA57" s="269"/>
      <c r="AB57" s="84"/>
      <c r="AC57" s="84"/>
      <c r="AD57" s="64"/>
      <c r="AE57" s="2"/>
    </row>
    <row r="58" spans="1:31" s="12" customFormat="1" ht="33" customHeight="1">
      <c r="A58" s="51"/>
      <c r="B58" s="52"/>
      <c r="C58" s="42" t="s">
        <v>197</v>
      </c>
      <c r="D58" s="137">
        <v>200</v>
      </c>
      <c r="E58" s="137">
        <f>SUM(F58:J58)</f>
        <v>200</v>
      </c>
      <c r="F58" s="137">
        <f>AC60</f>
        <v>0</v>
      </c>
      <c r="G58" s="137">
        <f>AC59/1000</f>
        <v>200</v>
      </c>
      <c r="H58" s="137">
        <f>AE60</f>
        <v>0</v>
      </c>
      <c r="I58" s="137">
        <f>AF60</f>
        <v>0</v>
      </c>
      <c r="J58" s="137">
        <f>AG60</f>
        <v>0</v>
      </c>
      <c r="K58" s="150">
        <f>E58-D58</f>
        <v>0</v>
      </c>
      <c r="L58" s="145">
        <f>IF(D58=0,0,K58/D58)</f>
        <v>0</v>
      </c>
      <c r="M58" s="121" t="s">
        <v>195</v>
      </c>
      <c r="N58" s="268"/>
      <c r="O58" s="190"/>
      <c r="P58" s="190"/>
      <c r="Q58" s="109"/>
      <c r="R58" s="109"/>
      <c r="S58" s="271"/>
      <c r="T58" s="272"/>
      <c r="U58" s="273"/>
      <c r="V58" s="267" t="s">
        <v>63</v>
      </c>
      <c r="W58" s="267"/>
      <c r="X58" s="267"/>
      <c r="Y58" s="267"/>
      <c r="Z58" s="267"/>
      <c r="AA58" s="267"/>
      <c r="AB58" s="205"/>
      <c r="AC58" s="205">
        <f>AC59</f>
        <v>200000</v>
      </c>
      <c r="AD58" s="204" t="s">
        <v>25</v>
      </c>
      <c r="AE58" s="2"/>
    </row>
    <row r="59" spans="1:31" s="12" customFormat="1" ht="21" customHeight="1">
      <c r="A59" s="51"/>
      <c r="B59" s="52"/>
      <c r="C59" s="52"/>
      <c r="D59" s="133"/>
      <c r="E59" s="133"/>
      <c r="F59" s="133"/>
      <c r="G59" s="133"/>
      <c r="H59" s="133"/>
      <c r="I59" s="133"/>
      <c r="J59" s="133"/>
      <c r="K59" s="133"/>
      <c r="L59" s="87"/>
      <c r="M59" s="270" t="s">
        <v>196</v>
      </c>
      <c r="N59" s="270"/>
      <c r="O59" s="270"/>
      <c r="P59" s="270"/>
      <c r="Q59" s="269"/>
      <c r="R59" s="278"/>
      <c r="S59" s="234"/>
      <c r="T59" s="91"/>
      <c r="U59" s="95"/>
      <c r="V59" s="91"/>
      <c r="W59" s="96"/>
      <c r="X59" s="93"/>
      <c r="Y59" s="93"/>
      <c r="Z59" s="234"/>
      <c r="AA59" s="339" t="s">
        <v>262</v>
      </c>
      <c r="AB59" s="84"/>
      <c r="AC59" s="84">
        <v>200000</v>
      </c>
      <c r="AD59" s="147" t="s">
        <v>25</v>
      </c>
      <c r="AE59" s="2"/>
    </row>
    <row r="60" spans="1:31" s="12" customFormat="1" ht="21" customHeight="1">
      <c r="A60" s="51"/>
      <c r="B60" s="66"/>
      <c r="C60" s="66"/>
      <c r="D60" s="135"/>
      <c r="E60" s="135"/>
      <c r="F60" s="135"/>
      <c r="G60" s="135"/>
      <c r="H60" s="135"/>
      <c r="I60" s="135"/>
      <c r="J60" s="135"/>
      <c r="K60" s="135"/>
      <c r="L60" s="105"/>
      <c r="M60" s="187"/>
      <c r="N60" s="98"/>
      <c r="O60" s="98"/>
      <c r="P60" s="98"/>
      <c r="Q60" s="97"/>
      <c r="R60" s="275"/>
      <c r="S60" s="107"/>
      <c r="T60" s="107"/>
      <c r="U60" s="107"/>
      <c r="V60" s="97"/>
      <c r="W60" s="107"/>
      <c r="X60" s="107"/>
      <c r="Y60" s="107"/>
      <c r="Z60" s="97"/>
      <c r="AA60" s="107"/>
      <c r="AB60" s="107"/>
      <c r="AC60" s="97"/>
      <c r="AD60" s="151"/>
      <c r="AE60" s="2"/>
    </row>
    <row r="61" spans="1:31" s="12" customFormat="1" ht="21" customHeight="1">
      <c r="A61" s="51"/>
      <c r="B61" s="52" t="s">
        <v>127</v>
      </c>
      <c r="C61" s="52" t="s">
        <v>5</v>
      </c>
      <c r="D61" s="133">
        <v>100</v>
      </c>
      <c r="E61" s="133">
        <f>SUM(E62,E65,E67)</f>
        <v>50</v>
      </c>
      <c r="F61" s="133">
        <f>F62+F65+F67</f>
        <v>0</v>
      </c>
      <c r="G61" s="133">
        <f t="shared" ref="G61" si="5">SUM(G62,G65,G67)</f>
        <v>0</v>
      </c>
      <c r="H61" s="133">
        <f>H62+H65+H67</f>
        <v>50</v>
      </c>
      <c r="I61" s="133">
        <v>0</v>
      </c>
      <c r="J61" s="133">
        <f t="shared" ref="J61" si="6">SUM(J62,J65,J67)</f>
        <v>0</v>
      </c>
      <c r="K61" s="133">
        <f>E61-D61</f>
        <v>-50</v>
      </c>
      <c r="L61" s="87">
        <f>IF(D61=0,0,K61/D61)</f>
        <v>-0.5</v>
      </c>
      <c r="M61" s="221" t="s">
        <v>135</v>
      </c>
      <c r="N61" s="38"/>
      <c r="O61" s="38"/>
      <c r="P61" s="38"/>
      <c r="Q61" s="39"/>
      <c r="R61" s="220"/>
      <c r="S61" s="39"/>
      <c r="T61" s="39"/>
      <c r="U61" s="39"/>
      <c r="V61" s="224"/>
      <c r="W61" s="224"/>
      <c r="X61" s="224"/>
      <c r="Y61" s="224"/>
      <c r="Z61" s="224"/>
      <c r="AA61" s="224"/>
      <c r="AB61" s="118"/>
      <c r="AC61" s="118">
        <f>SUM(AC62,AC65,AC67)</f>
        <v>50000</v>
      </c>
      <c r="AD61" s="119" t="s">
        <v>25</v>
      </c>
      <c r="AE61" s="5"/>
    </row>
    <row r="62" spans="1:31" s="12" customFormat="1" ht="21" customHeight="1">
      <c r="A62" s="51"/>
      <c r="B62" s="52" t="s">
        <v>134</v>
      </c>
      <c r="C62" s="42" t="s">
        <v>10</v>
      </c>
      <c r="D62" s="137">
        <v>50</v>
      </c>
      <c r="E62" s="137">
        <f>AC62/1000</f>
        <v>0</v>
      </c>
      <c r="F62" s="137"/>
      <c r="G62" s="137">
        <v>0</v>
      </c>
      <c r="H62" s="137">
        <f>AC62/1000</f>
        <v>0</v>
      </c>
      <c r="I62" s="137">
        <v>0</v>
      </c>
      <c r="J62" s="137">
        <v>0</v>
      </c>
      <c r="K62" s="137">
        <f>E62-D62</f>
        <v>-50</v>
      </c>
      <c r="L62" s="145">
        <f>IF(D62=0,0,K62/D62)</f>
        <v>-1</v>
      </c>
      <c r="M62" s="121" t="s">
        <v>38</v>
      </c>
      <c r="N62" s="184"/>
      <c r="O62" s="190"/>
      <c r="P62" s="190"/>
      <c r="Q62" s="190"/>
      <c r="R62" s="190"/>
      <c r="S62" s="109"/>
      <c r="T62" s="109"/>
      <c r="U62" s="109"/>
      <c r="V62" s="109"/>
      <c r="W62" s="109"/>
      <c r="X62" s="203" t="s">
        <v>137</v>
      </c>
      <c r="Y62" s="203"/>
      <c r="Z62" s="203"/>
      <c r="AA62" s="203"/>
      <c r="AB62" s="205"/>
      <c r="AC62" s="205">
        <f>AC63+AC64</f>
        <v>0</v>
      </c>
      <c r="AD62" s="204" t="s">
        <v>25</v>
      </c>
    </row>
    <row r="63" spans="1:31" s="12" customFormat="1" ht="21" customHeight="1">
      <c r="A63" s="51"/>
      <c r="B63" s="52"/>
      <c r="C63" s="52"/>
      <c r="D63" s="133"/>
      <c r="E63" s="133"/>
      <c r="F63" s="133"/>
      <c r="G63" s="133"/>
      <c r="H63" s="133"/>
      <c r="I63" s="133"/>
      <c r="J63" s="133"/>
      <c r="K63" s="133"/>
      <c r="L63" s="87"/>
      <c r="M63" s="88" t="s">
        <v>298</v>
      </c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 t="s">
        <v>284</v>
      </c>
      <c r="AB63" s="107"/>
      <c r="AC63" s="367">
        <v>0</v>
      </c>
      <c r="AD63" s="151" t="s">
        <v>282</v>
      </c>
    </row>
    <row r="64" spans="1:31" s="12" customFormat="1" ht="21" customHeight="1">
      <c r="A64" s="51"/>
      <c r="B64" s="52"/>
      <c r="C64" s="66"/>
      <c r="D64" s="135"/>
      <c r="E64" s="135"/>
      <c r="F64" s="135"/>
      <c r="G64" s="135"/>
      <c r="H64" s="135"/>
      <c r="I64" s="135"/>
      <c r="J64" s="135"/>
      <c r="K64" s="135"/>
      <c r="L64" s="105"/>
      <c r="M64" s="88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367"/>
      <c r="AD64" s="151"/>
      <c r="AE64" s="1"/>
    </row>
    <row r="65" spans="1:33" s="12" customFormat="1" ht="21" customHeight="1">
      <c r="A65" s="51"/>
      <c r="B65" s="52"/>
      <c r="C65" s="52" t="s">
        <v>11</v>
      </c>
      <c r="D65" s="133">
        <v>0</v>
      </c>
      <c r="E65" s="133">
        <f>AC65/1000</f>
        <v>0</v>
      </c>
      <c r="F65" s="133">
        <v>0</v>
      </c>
      <c r="G65" s="133">
        <v>0</v>
      </c>
      <c r="H65" s="133">
        <v>0</v>
      </c>
      <c r="I65" s="133">
        <v>0</v>
      </c>
      <c r="J65" s="133">
        <v>0</v>
      </c>
      <c r="K65" s="133">
        <f>E65-D65</f>
        <v>0</v>
      </c>
      <c r="L65" s="87">
        <f>IF(D65=0,0,K65/D65)</f>
        <v>0</v>
      </c>
      <c r="M65" s="121" t="s">
        <v>136</v>
      </c>
      <c r="N65" s="202"/>
      <c r="O65" s="38"/>
      <c r="P65" s="38"/>
      <c r="Q65" s="38"/>
      <c r="R65" s="221"/>
      <c r="S65" s="39"/>
      <c r="T65" s="39"/>
      <c r="U65" s="39"/>
      <c r="V65" s="39"/>
      <c r="W65" s="39"/>
      <c r="X65" s="203" t="s">
        <v>137</v>
      </c>
      <c r="Y65" s="203"/>
      <c r="Z65" s="203"/>
      <c r="AA65" s="203"/>
      <c r="AB65" s="205"/>
      <c r="AC65" s="205">
        <v>0</v>
      </c>
      <c r="AD65" s="204" t="s">
        <v>25</v>
      </c>
      <c r="AE65" s="1"/>
    </row>
    <row r="66" spans="1:33" s="12" customFormat="1" ht="21" customHeight="1">
      <c r="A66" s="51"/>
      <c r="B66" s="52"/>
      <c r="C66" s="66"/>
      <c r="D66" s="135"/>
      <c r="E66" s="135"/>
      <c r="F66" s="135"/>
      <c r="G66" s="135"/>
      <c r="H66" s="135"/>
      <c r="I66" s="135"/>
      <c r="J66" s="135"/>
      <c r="K66" s="135"/>
      <c r="L66" s="105"/>
      <c r="M66" s="187"/>
      <c r="N66" s="98"/>
      <c r="O66" s="98"/>
      <c r="P66" s="98"/>
      <c r="Q66" s="97"/>
      <c r="R66" s="275"/>
      <c r="S66" s="106"/>
      <c r="T66" s="106"/>
      <c r="U66" s="97"/>
      <c r="V66" s="98"/>
      <c r="W66" s="97"/>
      <c r="X66" s="97"/>
      <c r="Y66" s="97"/>
      <c r="Z66" s="97"/>
      <c r="AA66" s="97"/>
      <c r="AB66" s="97"/>
      <c r="AC66" s="97"/>
      <c r="AD66" s="90"/>
      <c r="AE66" s="1"/>
    </row>
    <row r="67" spans="1:33" s="12" customFormat="1" ht="21" customHeight="1">
      <c r="A67" s="51"/>
      <c r="B67" s="52"/>
      <c r="C67" s="52" t="s">
        <v>95</v>
      </c>
      <c r="D67" s="133">
        <v>50</v>
      </c>
      <c r="E67" s="133">
        <f>F67+G67+H67+J67</f>
        <v>50</v>
      </c>
      <c r="F67" s="133">
        <v>0</v>
      </c>
      <c r="G67" s="133">
        <v>0</v>
      </c>
      <c r="H67" s="133">
        <f>AC68/1000</f>
        <v>50</v>
      </c>
      <c r="I67" s="133">
        <v>0</v>
      </c>
      <c r="J67" s="137">
        <v>0</v>
      </c>
      <c r="K67" s="301">
        <f>E67-D67</f>
        <v>0</v>
      </c>
      <c r="L67" s="87">
        <f>IF(D67=0,0,K67/D67)</f>
        <v>0</v>
      </c>
      <c r="M67" s="140" t="s">
        <v>39</v>
      </c>
      <c r="N67" s="38"/>
      <c r="O67" s="38"/>
      <c r="P67" s="38"/>
      <c r="Q67" s="38"/>
      <c r="R67" s="221"/>
      <c r="S67" s="39"/>
      <c r="T67" s="39"/>
      <c r="U67" s="39"/>
      <c r="V67" s="39"/>
      <c r="W67" s="39"/>
      <c r="X67" s="203" t="s">
        <v>137</v>
      </c>
      <c r="Y67" s="203"/>
      <c r="Z67" s="203"/>
      <c r="AA67" s="203"/>
      <c r="AB67" s="205"/>
      <c r="AC67" s="205">
        <f>AC68</f>
        <v>50000</v>
      </c>
      <c r="AD67" s="204" t="s">
        <v>25</v>
      </c>
      <c r="AE67" s="1"/>
    </row>
    <row r="68" spans="1:33" s="15" customFormat="1" ht="21" customHeight="1">
      <c r="A68" s="51"/>
      <c r="B68" s="52"/>
      <c r="C68" s="52"/>
      <c r="D68" s="133"/>
      <c r="E68" s="133"/>
      <c r="F68" s="133"/>
      <c r="G68" s="133"/>
      <c r="H68" s="133"/>
      <c r="I68" s="133"/>
      <c r="J68" s="133"/>
      <c r="K68" s="133"/>
      <c r="L68" s="87"/>
      <c r="M68" s="237" t="s">
        <v>168</v>
      </c>
      <c r="N68" s="56"/>
      <c r="O68" s="56"/>
      <c r="P68" s="56"/>
      <c r="Q68" s="57">
        <v>50000</v>
      </c>
      <c r="R68" s="278"/>
      <c r="S68" s="61" t="s">
        <v>25</v>
      </c>
      <c r="T68" s="61" t="s">
        <v>26</v>
      </c>
      <c r="U68" s="57">
        <v>1</v>
      </c>
      <c r="V68" s="252" t="s">
        <v>169</v>
      </c>
      <c r="W68" s="234"/>
      <c r="X68" s="57"/>
      <c r="Y68" s="57"/>
      <c r="Z68" s="57" t="s">
        <v>27</v>
      </c>
      <c r="AA68" s="57" t="s">
        <v>302</v>
      </c>
      <c r="AB68" s="57"/>
      <c r="AC68" s="57">
        <v>50000</v>
      </c>
      <c r="AD68" s="64" t="s">
        <v>25</v>
      </c>
      <c r="AE68" s="4"/>
    </row>
    <row r="69" spans="1:33" s="15" customFormat="1" ht="21" customHeight="1">
      <c r="A69" s="51"/>
      <c r="B69" s="346"/>
      <c r="C69" s="346"/>
      <c r="D69" s="133"/>
      <c r="E69" s="133"/>
      <c r="F69" s="133"/>
      <c r="G69" s="133"/>
      <c r="H69" s="133"/>
      <c r="I69" s="133"/>
      <c r="J69" s="133"/>
      <c r="K69" s="133"/>
      <c r="L69" s="87"/>
      <c r="M69" s="379"/>
      <c r="N69" s="379"/>
      <c r="O69" s="379"/>
      <c r="P69" s="379"/>
      <c r="Q69" s="378"/>
      <c r="R69" s="378"/>
      <c r="S69" s="61"/>
      <c r="T69" s="61"/>
      <c r="U69" s="378"/>
      <c r="V69" s="379"/>
      <c r="W69" s="234"/>
      <c r="X69" s="378"/>
      <c r="Y69" s="378"/>
      <c r="Z69" s="378"/>
      <c r="AA69" s="378"/>
      <c r="AB69" s="378"/>
      <c r="AC69" s="378"/>
      <c r="AD69" s="64"/>
      <c r="AE69" s="4"/>
    </row>
    <row r="70" spans="1:33" s="15" customFormat="1" ht="21" customHeight="1">
      <c r="A70" s="51"/>
      <c r="B70" s="52"/>
      <c r="C70" s="52"/>
      <c r="D70" s="133"/>
      <c r="E70" s="133"/>
      <c r="F70" s="133"/>
      <c r="G70" s="133"/>
      <c r="H70" s="133"/>
      <c r="I70" s="133"/>
      <c r="J70" s="133"/>
      <c r="K70" s="133"/>
      <c r="L70" s="87"/>
      <c r="M70" s="56"/>
      <c r="N70" s="56"/>
      <c r="O70" s="56"/>
      <c r="P70" s="56"/>
      <c r="Q70" s="57"/>
      <c r="R70" s="278"/>
      <c r="S70" s="61"/>
      <c r="T70" s="61"/>
      <c r="U70" s="57"/>
      <c r="V70" s="56"/>
      <c r="W70" s="57"/>
      <c r="X70" s="57"/>
      <c r="Y70" s="57"/>
      <c r="Z70" s="57"/>
      <c r="AA70" s="57"/>
      <c r="AB70" s="57"/>
      <c r="AC70" s="57"/>
      <c r="AD70" s="64"/>
      <c r="AE70" s="4"/>
    </row>
    <row r="71" spans="1:33" s="12" customFormat="1" ht="21" customHeight="1">
      <c r="A71" s="51"/>
      <c r="B71" s="42" t="s">
        <v>12</v>
      </c>
      <c r="C71" s="199" t="s">
        <v>5</v>
      </c>
      <c r="D71" s="200">
        <v>6803</v>
      </c>
      <c r="E71" s="200">
        <f t="shared" ref="E71:J71" si="7">SUM(E72,E75,E80,E87,E97,E100)</f>
        <v>5965</v>
      </c>
      <c r="F71" s="200">
        <f>SUM(F72,F75,F80,F87,F97,F100)</f>
        <v>4184.3850000000002</v>
      </c>
      <c r="G71" s="200">
        <f t="shared" si="7"/>
        <v>0</v>
      </c>
      <c r="H71" s="200">
        <f>SUM(H72,H75,H80,H87,H97,H100)</f>
        <v>1750</v>
      </c>
      <c r="I71" s="200">
        <v>0</v>
      </c>
      <c r="J71" s="200">
        <f t="shared" si="7"/>
        <v>30</v>
      </c>
      <c r="K71" s="200">
        <f>E71-D71</f>
        <v>-838</v>
      </c>
      <c r="L71" s="201">
        <f>IF(D71=0,0,K71/D71)</f>
        <v>-0.12318094958106718</v>
      </c>
      <c r="M71" s="202" t="s">
        <v>141</v>
      </c>
      <c r="N71" s="202"/>
      <c r="O71" s="202"/>
      <c r="P71" s="202"/>
      <c r="Q71" s="203"/>
      <c r="R71" s="276"/>
      <c r="S71" s="226"/>
      <c r="T71" s="203"/>
      <c r="U71" s="576"/>
      <c r="V71" s="577"/>
      <c r="W71" s="203"/>
      <c r="X71" s="203"/>
      <c r="Y71" s="203"/>
      <c r="Z71" s="203"/>
      <c r="AA71" s="203"/>
      <c r="AB71" s="203"/>
      <c r="AC71" s="203">
        <f>SUM(AC72,AC75,AC80,AC87,AC97,AC100)</f>
        <v>5964385</v>
      </c>
      <c r="AD71" s="204" t="s">
        <v>25</v>
      </c>
      <c r="AE71" s="1"/>
    </row>
    <row r="72" spans="1:33" s="12" customFormat="1" ht="21" customHeight="1">
      <c r="A72" s="51"/>
      <c r="B72" s="52"/>
      <c r="C72" s="52" t="s">
        <v>96</v>
      </c>
      <c r="D72" s="133">
        <v>60</v>
      </c>
      <c r="E72" s="133">
        <f>F72+G72+H72+J72</f>
        <v>30</v>
      </c>
      <c r="F72" s="133">
        <v>0</v>
      </c>
      <c r="G72" s="133">
        <v>0</v>
      </c>
      <c r="H72" s="133">
        <v>0</v>
      </c>
      <c r="I72" s="133">
        <v>0</v>
      </c>
      <c r="J72" s="133">
        <f>AC73/1000</f>
        <v>30</v>
      </c>
      <c r="K72" s="133">
        <f>E72-D72</f>
        <v>-30</v>
      </c>
      <c r="L72" s="87">
        <f>IF(D72=0,0,K72/D72)</f>
        <v>-0.5</v>
      </c>
      <c r="M72" s="140" t="s">
        <v>41</v>
      </c>
      <c r="N72" s="38"/>
      <c r="O72" s="38"/>
      <c r="P72" s="38"/>
      <c r="Q72" s="38"/>
      <c r="R72" s="221"/>
      <c r="S72" s="39"/>
      <c r="T72" s="39"/>
      <c r="U72" s="39"/>
      <c r="V72" s="39"/>
      <c r="W72" s="39"/>
      <c r="X72" s="253" t="s">
        <v>137</v>
      </c>
      <c r="Y72" s="253"/>
      <c r="Z72" s="253"/>
      <c r="AA72" s="253"/>
      <c r="AB72" s="205"/>
      <c r="AC72" s="205">
        <f>AC73</f>
        <v>30000</v>
      </c>
      <c r="AD72" s="204" t="s">
        <v>25</v>
      </c>
      <c r="AE72" s="21"/>
      <c r="AF72" s="20"/>
      <c r="AG72" s="20"/>
    </row>
    <row r="73" spans="1:33" s="12" customFormat="1" ht="21" customHeight="1">
      <c r="A73" s="51"/>
      <c r="B73" s="52"/>
      <c r="C73" s="52"/>
      <c r="D73" s="133"/>
      <c r="E73" s="133"/>
      <c r="F73" s="133"/>
      <c r="G73" s="133"/>
      <c r="H73" s="133"/>
      <c r="I73" s="133"/>
      <c r="J73" s="133"/>
      <c r="K73" s="133"/>
      <c r="L73" s="87"/>
      <c r="M73" s="223" t="s">
        <v>142</v>
      </c>
      <c r="N73" s="56"/>
      <c r="O73" s="56"/>
      <c r="P73" s="56"/>
      <c r="Q73" s="375">
        <v>30000</v>
      </c>
      <c r="R73" s="375"/>
      <c r="S73" s="61" t="s">
        <v>25</v>
      </c>
      <c r="T73" s="61" t="s">
        <v>26</v>
      </c>
      <c r="U73" s="375">
        <v>1</v>
      </c>
      <c r="V73" s="61" t="s">
        <v>143</v>
      </c>
      <c r="W73" s="375" t="s">
        <v>26</v>
      </c>
      <c r="X73" s="375">
        <v>1</v>
      </c>
      <c r="Y73" s="375" t="s">
        <v>299</v>
      </c>
      <c r="Z73" s="375" t="s">
        <v>27</v>
      </c>
      <c r="AA73" s="380" t="s">
        <v>119</v>
      </c>
      <c r="AB73" s="375"/>
      <c r="AC73" s="375">
        <f>Q73*U73*X73</f>
        <v>30000</v>
      </c>
      <c r="AD73" s="64" t="s">
        <v>300</v>
      </c>
      <c r="AE73" s="21"/>
      <c r="AF73" s="20"/>
      <c r="AG73" s="20"/>
    </row>
    <row r="74" spans="1:33" s="12" customFormat="1" ht="21" customHeight="1">
      <c r="A74" s="51"/>
      <c r="B74" s="52"/>
      <c r="C74" s="52"/>
      <c r="D74" s="133"/>
      <c r="E74" s="133"/>
      <c r="F74" s="133"/>
      <c r="G74" s="133"/>
      <c r="H74" s="133"/>
      <c r="I74" s="133"/>
      <c r="J74" s="133"/>
      <c r="K74" s="133"/>
      <c r="L74" s="87"/>
      <c r="AD74" s="283"/>
      <c r="AE74" s="2"/>
    </row>
    <row r="75" spans="1:33" s="12" customFormat="1" ht="21" customHeight="1">
      <c r="A75" s="51"/>
      <c r="B75" s="52"/>
      <c r="C75" s="42" t="s">
        <v>42</v>
      </c>
      <c r="D75" s="137">
        <v>2000</v>
      </c>
      <c r="E75" s="137">
        <f>ROUND(AC75/1000,0)</f>
        <v>2243</v>
      </c>
      <c r="F75" s="137">
        <f>(AC76+AC77)/1000</f>
        <v>1542.8150000000001</v>
      </c>
      <c r="G75" s="137">
        <v>0</v>
      </c>
      <c r="H75" s="137">
        <f>SUM(AC78)/1000</f>
        <v>700</v>
      </c>
      <c r="I75" s="137">
        <v>0</v>
      </c>
      <c r="J75" s="137">
        <v>0</v>
      </c>
      <c r="K75" s="137">
        <f>E75-D75</f>
        <v>243</v>
      </c>
      <c r="L75" s="145">
        <f>IF(D75=0,0,K75/D75)</f>
        <v>0.1215</v>
      </c>
      <c r="M75" s="121" t="s">
        <v>43</v>
      </c>
      <c r="N75" s="117"/>
      <c r="O75" s="117"/>
      <c r="P75" s="117"/>
      <c r="Q75" s="117"/>
      <c r="R75" s="225"/>
      <c r="S75" s="110"/>
      <c r="T75" s="110"/>
      <c r="U75" s="110"/>
      <c r="V75" s="110"/>
      <c r="W75" s="110"/>
      <c r="X75" s="253" t="s">
        <v>170</v>
      </c>
      <c r="Y75" s="203"/>
      <c r="Z75" s="203"/>
      <c r="AA75" s="203"/>
      <c r="AB75" s="205"/>
      <c r="AC75" s="205">
        <f>SUM(AC76:AC78)</f>
        <v>2242815</v>
      </c>
      <c r="AD75" s="204" t="s">
        <v>25</v>
      </c>
      <c r="AE75" s="1"/>
    </row>
    <row r="76" spans="1:33" s="12" customFormat="1" ht="21" customHeight="1">
      <c r="A76" s="51"/>
      <c r="B76" s="52"/>
      <c r="C76" s="52" t="s">
        <v>147</v>
      </c>
      <c r="D76" s="133"/>
      <c r="E76" s="133"/>
      <c r="F76" s="133"/>
      <c r="G76" s="133"/>
      <c r="H76" s="133"/>
      <c r="I76" s="133"/>
      <c r="J76" s="133"/>
      <c r="K76" s="133"/>
      <c r="L76" s="87"/>
      <c r="M76" s="190" t="s">
        <v>171</v>
      </c>
      <c r="N76" s="56"/>
      <c r="O76" s="56"/>
      <c r="P76" s="56"/>
      <c r="Q76" s="57"/>
      <c r="R76" s="278"/>
      <c r="S76" s="61"/>
      <c r="T76" s="57"/>
      <c r="U76" s="578"/>
      <c r="V76" s="579"/>
      <c r="W76" s="57"/>
      <c r="X76" s="109"/>
      <c r="Y76" s="109"/>
      <c r="Z76" s="109"/>
      <c r="AA76" s="109" t="s">
        <v>262</v>
      </c>
      <c r="AB76" s="109"/>
      <c r="AC76" s="109">
        <v>842815</v>
      </c>
      <c r="AD76" s="147" t="s">
        <v>25</v>
      </c>
      <c r="AE76" s="1"/>
      <c r="AF76" s="14"/>
    </row>
    <row r="77" spans="1:33" s="12" customFormat="1" ht="21" customHeight="1">
      <c r="A77" s="51"/>
      <c r="B77" s="52"/>
      <c r="C77" s="52"/>
      <c r="D77" s="133"/>
      <c r="E77" s="133"/>
      <c r="F77" s="133"/>
      <c r="G77" s="133"/>
      <c r="H77" s="133"/>
      <c r="I77" s="133"/>
      <c r="J77" s="133"/>
      <c r="K77" s="133"/>
      <c r="L77" s="87"/>
      <c r="M77" s="270" t="s">
        <v>206</v>
      </c>
      <c r="N77" s="252"/>
      <c r="O77" s="252"/>
      <c r="P77" s="252"/>
      <c r="Q77" s="251"/>
      <c r="R77" s="278"/>
      <c r="S77" s="61"/>
      <c r="T77" s="61"/>
      <c r="U77" s="251"/>
      <c r="V77" s="252"/>
      <c r="W77" s="251"/>
      <c r="X77" s="251"/>
      <c r="Y77" s="251"/>
      <c r="Z77" s="251"/>
      <c r="AA77" s="339" t="s">
        <v>262</v>
      </c>
      <c r="AB77" s="251"/>
      <c r="AC77" s="251">
        <v>700000</v>
      </c>
      <c r="AD77" s="64" t="s">
        <v>173</v>
      </c>
      <c r="AE77" s="21"/>
    </row>
    <row r="78" spans="1:33" s="12" customFormat="1" ht="21" customHeight="1">
      <c r="A78" s="51"/>
      <c r="B78" s="52"/>
      <c r="C78" s="52"/>
      <c r="D78" s="133"/>
      <c r="E78" s="133"/>
      <c r="F78" s="133"/>
      <c r="G78" s="133"/>
      <c r="H78" s="133"/>
      <c r="I78" s="133"/>
      <c r="J78" s="133"/>
      <c r="K78" s="133"/>
      <c r="L78" s="87"/>
      <c r="M78" s="270" t="s">
        <v>207</v>
      </c>
      <c r="N78" s="270"/>
      <c r="O78" s="270"/>
      <c r="P78" s="270"/>
      <c r="Q78" s="269"/>
      <c r="R78" s="278"/>
      <c r="S78" s="61"/>
      <c r="T78" s="61"/>
      <c r="U78" s="269"/>
      <c r="V78" s="270"/>
      <c r="W78" s="269"/>
      <c r="X78" s="269"/>
      <c r="Y78" s="269"/>
      <c r="Z78" s="269"/>
      <c r="AA78" s="302" t="s">
        <v>225</v>
      </c>
      <c r="AB78" s="269"/>
      <c r="AC78" s="269">
        <v>700000</v>
      </c>
      <c r="AD78" s="64" t="s">
        <v>203</v>
      </c>
      <c r="AE78" s="21"/>
    </row>
    <row r="79" spans="1:33" s="12" customFormat="1" ht="21" customHeight="1">
      <c r="A79" s="51"/>
      <c r="B79" s="52"/>
      <c r="C79" s="66"/>
      <c r="D79" s="135"/>
      <c r="E79" s="135"/>
      <c r="F79" s="135"/>
      <c r="G79" s="135"/>
      <c r="H79" s="135"/>
      <c r="I79" s="135"/>
      <c r="J79" s="135"/>
      <c r="K79" s="135"/>
      <c r="L79" s="105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9"/>
      <c r="AD79" s="160"/>
      <c r="AE79" s="1"/>
    </row>
    <row r="80" spans="1:33" s="12" customFormat="1" ht="21" customHeight="1">
      <c r="A80" s="51"/>
      <c r="B80" s="52"/>
      <c r="C80" s="52" t="s">
        <v>40</v>
      </c>
      <c r="D80" s="133">
        <v>3680</v>
      </c>
      <c r="E80" s="133">
        <f>ROUND(AC80/1000,0)</f>
        <v>3321</v>
      </c>
      <c r="F80" s="133">
        <f>(AC83+AC81+AC82)/1000</f>
        <v>2320.94</v>
      </c>
      <c r="G80" s="133">
        <v>0</v>
      </c>
      <c r="H80" s="133">
        <f>(AC84+AC85)/1000</f>
        <v>1000</v>
      </c>
      <c r="I80" s="133">
        <v>0</v>
      </c>
      <c r="J80" s="133">
        <v>0</v>
      </c>
      <c r="K80" s="133">
        <f>E80-D80</f>
        <v>-359</v>
      </c>
      <c r="L80" s="87">
        <f>IF(D80=0,0,K80/D80)</f>
        <v>-9.7554347826086962E-2</v>
      </c>
      <c r="M80" s="140" t="s">
        <v>44</v>
      </c>
      <c r="N80" s="38"/>
      <c r="O80" s="38"/>
      <c r="P80" s="38"/>
      <c r="Q80" s="38"/>
      <c r="R80" s="221"/>
      <c r="S80" s="39"/>
      <c r="T80" s="39"/>
      <c r="U80" s="39"/>
      <c r="V80" s="39"/>
      <c r="W80" s="39"/>
      <c r="X80" s="203" t="s">
        <v>137</v>
      </c>
      <c r="Y80" s="203"/>
      <c r="Z80" s="203"/>
      <c r="AA80" s="203"/>
      <c r="AB80" s="205"/>
      <c r="AC80" s="205">
        <f>SUM(AC81:AC85)</f>
        <v>3320940</v>
      </c>
      <c r="AD80" s="204" t="s">
        <v>25</v>
      </c>
      <c r="AE80" s="1"/>
    </row>
    <row r="81" spans="1:33" s="12" customFormat="1" ht="21" customHeight="1">
      <c r="A81" s="51"/>
      <c r="B81" s="52"/>
      <c r="C81" s="52"/>
      <c r="D81" s="133"/>
      <c r="E81" s="133"/>
      <c r="F81" s="133"/>
      <c r="G81" s="133"/>
      <c r="H81" s="133"/>
      <c r="I81" s="133"/>
      <c r="J81" s="133"/>
      <c r="K81" s="133"/>
      <c r="L81" s="87"/>
      <c r="M81" s="190" t="s">
        <v>219</v>
      </c>
      <c r="N81" s="56"/>
      <c r="O81" s="56"/>
      <c r="P81" s="56"/>
      <c r="Q81" s="155">
        <v>30000</v>
      </c>
      <c r="R81" s="155"/>
      <c r="S81" s="156" t="s">
        <v>25</v>
      </c>
      <c r="T81" s="156" t="s">
        <v>26</v>
      </c>
      <c r="U81" s="155">
        <v>10</v>
      </c>
      <c r="V81" s="154" t="s">
        <v>29</v>
      </c>
      <c r="W81" s="155" t="s">
        <v>27</v>
      </c>
      <c r="X81" s="57"/>
      <c r="Y81" s="57"/>
      <c r="Z81" s="152"/>
      <c r="AA81" s="302" t="s">
        <v>226</v>
      </c>
      <c r="AB81" s="57"/>
      <c r="AC81" s="57">
        <f>ROUNDUP(Q81*U81,1)</f>
        <v>300000</v>
      </c>
      <c r="AD81" s="64" t="s">
        <v>25</v>
      </c>
      <c r="AE81" s="1"/>
      <c r="AF81" s="14"/>
    </row>
    <row r="82" spans="1:33" s="12" customFormat="1" ht="21" customHeight="1">
      <c r="A82" s="51"/>
      <c r="B82" s="346"/>
      <c r="C82" s="346"/>
      <c r="D82" s="133"/>
      <c r="E82" s="133"/>
      <c r="F82" s="133"/>
      <c r="G82" s="133"/>
      <c r="H82" s="133"/>
      <c r="I82" s="133"/>
      <c r="J82" s="133"/>
      <c r="K82" s="133"/>
      <c r="L82" s="87"/>
      <c r="M82" s="190" t="s">
        <v>219</v>
      </c>
      <c r="N82" s="522"/>
      <c r="O82" s="522"/>
      <c r="P82" s="522"/>
      <c r="Q82" s="155">
        <v>20940</v>
      </c>
      <c r="R82" s="155"/>
      <c r="S82" s="156" t="s">
        <v>25</v>
      </c>
      <c r="T82" s="156" t="s">
        <v>26</v>
      </c>
      <c r="U82" s="155">
        <v>1</v>
      </c>
      <c r="V82" s="154" t="s">
        <v>29</v>
      </c>
      <c r="W82" s="155" t="s">
        <v>27</v>
      </c>
      <c r="X82" s="521"/>
      <c r="Y82" s="521"/>
      <c r="Z82" s="521"/>
      <c r="AA82" s="521" t="s">
        <v>97</v>
      </c>
      <c r="AB82" s="521"/>
      <c r="AC82" s="521">
        <f>Q82</f>
        <v>20940</v>
      </c>
      <c r="AD82" s="64" t="s">
        <v>25</v>
      </c>
      <c r="AE82" s="1"/>
    </row>
    <row r="83" spans="1:33" s="12" customFormat="1" ht="21" customHeight="1">
      <c r="A83" s="51"/>
      <c r="B83" s="52"/>
      <c r="C83" s="52"/>
      <c r="D83" s="133"/>
      <c r="E83" s="133"/>
      <c r="F83" s="133"/>
      <c r="G83" s="133"/>
      <c r="H83" s="133"/>
      <c r="I83" s="133"/>
      <c r="J83" s="133"/>
      <c r="K83" s="133"/>
      <c r="L83" s="87"/>
      <c r="M83" s="83" t="s">
        <v>220</v>
      </c>
      <c r="N83" s="181"/>
      <c r="O83" s="181"/>
      <c r="P83" s="181"/>
      <c r="Q83" s="222">
        <v>200000</v>
      </c>
      <c r="R83" s="278"/>
      <c r="S83" s="61" t="s">
        <v>57</v>
      </c>
      <c r="T83" s="61" t="s">
        <v>26</v>
      </c>
      <c r="U83" s="222">
        <v>10</v>
      </c>
      <c r="V83" s="223" t="s">
        <v>0</v>
      </c>
      <c r="W83" s="222" t="s">
        <v>27</v>
      </c>
      <c r="X83" s="222"/>
      <c r="Y83" s="222"/>
      <c r="Z83" s="222"/>
      <c r="AA83" s="302" t="s">
        <v>226</v>
      </c>
      <c r="AB83" s="222"/>
      <c r="AC83" s="222">
        <f>Q83*U83</f>
        <v>2000000</v>
      </c>
      <c r="AD83" s="64" t="s">
        <v>113</v>
      </c>
      <c r="AE83" s="1"/>
    </row>
    <row r="84" spans="1:33" s="12" customFormat="1" ht="21" customHeight="1">
      <c r="A84" s="51"/>
      <c r="B84" s="52"/>
      <c r="C84" s="52"/>
      <c r="D84" s="133"/>
      <c r="E84" s="133"/>
      <c r="F84" s="133"/>
      <c r="G84" s="133"/>
      <c r="H84" s="133"/>
      <c r="I84" s="133"/>
      <c r="J84" s="133"/>
      <c r="K84" s="133"/>
      <c r="L84" s="87"/>
      <c r="M84" s="295" t="s">
        <v>221</v>
      </c>
      <c r="N84" s="295"/>
      <c r="O84" s="295"/>
      <c r="P84" s="295"/>
      <c r="Q84" s="155">
        <v>50000</v>
      </c>
      <c r="R84" s="155"/>
      <c r="S84" s="156" t="s">
        <v>25</v>
      </c>
      <c r="T84" s="156" t="s">
        <v>26</v>
      </c>
      <c r="U84" s="155">
        <v>2</v>
      </c>
      <c r="V84" s="154" t="s">
        <v>29</v>
      </c>
      <c r="W84" s="155" t="s">
        <v>27</v>
      </c>
      <c r="X84" s="294"/>
      <c r="Y84" s="294"/>
      <c r="Z84" s="294"/>
      <c r="AA84" s="302" t="s">
        <v>225</v>
      </c>
      <c r="AB84" s="294"/>
      <c r="AC84" s="294">
        <f>ROUNDUP(Q84*U84,1)</f>
        <v>100000</v>
      </c>
      <c r="AD84" s="64" t="s">
        <v>25</v>
      </c>
      <c r="AE84" s="1"/>
    </row>
    <row r="85" spans="1:33" s="12" customFormat="1" ht="21" customHeight="1">
      <c r="A85" s="51"/>
      <c r="B85" s="52"/>
      <c r="C85" s="52"/>
      <c r="D85" s="133"/>
      <c r="E85" s="133"/>
      <c r="F85" s="133"/>
      <c r="G85" s="133"/>
      <c r="H85" s="133"/>
      <c r="I85" s="133"/>
      <c r="J85" s="133"/>
      <c r="K85" s="133"/>
      <c r="L85" s="87"/>
      <c r="M85" s="340" t="s">
        <v>222</v>
      </c>
      <c r="N85" s="295"/>
      <c r="O85" s="295"/>
      <c r="P85" s="295"/>
      <c r="Q85" s="294">
        <v>450000</v>
      </c>
      <c r="R85" s="294"/>
      <c r="S85" s="61" t="s">
        <v>57</v>
      </c>
      <c r="T85" s="61" t="s">
        <v>26</v>
      </c>
      <c r="U85" s="294">
        <v>2</v>
      </c>
      <c r="V85" s="295" t="s">
        <v>0</v>
      </c>
      <c r="W85" s="294" t="s">
        <v>27</v>
      </c>
      <c r="X85" s="294"/>
      <c r="Y85" s="294"/>
      <c r="Z85" s="294"/>
      <c r="AA85" s="302" t="s">
        <v>225</v>
      </c>
      <c r="AB85" s="294"/>
      <c r="AC85" s="294">
        <f>Q85*U85</f>
        <v>900000</v>
      </c>
      <c r="AD85" s="64" t="s">
        <v>57</v>
      </c>
      <c r="AE85" s="1"/>
    </row>
    <row r="86" spans="1:33" s="15" customFormat="1" ht="21" customHeight="1">
      <c r="A86" s="51"/>
      <c r="B86" s="52"/>
      <c r="C86" s="52"/>
      <c r="D86" s="133"/>
      <c r="E86" s="133"/>
      <c r="F86" s="133"/>
      <c r="G86" s="133"/>
      <c r="H86" s="133"/>
      <c r="I86" s="133"/>
      <c r="J86" s="133"/>
      <c r="K86" s="133"/>
      <c r="L86" s="87"/>
      <c r="M86" s="144"/>
      <c r="N86" s="56"/>
      <c r="O86" s="56"/>
      <c r="P86" s="56"/>
      <c r="Q86" s="57"/>
      <c r="R86" s="278"/>
      <c r="S86" s="61"/>
      <c r="T86" s="61"/>
      <c r="U86" s="57"/>
      <c r="V86" s="56"/>
      <c r="W86" s="57"/>
      <c r="X86" s="57"/>
      <c r="Y86" s="57"/>
      <c r="Z86" s="57"/>
      <c r="AA86" s="174"/>
      <c r="AB86" s="57"/>
      <c r="AC86" s="57"/>
      <c r="AD86" s="64"/>
      <c r="AE86" s="4"/>
    </row>
    <row r="87" spans="1:33" ht="21" customHeight="1">
      <c r="A87" s="51"/>
      <c r="B87" s="52"/>
      <c r="C87" s="42" t="s">
        <v>15</v>
      </c>
      <c r="D87" s="137">
        <v>593</v>
      </c>
      <c r="E87" s="137">
        <f>ROUND(AC87/1000,0)</f>
        <v>321</v>
      </c>
      <c r="F87" s="137">
        <f>(AC90+AC91+AC88+AC89)/1000</f>
        <v>270.63</v>
      </c>
      <c r="G87" s="137">
        <v>0</v>
      </c>
      <c r="H87" s="137">
        <f>(AC93+AC94+AC95+AC96+AC92)/1000</f>
        <v>50</v>
      </c>
      <c r="I87" s="137">
        <v>0</v>
      </c>
      <c r="J87" s="137">
        <v>0</v>
      </c>
      <c r="K87" s="227">
        <f>E87-D87</f>
        <v>-272</v>
      </c>
      <c r="L87" s="145">
        <f>IF(D87=0,0,K87/D87)</f>
        <v>-0.45868465430016864</v>
      </c>
      <c r="M87" s="121" t="s">
        <v>45</v>
      </c>
      <c r="N87" s="117"/>
      <c r="O87" s="117"/>
      <c r="P87" s="117"/>
      <c r="Q87" s="117"/>
      <c r="R87" s="225"/>
      <c r="S87" s="110"/>
      <c r="T87" s="110"/>
      <c r="U87" s="110"/>
      <c r="V87" s="110"/>
      <c r="W87" s="110"/>
      <c r="X87" s="203" t="s">
        <v>137</v>
      </c>
      <c r="Y87" s="203"/>
      <c r="Z87" s="203"/>
      <c r="AA87" s="203"/>
      <c r="AB87" s="205"/>
      <c r="AC87" s="205">
        <f>SUM(AC88:AC96)</f>
        <v>320630</v>
      </c>
      <c r="AD87" s="204" t="s">
        <v>25</v>
      </c>
    </row>
    <row r="88" spans="1:33" s="12" customFormat="1" ht="21" customHeight="1">
      <c r="A88" s="51"/>
      <c r="B88" s="52"/>
      <c r="C88" s="52"/>
      <c r="D88" s="133"/>
      <c r="E88" s="133"/>
      <c r="F88" s="133"/>
      <c r="G88" s="133"/>
      <c r="H88" s="133"/>
      <c r="I88" s="133"/>
      <c r="J88" s="133"/>
      <c r="K88" s="133"/>
      <c r="L88" s="87"/>
      <c r="M88" s="252" t="s">
        <v>174</v>
      </c>
      <c r="N88" s="161"/>
      <c r="O88" s="161"/>
      <c r="P88" s="161"/>
      <c r="Q88" s="155">
        <v>17930</v>
      </c>
      <c r="R88" s="155"/>
      <c r="S88" s="156" t="s">
        <v>25</v>
      </c>
      <c r="T88" s="156" t="s">
        <v>26</v>
      </c>
      <c r="U88" s="155">
        <v>1</v>
      </c>
      <c r="V88" s="154" t="s">
        <v>169</v>
      </c>
      <c r="W88" s="155" t="s">
        <v>27</v>
      </c>
      <c r="X88" s="57"/>
      <c r="Y88" s="57"/>
      <c r="Z88" s="56"/>
      <c r="AA88" s="340" t="s">
        <v>262</v>
      </c>
      <c r="AB88" s="57"/>
      <c r="AC88" s="57">
        <v>17930</v>
      </c>
      <c r="AD88" s="64" t="s">
        <v>173</v>
      </c>
      <c r="AE88" s="1"/>
      <c r="AG88" s="14"/>
    </row>
    <row r="89" spans="1:33" s="12" customFormat="1" ht="21" customHeight="1">
      <c r="A89" s="51"/>
      <c r="B89" s="52"/>
      <c r="C89" s="52"/>
      <c r="D89" s="133"/>
      <c r="E89" s="133"/>
      <c r="F89" s="133"/>
      <c r="G89" s="133"/>
      <c r="H89" s="133"/>
      <c r="I89" s="133"/>
      <c r="J89" s="133"/>
      <c r="K89" s="133"/>
      <c r="L89" s="87"/>
      <c r="M89" s="262" t="s">
        <v>175</v>
      </c>
      <c r="N89" s="34"/>
      <c r="O89" s="34"/>
      <c r="P89" s="34"/>
      <c r="Q89" s="155">
        <v>87700</v>
      </c>
      <c r="R89" s="155"/>
      <c r="S89" s="156" t="s">
        <v>25</v>
      </c>
      <c r="T89" s="156" t="s">
        <v>26</v>
      </c>
      <c r="U89" s="155">
        <v>1</v>
      </c>
      <c r="V89" s="154" t="s">
        <v>169</v>
      </c>
      <c r="W89" s="155" t="s">
        <v>27</v>
      </c>
      <c r="X89" s="251"/>
      <c r="Y89" s="251"/>
      <c r="Z89" s="252"/>
      <c r="AA89" s="340" t="s">
        <v>262</v>
      </c>
      <c r="AB89" s="251"/>
      <c r="AC89" s="251">
        <f>Q89*U89</f>
        <v>87700</v>
      </c>
      <c r="AD89" s="64" t="s">
        <v>173</v>
      </c>
      <c r="AE89" s="1"/>
    </row>
    <row r="90" spans="1:33" s="12" customFormat="1" ht="21" customHeight="1">
      <c r="A90" s="51"/>
      <c r="B90" s="52"/>
      <c r="C90" s="52"/>
      <c r="D90" s="133"/>
      <c r="E90" s="133"/>
      <c r="F90" s="133"/>
      <c r="G90" s="133"/>
      <c r="H90" s="133"/>
      <c r="I90" s="133"/>
      <c r="J90" s="133"/>
      <c r="K90" s="133"/>
      <c r="L90" s="87"/>
      <c r="M90" s="252" t="s">
        <v>176</v>
      </c>
      <c r="N90" s="34"/>
      <c r="O90" s="34"/>
      <c r="P90" s="34"/>
      <c r="Q90" s="155">
        <v>110000</v>
      </c>
      <c r="R90" s="155"/>
      <c r="S90" s="156" t="s">
        <v>25</v>
      </c>
      <c r="T90" s="156" t="s">
        <v>26</v>
      </c>
      <c r="U90" s="155">
        <v>1</v>
      </c>
      <c r="V90" s="154" t="s">
        <v>169</v>
      </c>
      <c r="W90" s="155" t="s">
        <v>27</v>
      </c>
      <c r="X90" s="57"/>
      <c r="Y90" s="57"/>
      <c r="Z90" s="56"/>
      <c r="AA90" s="340" t="s">
        <v>262</v>
      </c>
      <c r="AB90" s="57"/>
      <c r="AC90" s="251">
        <f t="shared" ref="AC90:AC92" si="8">Q90*U90</f>
        <v>110000</v>
      </c>
      <c r="AD90" s="64" t="s">
        <v>25</v>
      </c>
      <c r="AE90" s="1"/>
      <c r="AF90" s="14"/>
    </row>
    <row r="91" spans="1:33" s="12" customFormat="1" ht="21" customHeight="1">
      <c r="A91" s="51"/>
      <c r="B91" s="52"/>
      <c r="C91" s="52"/>
      <c r="D91" s="133"/>
      <c r="E91" s="133"/>
      <c r="F91" s="133"/>
      <c r="G91" s="133"/>
      <c r="H91" s="133"/>
      <c r="I91" s="133"/>
      <c r="J91" s="133"/>
      <c r="K91" s="133"/>
      <c r="L91" s="87"/>
      <c r="M91" s="252" t="s">
        <v>177</v>
      </c>
      <c r="N91" s="161"/>
      <c r="O91" s="161"/>
      <c r="P91" s="161"/>
      <c r="Q91" s="155">
        <v>55000</v>
      </c>
      <c r="R91" s="155"/>
      <c r="S91" s="156" t="s">
        <v>25</v>
      </c>
      <c r="T91" s="156" t="s">
        <v>26</v>
      </c>
      <c r="U91" s="155">
        <v>1</v>
      </c>
      <c r="V91" s="154" t="s">
        <v>169</v>
      </c>
      <c r="W91" s="155" t="s">
        <v>27</v>
      </c>
      <c r="X91" s="57"/>
      <c r="Y91" s="57"/>
      <c r="Z91" s="56"/>
      <c r="AA91" s="340" t="s">
        <v>262</v>
      </c>
      <c r="AB91" s="57"/>
      <c r="AC91" s="251">
        <f t="shared" si="8"/>
        <v>55000</v>
      </c>
      <c r="AD91" s="64" t="s">
        <v>25</v>
      </c>
      <c r="AE91" s="1"/>
    </row>
    <row r="92" spans="1:33" s="12" customFormat="1" ht="21" customHeight="1">
      <c r="A92" s="51"/>
      <c r="B92" s="52"/>
      <c r="C92" s="52"/>
      <c r="D92" s="133"/>
      <c r="E92" s="133"/>
      <c r="F92" s="133"/>
      <c r="G92" s="133"/>
      <c r="H92" s="133"/>
      <c r="I92" s="133"/>
      <c r="J92" s="133"/>
      <c r="K92" s="133"/>
      <c r="L92" s="87"/>
      <c r="M92" s="252" t="s">
        <v>178</v>
      </c>
      <c r="N92" s="34"/>
      <c r="O92" s="34"/>
      <c r="P92" s="34"/>
      <c r="Q92" s="155">
        <v>35000</v>
      </c>
      <c r="R92" s="155"/>
      <c r="S92" s="156" t="s">
        <v>25</v>
      </c>
      <c r="T92" s="156" t="s">
        <v>26</v>
      </c>
      <c r="U92" s="155">
        <v>1</v>
      </c>
      <c r="V92" s="154" t="s">
        <v>169</v>
      </c>
      <c r="W92" s="155" t="s">
        <v>27</v>
      </c>
      <c r="X92" s="57"/>
      <c r="Y92" s="57"/>
      <c r="Z92" s="56"/>
      <c r="AA92" s="528" t="s">
        <v>110</v>
      </c>
      <c r="AB92" s="57"/>
      <c r="AC92" s="251">
        <f t="shared" si="8"/>
        <v>35000</v>
      </c>
      <c r="AD92" s="64" t="s">
        <v>25</v>
      </c>
      <c r="AE92" s="1"/>
    </row>
    <row r="93" spans="1:33" s="12" customFormat="1" ht="21" customHeight="1">
      <c r="A93" s="51"/>
      <c r="B93" s="52"/>
      <c r="C93" s="52"/>
      <c r="D93" s="133"/>
      <c r="E93" s="133"/>
      <c r="F93" s="133"/>
      <c r="G93" s="133"/>
      <c r="H93" s="133"/>
      <c r="I93" s="133"/>
      <c r="J93" s="133"/>
      <c r="K93" s="133"/>
      <c r="L93" s="87"/>
      <c r="M93" s="293" t="s">
        <v>215</v>
      </c>
      <c r="N93" s="34"/>
      <c r="O93" s="34"/>
      <c r="P93" s="34"/>
      <c r="Q93" s="155">
        <v>0</v>
      </c>
      <c r="R93" s="155"/>
      <c r="S93" s="156" t="s">
        <v>25</v>
      </c>
      <c r="T93" s="156" t="s">
        <v>26</v>
      </c>
      <c r="U93" s="155">
        <v>1</v>
      </c>
      <c r="V93" s="154" t="s">
        <v>75</v>
      </c>
      <c r="W93" s="155" t="s">
        <v>27</v>
      </c>
      <c r="X93" s="292"/>
      <c r="Y93" s="292"/>
      <c r="Z93" s="293"/>
      <c r="AA93" s="340" t="s">
        <v>302</v>
      </c>
      <c r="AB93" s="292"/>
      <c r="AC93" s="292">
        <f t="shared" ref="AC93" si="9">Q93*U93</f>
        <v>0</v>
      </c>
      <c r="AD93" s="64" t="s">
        <v>67</v>
      </c>
      <c r="AE93" s="1"/>
    </row>
    <row r="94" spans="1:33" s="12" customFormat="1" ht="21" customHeight="1">
      <c r="A94" s="51"/>
      <c r="B94" s="346"/>
      <c r="C94" s="346"/>
      <c r="D94" s="133"/>
      <c r="E94" s="133"/>
      <c r="F94" s="133"/>
      <c r="G94" s="133"/>
      <c r="H94" s="133"/>
      <c r="I94" s="133"/>
      <c r="J94" s="133"/>
      <c r="K94" s="133"/>
      <c r="L94" s="87"/>
      <c r="M94" s="379" t="s">
        <v>306</v>
      </c>
      <c r="N94" s="161"/>
      <c r="O94" s="161"/>
      <c r="P94" s="161"/>
      <c r="Q94" s="368">
        <v>0</v>
      </c>
      <c r="R94" s="161"/>
      <c r="S94" s="156" t="s">
        <v>25</v>
      </c>
      <c r="T94" s="156" t="s">
        <v>26</v>
      </c>
      <c r="U94" s="155">
        <v>1</v>
      </c>
      <c r="V94" s="154" t="s">
        <v>307</v>
      </c>
      <c r="W94" s="234"/>
      <c r="X94" s="234" t="s">
        <v>308</v>
      </c>
      <c r="Y94" s="155">
        <v>3</v>
      </c>
      <c r="Z94" s="155" t="s">
        <v>27</v>
      </c>
      <c r="AA94" s="378" t="s">
        <v>309</v>
      </c>
      <c r="AB94" s="92"/>
      <c r="AC94" s="378">
        <f>Q94/Y94</f>
        <v>0</v>
      </c>
      <c r="AD94" s="64" t="s">
        <v>310</v>
      </c>
      <c r="AE94" s="1"/>
    </row>
    <row r="95" spans="1:33" s="12" customFormat="1" ht="21" customHeight="1">
      <c r="A95" s="51"/>
      <c r="B95" s="346"/>
      <c r="C95" s="346"/>
      <c r="D95" s="133"/>
      <c r="E95" s="133"/>
      <c r="F95" s="133"/>
      <c r="G95" s="133"/>
      <c r="H95" s="133"/>
      <c r="I95" s="133"/>
      <c r="J95" s="133"/>
      <c r="K95" s="133"/>
      <c r="L95" s="87"/>
      <c r="M95" s="379" t="s">
        <v>304</v>
      </c>
      <c r="N95" s="161"/>
      <c r="O95" s="161"/>
      <c r="P95" s="161"/>
      <c r="Q95" s="368">
        <v>10000</v>
      </c>
      <c r="R95" s="161"/>
      <c r="S95" s="156" t="s">
        <v>25</v>
      </c>
      <c r="T95" s="156" t="s">
        <v>26</v>
      </c>
      <c r="U95" s="155">
        <v>1</v>
      </c>
      <c r="V95" s="154" t="s">
        <v>305</v>
      </c>
      <c r="W95" s="234" t="s">
        <v>27</v>
      </c>
      <c r="X95" s="234"/>
      <c r="Y95" s="155"/>
      <c r="Z95" s="155"/>
      <c r="AA95" s="378" t="s">
        <v>283</v>
      </c>
      <c r="AB95" s="92"/>
      <c r="AC95" s="378">
        <v>10000</v>
      </c>
      <c r="AD95" s="64" t="s">
        <v>25</v>
      </c>
      <c r="AE95" s="1"/>
    </row>
    <row r="96" spans="1:33" s="12" customFormat="1" ht="21" customHeight="1">
      <c r="A96" s="51"/>
      <c r="B96" s="52"/>
      <c r="C96" s="52"/>
      <c r="D96" s="133"/>
      <c r="E96" s="133"/>
      <c r="F96" s="133"/>
      <c r="G96" s="133"/>
      <c r="H96" s="133"/>
      <c r="I96" s="133"/>
      <c r="J96" s="133"/>
      <c r="K96" s="133"/>
      <c r="L96" s="87"/>
      <c r="M96" s="528" t="s">
        <v>471</v>
      </c>
      <c r="N96" s="161"/>
      <c r="O96" s="161"/>
      <c r="P96" s="161"/>
      <c r="Q96" s="368">
        <v>5000</v>
      </c>
      <c r="R96" s="161"/>
      <c r="S96" s="156" t="s">
        <v>472</v>
      </c>
      <c r="T96" s="156" t="s">
        <v>26</v>
      </c>
      <c r="U96" s="155">
        <v>1</v>
      </c>
      <c r="V96" s="154" t="s">
        <v>305</v>
      </c>
      <c r="W96" s="234" t="s">
        <v>27</v>
      </c>
      <c r="X96" s="234"/>
      <c r="Y96" s="155"/>
      <c r="Z96" s="155"/>
      <c r="AA96" s="527" t="s">
        <v>283</v>
      </c>
      <c r="AB96" s="92"/>
      <c r="AC96" s="527">
        <v>5000</v>
      </c>
      <c r="AD96" s="64" t="s">
        <v>25</v>
      </c>
      <c r="AE96" s="1"/>
    </row>
    <row r="97" spans="1:31" s="12" customFormat="1" ht="21" customHeight="1">
      <c r="A97" s="51"/>
      <c r="B97" s="52"/>
      <c r="C97" s="42" t="s">
        <v>46</v>
      </c>
      <c r="D97" s="137">
        <v>320</v>
      </c>
      <c r="E97" s="137">
        <f>ROUND(AC97/1000,0)</f>
        <v>0</v>
      </c>
      <c r="F97" s="137">
        <v>0</v>
      </c>
      <c r="G97" s="137">
        <v>0</v>
      </c>
      <c r="H97" s="137">
        <f>AC97/1000</f>
        <v>0</v>
      </c>
      <c r="I97" s="137">
        <v>0</v>
      </c>
      <c r="J97" s="137">
        <v>0</v>
      </c>
      <c r="K97" s="137">
        <f>E97-D97</f>
        <v>-320</v>
      </c>
      <c r="L97" s="145">
        <f>IF(D97=0,0,K97/D97)</f>
        <v>-1</v>
      </c>
      <c r="M97" s="121" t="s">
        <v>47</v>
      </c>
      <c r="N97" s="117"/>
      <c r="O97" s="117"/>
      <c r="P97" s="117"/>
      <c r="Q97" s="117"/>
      <c r="R97" s="225"/>
      <c r="S97" s="110"/>
      <c r="T97" s="110"/>
      <c r="U97" s="110"/>
      <c r="V97" s="110"/>
      <c r="W97" s="110"/>
      <c r="X97" s="203" t="s">
        <v>137</v>
      </c>
      <c r="Y97" s="203"/>
      <c r="Z97" s="203"/>
      <c r="AA97" s="203"/>
      <c r="AB97" s="205"/>
      <c r="AC97" s="205">
        <f>SUM(AC98:AC98)</f>
        <v>0</v>
      </c>
      <c r="AD97" s="204" t="s">
        <v>25</v>
      </c>
      <c r="AE97" s="1"/>
    </row>
    <row r="98" spans="1:31" s="12" customFormat="1" ht="21" customHeight="1">
      <c r="A98" s="51"/>
      <c r="B98" s="52"/>
      <c r="C98" s="52"/>
      <c r="D98" s="133"/>
      <c r="E98" s="133"/>
      <c r="F98" s="133"/>
      <c r="G98" s="133"/>
      <c r="H98" s="133"/>
      <c r="I98" s="133"/>
      <c r="J98" s="133"/>
      <c r="K98" s="133"/>
      <c r="L98" s="87"/>
      <c r="M98" s="252" t="s">
        <v>179</v>
      </c>
      <c r="N98" s="56"/>
      <c r="O98" s="56"/>
      <c r="P98" s="56"/>
      <c r="Q98" s="155">
        <v>0</v>
      </c>
      <c r="R98" s="155"/>
      <c r="S98" s="156" t="s">
        <v>25</v>
      </c>
      <c r="T98" s="156" t="s">
        <v>26</v>
      </c>
      <c r="U98" s="155">
        <v>12</v>
      </c>
      <c r="V98" s="154" t="s">
        <v>172</v>
      </c>
      <c r="W98" s="155" t="s">
        <v>27</v>
      </c>
      <c r="X98" s="234" t="s">
        <v>73</v>
      </c>
      <c r="Y98" s="92">
        <v>3</v>
      </c>
      <c r="Z98" s="155" t="s">
        <v>27</v>
      </c>
      <c r="AA98" s="57" t="s">
        <v>284</v>
      </c>
      <c r="AB98" s="57"/>
      <c r="AC98" s="57">
        <f>Q98*U98/Y98</f>
        <v>0</v>
      </c>
      <c r="AD98" s="64" t="s">
        <v>25</v>
      </c>
      <c r="AE98" s="1"/>
    </row>
    <row r="99" spans="1:31" s="12" customFormat="1" ht="21" customHeight="1">
      <c r="A99" s="51"/>
      <c r="B99" s="52"/>
      <c r="C99" s="66"/>
      <c r="D99" s="135"/>
      <c r="E99" s="135"/>
      <c r="F99" s="135"/>
      <c r="G99" s="135"/>
      <c r="H99" s="135"/>
      <c r="I99" s="135"/>
      <c r="J99" s="135"/>
      <c r="K99" s="135"/>
      <c r="L99" s="105"/>
      <c r="M99" s="98"/>
      <c r="N99" s="98"/>
      <c r="O99" s="98"/>
      <c r="P99" s="98"/>
      <c r="Q99" s="97"/>
      <c r="R99" s="275"/>
      <c r="S99" s="106"/>
      <c r="T99" s="97"/>
      <c r="U99" s="574"/>
      <c r="V99" s="575"/>
      <c r="W99" s="97"/>
      <c r="X99" s="97"/>
      <c r="Y99" s="97"/>
      <c r="Z99" s="97"/>
      <c r="AA99" s="162"/>
      <c r="AB99" s="97"/>
      <c r="AC99" s="97"/>
      <c r="AD99" s="90"/>
      <c r="AE99" s="1"/>
    </row>
    <row r="100" spans="1:31" s="12" customFormat="1" ht="21" customHeight="1">
      <c r="A100" s="51"/>
      <c r="B100" s="52"/>
      <c r="C100" s="42" t="s">
        <v>98</v>
      </c>
      <c r="D100" s="137">
        <v>150</v>
      </c>
      <c r="E100" s="137">
        <f>ROUND(AC100/1000,0)</f>
        <v>50</v>
      </c>
      <c r="F100" s="137">
        <f>AC101/1000</f>
        <v>50</v>
      </c>
      <c r="G100" s="137">
        <v>0</v>
      </c>
      <c r="H100" s="137">
        <f>AC102/1000</f>
        <v>0</v>
      </c>
      <c r="I100" s="137">
        <v>0</v>
      </c>
      <c r="J100" s="137">
        <v>0</v>
      </c>
      <c r="K100" s="137">
        <f>E100-D100</f>
        <v>-100</v>
      </c>
      <c r="L100" s="145">
        <f>IF(D100=0,0,K100/D100)</f>
        <v>-0.66666666666666663</v>
      </c>
      <c r="M100" s="140" t="s">
        <v>99</v>
      </c>
      <c r="N100" s="117"/>
      <c r="O100" s="117"/>
      <c r="P100" s="117"/>
      <c r="Q100" s="117"/>
      <c r="R100" s="225"/>
      <c r="S100" s="110"/>
      <c r="T100" s="110"/>
      <c r="U100" s="110"/>
      <c r="V100" s="110"/>
      <c r="W100" s="110"/>
      <c r="X100" s="203" t="s">
        <v>137</v>
      </c>
      <c r="Y100" s="203"/>
      <c r="Z100" s="203"/>
      <c r="AA100" s="203"/>
      <c r="AB100" s="205"/>
      <c r="AC100" s="205">
        <f>SUM(AC101:AC102)</f>
        <v>50000</v>
      </c>
      <c r="AD100" s="204" t="s">
        <v>25</v>
      </c>
      <c r="AE100" s="1"/>
    </row>
    <row r="101" spans="1:31" s="12" customFormat="1" ht="20.25" customHeight="1">
      <c r="A101" s="51"/>
      <c r="B101" s="52"/>
      <c r="C101" s="52"/>
      <c r="D101" s="133"/>
      <c r="E101" s="133"/>
      <c r="F101" s="133"/>
      <c r="G101" s="133"/>
      <c r="H101" s="133"/>
      <c r="I101" s="133"/>
      <c r="J101" s="133"/>
      <c r="K101" s="133"/>
      <c r="L101" s="87"/>
      <c r="M101" s="252" t="s">
        <v>311</v>
      </c>
      <c r="N101" s="153"/>
      <c r="O101" s="153"/>
      <c r="P101" s="153"/>
      <c r="Q101" s="141"/>
      <c r="R101" s="141"/>
      <c r="S101" s="152"/>
      <c r="T101" s="152"/>
      <c r="U101" s="152"/>
      <c r="V101" s="152"/>
      <c r="W101" s="152"/>
      <c r="X101" s="152"/>
      <c r="Y101" s="152"/>
      <c r="Z101" s="152"/>
      <c r="AA101" s="152" t="s">
        <v>280</v>
      </c>
      <c r="AB101" s="84"/>
      <c r="AC101" s="84">
        <v>50000</v>
      </c>
      <c r="AD101" s="64" t="s">
        <v>25</v>
      </c>
      <c r="AE101" s="2"/>
    </row>
    <row r="102" spans="1:31" s="12" customFormat="1" ht="20.25" customHeight="1">
      <c r="A102" s="51"/>
      <c r="B102" s="52"/>
      <c r="C102" s="53"/>
      <c r="D102" s="133"/>
      <c r="E102" s="133"/>
      <c r="F102" s="133"/>
      <c r="G102" s="133"/>
      <c r="H102" s="133"/>
      <c r="I102" s="133"/>
      <c r="J102" s="133"/>
      <c r="K102" s="133"/>
      <c r="L102" s="87"/>
      <c r="M102" s="88"/>
      <c r="N102" s="266"/>
      <c r="O102" s="266"/>
      <c r="P102" s="266"/>
      <c r="Q102" s="107"/>
      <c r="R102" s="107"/>
      <c r="S102" s="265"/>
      <c r="T102" s="265"/>
      <c r="U102" s="265"/>
      <c r="V102" s="265"/>
      <c r="W102" s="265"/>
      <c r="X102" s="265"/>
      <c r="Y102" s="265"/>
      <c r="Z102" s="265"/>
      <c r="AA102" s="265" t="s">
        <v>283</v>
      </c>
      <c r="AB102" s="89"/>
      <c r="AC102" s="89">
        <v>0</v>
      </c>
      <c r="AD102" s="90" t="s">
        <v>25</v>
      </c>
      <c r="AE102" s="2"/>
    </row>
    <row r="103" spans="1:31" s="12" customFormat="1" ht="21" customHeight="1">
      <c r="A103" s="136" t="s">
        <v>48</v>
      </c>
      <c r="B103" s="596" t="s">
        <v>21</v>
      </c>
      <c r="C103" s="596"/>
      <c r="D103" s="230">
        <v>4940</v>
      </c>
      <c r="E103" s="230">
        <f>E104</f>
        <v>4500</v>
      </c>
      <c r="F103" s="230">
        <f>F104</f>
        <v>0</v>
      </c>
      <c r="G103" s="230">
        <f>G104</f>
        <v>1450</v>
      </c>
      <c r="H103" s="230">
        <f>H104</f>
        <v>3050</v>
      </c>
      <c r="I103" s="230">
        <v>0</v>
      </c>
      <c r="J103" s="230">
        <f t="shared" ref="J103" si="10">J104</f>
        <v>0</v>
      </c>
      <c r="K103" s="230">
        <f>E103-D103</f>
        <v>-440</v>
      </c>
      <c r="L103" s="196">
        <f>IF(D103=0,0,K103/D103)</f>
        <v>-8.9068825910931168E-2</v>
      </c>
      <c r="M103" s="356" t="s">
        <v>144</v>
      </c>
      <c r="N103" s="356"/>
      <c r="O103" s="356"/>
      <c r="P103" s="356"/>
      <c r="Q103" s="357"/>
      <c r="R103" s="357"/>
      <c r="S103" s="357"/>
      <c r="T103" s="357"/>
      <c r="U103" s="357"/>
      <c r="V103" s="357"/>
      <c r="W103" s="357"/>
      <c r="X103" s="357"/>
      <c r="Y103" s="357"/>
      <c r="Z103" s="357"/>
      <c r="AA103" s="357"/>
      <c r="AB103" s="357"/>
      <c r="AC103" s="357">
        <f>AC104</f>
        <v>4500000</v>
      </c>
      <c r="AD103" s="358" t="s">
        <v>25</v>
      </c>
      <c r="AE103" s="2"/>
    </row>
    <row r="104" spans="1:31" s="12" customFormat="1" ht="21" customHeight="1">
      <c r="A104" s="229" t="s">
        <v>151</v>
      </c>
      <c r="B104" s="52" t="s">
        <v>18</v>
      </c>
      <c r="C104" s="52" t="s">
        <v>145</v>
      </c>
      <c r="D104" s="133">
        <v>4940</v>
      </c>
      <c r="E104" s="133">
        <f>SUM(E105,E109,E114)</f>
        <v>4500</v>
      </c>
      <c r="F104" s="133">
        <f>F105+F109+F114</f>
        <v>0</v>
      </c>
      <c r="G104" s="133">
        <f>SUM(G105,G109,G114)</f>
        <v>1450</v>
      </c>
      <c r="H104" s="133">
        <f>SUM(H109,H114)</f>
        <v>3050</v>
      </c>
      <c r="I104" s="133">
        <v>0</v>
      </c>
      <c r="J104" s="133">
        <f t="shared" ref="J104" si="11">SUM(J105,J109,J114)</f>
        <v>0</v>
      </c>
      <c r="K104" s="133">
        <f>E104-D104</f>
        <v>-440</v>
      </c>
      <c r="L104" s="87">
        <f>IF(D104=0,0,K104/D104)</f>
        <v>-8.9068825910931168E-2</v>
      </c>
      <c r="M104" s="225" t="s">
        <v>146</v>
      </c>
      <c r="N104" s="117"/>
      <c r="O104" s="117"/>
      <c r="P104" s="117"/>
      <c r="Q104" s="117"/>
      <c r="R104" s="225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8"/>
      <c r="AC104" s="118">
        <f>SUM(AC105,AC109,AC114)</f>
        <v>4500000</v>
      </c>
      <c r="AD104" s="119" t="s">
        <v>25</v>
      </c>
      <c r="AE104" s="1"/>
    </row>
    <row r="105" spans="1:31" s="12" customFormat="1" ht="21" customHeight="1">
      <c r="A105" s="51"/>
      <c r="B105" s="52"/>
      <c r="C105" s="42" t="s">
        <v>146</v>
      </c>
      <c r="D105" s="227">
        <v>0</v>
      </c>
      <c r="E105" s="227">
        <v>0</v>
      </c>
      <c r="F105" s="227">
        <f>ROUND(AC106/1000,0)</f>
        <v>0</v>
      </c>
      <c r="G105" s="227">
        <v>0</v>
      </c>
      <c r="H105" s="227">
        <v>0</v>
      </c>
      <c r="I105" s="227">
        <v>0</v>
      </c>
      <c r="J105" s="227">
        <v>0</v>
      </c>
      <c r="K105" s="227">
        <f>E105-D105</f>
        <v>0</v>
      </c>
      <c r="L105" s="228">
        <f>IF(D105=0,0,K105/D105)</f>
        <v>0</v>
      </c>
      <c r="M105" s="121" t="s">
        <v>49</v>
      </c>
      <c r="N105" s="225"/>
      <c r="O105" s="225"/>
      <c r="P105" s="225"/>
      <c r="Q105" s="225"/>
      <c r="R105" s="225"/>
      <c r="S105" s="224"/>
      <c r="T105" s="224"/>
      <c r="U105" s="224"/>
      <c r="V105" s="224"/>
      <c r="W105" s="224"/>
      <c r="X105" s="203" t="s">
        <v>137</v>
      </c>
      <c r="Y105" s="203"/>
      <c r="Z105" s="203"/>
      <c r="AA105" s="203"/>
      <c r="AB105" s="205"/>
      <c r="AC105" s="205">
        <f>SUM(AC106:AC106)</f>
        <v>0</v>
      </c>
      <c r="AD105" s="204" t="s">
        <v>25</v>
      </c>
      <c r="AE105" s="1"/>
    </row>
    <row r="106" spans="1:31" s="12" customFormat="1" ht="21" customHeight="1">
      <c r="A106" s="51"/>
      <c r="B106" s="52"/>
      <c r="C106" s="52"/>
      <c r="D106" s="133"/>
      <c r="E106" s="133"/>
      <c r="F106" s="133"/>
      <c r="G106" s="133"/>
      <c r="H106" s="133"/>
      <c r="I106" s="133"/>
      <c r="J106" s="133"/>
      <c r="K106" s="133"/>
      <c r="L106" s="87"/>
      <c r="M106" s="305" t="s">
        <v>232</v>
      </c>
      <c r="N106" s="178"/>
      <c r="O106" s="178"/>
      <c r="P106" s="178"/>
      <c r="Q106" s="178"/>
      <c r="R106" s="221"/>
      <c r="S106" s="177"/>
      <c r="T106" s="177"/>
      <c r="U106" s="177"/>
      <c r="V106" s="177"/>
      <c r="W106" s="177"/>
      <c r="X106" s="177"/>
      <c r="Y106" s="177"/>
      <c r="Z106" s="177"/>
      <c r="AA106" s="179"/>
      <c r="AB106" s="58"/>
      <c r="AC106" s="84">
        <v>0</v>
      </c>
      <c r="AD106" s="64" t="s">
        <v>112</v>
      </c>
      <c r="AE106" s="2"/>
    </row>
    <row r="107" spans="1:31" s="12" customFormat="1" ht="21" customHeight="1">
      <c r="A107" s="51"/>
      <c r="B107" s="52"/>
      <c r="C107" s="52"/>
      <c r="D107" s="133"/>
      <c r="E107" s="133"/>
      <c r="F107" s="133"/>
      <c r="G107" s="133"/>
      <c r="H107" s="133"/>
      <c r="I107" s="133"/>
      <c r="J107" s="133"/>
      <c r="K107" s="133"/>
      <c r="L107" s="87"/>
      <c r="M107" s="282"/>
      <c r="N107" s="221"/>
      <c r="O107" s="221"/>
      <c r="P107" s="221"/>
      <c r="Q107" s="221"/>
      <c r="R107" s="221"/>
      <c r="S107" s="220"/>
      <c r="T107" s="220"/>
      <c r="U107" s="220"/>
      <c r="V107" s="220"/>
      <c r="W107" s="220"/>
      <c r="X107" s="220"/>
      <c r="Y107" s="220"/>
      <c r="Z107" s="220"/>
      <c r="AA107" s="281"/>
      <c r="AB107" s="58"/>
      <c r="AC107" s="84"/>
      <c r="AD107" s="64"/>
      <c r="AE107" s="2"/>
    </row>
    <row r="108" spans="1:31" s="12" customFormat="1" ht="21" customHeight="1">
      <c r="A108" s="51"/>
      <c r="B108" s="52"/>
      <c r="C108" s="52"/>
      <c r="D108" s="133"/>
      <c r="E108" s="133"/>
      <c r="F108" s="133"/>
      <c r="G108" s="133"/>
      <c r="H108" s="133"/>
      <c r="I108" s="133"/>
      <c r="J108" s="133"/>
      <c r="K108" s="133"/>
      <c r="L108" s="87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63"/>
      <c r="AD108" s="151"/>
      <c r="AE108" s="2"/>
    </row>
    <row r="109" spans="1:31" s="12" customFormat="1" ht="21" customHeight="1">
      <c r="A109" s="51"/>
      <c r="B109" s="52"/>
      <c r="C109" s="42" t="s">
        <v>19</v>
      </c>
      <c r="D109" s="137">
        <v>4740</v>
      </c>
      <c r="E109" s="137">
        <f>F109+G109+H109+J109</f>
        <v>4500</v>
      </c>
      <c r="F109" s="137"/>
      <c r="G109" s="137">
        <f>(AC110)/1000</f>
        <v>1450</v>
      </c>
      <c r="H109" s="137">
        <f>SUM(AC111:AC113)/1000</f>
        <v>3050</v>
      </c>
      <c r="I109" s="137">
        <v>0</v>
      </c>
      <c r="J109" s="137">
        <v>0</v>
      </c>
      <c r="K109" s="137">
        <f>E109-D109</f>
        <v>-240</v>
      </c>
      <c r="L109" s="145">
        <f>IF(D109=0,0,K109/D109)</f>
        <v>-5.0632911392405063E-2</v>
      </c>
      <c r="M109" s="121" t="s">
        <v>50</v>
      </c>
      <c r="N109" s="117"/>
      <c r="O109" s="117"/>
      <c r="P109" s="117"/>
      <c r="Q109" s="117"/>
      <c r="R109" s="225"/>
      <c r="S109" s="110"/>
      <c r="T109" s="110"/>
      <c r="U109" s="110"/>
      <c r="V109" s="110"/>
      <c r="W109" s="110"/>
      <c r="X109" s="203" t="s">
        <v>137</v>
      </c>
      <c r="Y109" s="203"/>
      <c r="Z109" s="203"/>
      <c r="AA109" s="203"/>
      <c r="AB109" s="205"/>
      <c r="AC109" s="205">
        <f>SUM(AC110:AC113)</f>
        <v>4500000</v>
      </c>
      <c r="AD109" s="204" t="s">
        <v>25</v>
      </c>
      <c r="AE109" s="1"/>
    </row>
    <row r="110" spans="1:31" s="12" customFormat="1" ht="21" customHeight="1">
      <c r="A110" s="51"/>
      <c r="B110" s="52"/>
      <c r="C110" s="52"/>
      <c r="D110" s="133"/>
      <c r="E110" s="133"/>
      <c r="F110" s="133"/>
      <c r="G110" s="133"/>
      <c r="H110" s="133"/>
      <c r="I110" s="133"/>
      <c r="J110" s="133"/>
      <c r="K110" s="133"/>
      <c r="L110" s="87"/>
      <c r="M110" s="325" t="s">
        <v>234</v>
      </c>
      <c r="N110" s="56"/>
      <c r="O110" s="56"/>
      <c r="P110" s="38"/>
      <c r="Q110" s="38"/>
      <c r="R110" s="221"/>
      <c r="S110" s="39"/>
      <c r="T110" s="39"/>
      <c r="U110" s="39"/>
      <c r="V110" s="39"/>
      <c r="W110" s="39"/>
      <c r="X110" s="39"/>
      <c r="Y110" s="39"/>
      <c r="Z110" s="39"/>
      <c r="AA110" s="339" t="s">
        <v>263</v>
      </c>
      <c r="AB110" s="58"/>
      <c r="AC110" s="84">
        <v>1450000</v>
      </c>
      <c r="AD110" s="64" t="s">
        <v>25</v>
      </c>
      <c r="AE110" s="2"/>
    </row>
    <row r="111" spans="1:31" s="12" customFormat="1" ht="21" customHeight="1">
      <c r="A111" s="51"/>
      <c r="B111" s="52"/>
      <c r="C111" s="52"/>
      <c r="D111" s="133"/>
      <c r="E111" s="133"/>
      <c r="F111" s="133"/>
      <c r="G111" s="133"/>
      <c r="H111" s="133"/>
      <c r="I111" s="133"/>
      <c r="J111" s="133"/>
      <c r="K111" s="133"/>
      <c r="L111" s="87"/>
      <c r="M111" s="383" t="s">
        <v>234</v>
      </c>
      <c r="N111" s="56"/>
      <c r="O111" s="56"/>
      <c r="P111" s="153"/>
      <c r="Q111" s="56"/>
      <c r="R111" s="279"/>
      <c r="S111" s="57"/>
      <c r="T111" s="39"/>
      <c r="U111" s="39"/>
      <c r="V111" s="39"/>
      <c r="W111" s="39"/>
      <c r="X111" s="39"/>
      <c r="Y111" s="39"/>
      <c r="Z111" s="39"/>
      <c r="AA111" s="324" t="s">
        <v>283</v>
      </c>
      <c r="AB111" s="58"/>
      <c r="AC111" s="84">
        <v>0</v>
      </c>
      <c r="AD111" s="64" t="s">
        <v>25</v>
      </c>
      <c r="AE111" s="2"/>
    </row>
    <row r="112" spans="1:31" s="12" customFormat="1" ht="21" customHeight="1">
      <c r="A112" s="51"/>
      <c r="B112" s="346"/>
      <c r="C112" s="346"/>
      <c r="D112" s="133"/>
      <c r="E112" s="133"/>
      <c r="F112" s="133"/>
      <c r="G112" s="133"/>
      <c r="H112" s="133"/>
      <c r="I112" s="133"/>
      <c r="J112" s="133"/>
      <c r="K112" s="133"/>
      <c r="L112" s="87"/>
      <c r="M112" s="383" t="s">
        <v>286</v>
      </c>
      <c r="N112" s="383"/>
      <c r="O112" s="383"/>
      <c r="P112" s="383"/>
      <c r="Q112" s="383"/>
      <c r="R112" s="383"/>
      <c r="S112" s="382"/>
      <c r="T112" s="220"/>
      <c r="U112" s="220"/>
      <c r="V112" s="220"/>
      <c r="W112" s="220"/>
      <c r="X112" s="220"/>
      <c r="Y112" s="220"/>
      <c r="Z112" s="220"/>
      <c r="AA112" s="382" t="s">
        <v>283</v>
      </c>
      <c r="AB112" s="58"/>
      <c r="AC112" s="84">
        <v>1500000</v>
      </c>
      <c r="AD112" s="64" t="s">
        <v>25</v>
      </c>
      <c r="AE112" s="2"/>
    </row>
    <row r="113" spans="1:32" s="12" customFormat="1" ht="21" customHeight="1">
      <c r="A113" s="51"/>
      <c r="B113" s="52"/>
      <c r="C113" s="52"/>
      <c r="D113" s="133"/>
      <c r="E113" s="133"/>
      <c r="F113" s="133"/>
      <c r="G113" s="135"/>
      <c r="H113" s="133"/>
      <c r="I113" s="133"/>
      <c r="J113" s="133"/>
      <c r="K113" s="133"/>
      <c r="L113" s="87"/>
      <c r="M113" s="383" t="s">
        <v>285</v>
      </c>
      <c r="N113" s="383"/>
      <c r="O113" s="383"/>
      <c r="P113" s="383"/>
      <c r="Q113" s="383"/>
      <c r="R113" s="383"/>
      <c r="S113" s="382"/>
      <c r="T113" s="220"/>
      <c r="U113" s="220"/>
      <c r="V113" s="220"/>
      <c r="W113" s="220"/>
      <c r="X113" s="220"/>
      <c r="Y113" s="220"/>
      <c r="Z113" s="220"/>
      <c r="AA113" s="382" t="s">
        <v>283</v>
      </c>
      <c r="AB113" s="58"/>
      <c r="AC113" s="84">
        <v>1550000</v>
      </c>
      <c r="AD113" s="64" t="s">
        <v>25</v>
      </c>
      <c r="AE113" s="2"/>
    </row>
    <row r="114" spans="1:32" s="12" customFormat="1" ht="21" customHeight="1">
      <c r="A114" s="51"/>
      <c r="B114" s="52"/>
      <c r="C114" s="42" t="s">
        <v>51</v>
      </c>
      <c r="D114" s="137">
        <v>200</v>
      </c>
      <c r="E114" s="137">
        <f>F114+H114+J114+G114</f>
        <v>0</v>
      </c>
      <c r="F114" s="137"/>
      <c r="G114" s="300">
        <v>0</v>
      </c>
      <c r="H114" s="137">
        <f>AC115/1000</f>
        <v>0</v>
      </c>
      <c r="I114" s="137">
        <v>0</v>
      </c>
      <c r="J114" s="137">
        <v>0</v>
      </c>
      <c r="K114" s="137">
        <f>E114-D114</f>
        <v>-200</v>
      </c>
      <c r="L114" s="145">
        <f>IF(D114=0,0,K114/D114)</f>
        <v>-1</v>
      </c>
      <c r="M114" s="121" t="s">
        <v>52</v>
      </c>
      <c r="N114" s="117"/>
      <c r="O114" s="117"/>
      <c r="P114" s="117"/>
      <c r="Q114" s="117"/>
      <c r="R114" s="225"/>
      <c r="S114" s="110"/>
      <c r="T114" s="110"/>
      <c r="U114" s="110"/>
      <c r="V114" s="110"/>
      <c r="W114" s="110"/>
      <c r="X114" s="203" t="s">
        <v>137</v>
      </c>
      <c r="Y114" s="203"/>
      <c r="Z114" s="203"/>
      <c r="AA114" s="203"/>
      <c r="AB114" s="205"/>
      <c r="AC114" s="205">
        <f>SUM(AC115:AC115)</f>
        <v>0</v>
      </c>
      <c r="AD114" s="204" t="s">
        <v>25</v>
      </c>
      <c r="AE114" s="1"/>
    </row>
    <row r="115" spans="1:32" s="1" customFormat="1" ht="21" customHeight="1">
      <c r="A115" s="51"/>
      <c r="B115" s="52"/>
      <c r="C115" s="52" t="s">
        <v>157</v>
      </c>
      <c r="D115" s="133"/>
      <c r="E115" s="133"/>
      <c r="F115" s="133"/>
      <c r="G115" s="133"/>
      <c r="H115" s="133"/>
      <c r="I115" s="133"/>
      <c r="J115" s="133"/>
      <c r="K115" s="133"/>
      <c r="L115" s="87"/>
      <c r="M115" s="340" t="s">
        <v>264</v>
      </c>
      <c r="N115" s="56"/>
      <c r="O115" s="56"/>
      <c r="P115" s="56"/>
      <c r="Q115" s="57"/>
      <c r="R115" s="278"/>
      <c r="S115" s="61"/>
      <c r="T115" s="61"/>
      <c r="U115" s="57"/>
      <c r="V115" s="56"/>
      <c r="W115" s="57"/>
      <c r="X115" s="57"/>
      <c r="Y115" s="57"/>
      <c r="Z115" s="57"/>
      <c r="AA115" s="339" t="s">
        <v>265</v>
      </c>
      <c r="AB115" s="57"/>
      <c r="AC115" s="222">
        <v>0</v>
      </c>
      <c r="AD115" s="64" t="s">
        <v>25</v>
      </c>
      <c r="AE115" s="2"/>
    </row>
    <row r="116" spans="1:32" s="1" customFormat="1" ht="21" customHeight="1">
      <c r="A116" s="51"/>
      <c r="B116" s="52"/>
      <c r="C116" s="52"/>
      <c r="D116" s="133"/>
      <c r="E116" s="133"/>
      <c r="F116" s="133"/>
      <c r="G116" s="133"/>
      <c r="H116" s="133"/>
      <c r="I116" s="133"/>
      <c r="J116" s="133"/>
      <c r="K116" s="133"/>
      <c r="L116" s="87"/>
      <c r="M116" s="189"/>
      <c r="N116" s="56"/>
      <c r="O116" s="56"/>
      <c r="P116" s="56"/>
      <c r="Q116" s="57"/>
      <c r="R116" s="278"/>
      <c r="S116" s="61"/>
      <c r="T116" s="61"/>
      <c r="U116" s="57"/>
      <c r="V116" s="56"/>
      <c r="W116" s="57"/>
      <c r="X116" s="57"/>
      <c r="Y116" s="57"/>
      <c r="Z116" s="57"/>
      <c r="AA116" s="152"/>
      <c r="AB116" s="57"/>
      <c r="AC116" s="57"/>
      <c r="AD116" s="64"/>
      <c r="AE116" s="2"/>
    </row>
    <row r="117" spans="1:32" s="12" customFormat="1" ht="21" customHeight="1">
      <c r="A117" s="231" t="s">
        <v>20</v>
      </c>
      <c r="B117" s="588" t="s">
        <v>21</v>
      </c>
      <c r="C117" s="589"/>
      <c r="D117" s="232">
        <v>18519</v>
      </c>
      <c r="E117" s="232">
        <f>SUM(E118,E139)</f>
        <v>19460.309999999998</v>
      </c>
      <c r="F117" s="232">
        <f>SUM(F118,F139)</f>
        <v>8933.8449999999993</v>
      </c>
      <c r="G117" s="232">
        <f>SUM(G118,G139)</f>
        <v>0</v>
      </c>
      <c r="H117" s="232">
        <f>SUM(H118,H139)</f>
        <v>8720.5239999999994</v>
      </c>
      <c r="I117" s="232">
        <f>I118+I180+I184</f>
        <v>1351.8710000000001</v>
      </c>
      <c r="J117" s="232">
        <f>SUM(J118,J139)</f>
        <v>454.07</v>
      </c>
      <c r="K117" s="232">
        <f>SUM(K118,K125,K129,K132,K136)</f>
        <v>1402.4219999999978</v>
      </c>
      <c r="L117" s="233">
        <f>IF(D117=0,0,K117/D117)</f>
        <v>7.5728819050704554E-2</v>
      </c>
      <c r="M117" s="359" t="s">
        <v>148</v>
      </c>
      <c r="N117" s="359"/>
      <c r="O117" s="359"/>
      <c r="P117" s="359"/>
      <c r="Q117" s="359"/>
      <c r="R117" s="359"/>
      <c r="S117" s="360"/>
      <c r="T117" s="360"/>
      <c r="U117" s="360"/>
      <c r="V117" s="360"/>
      <c r="W117" s="360"/>
      <c r="X117" s="360"/>
      <c r="Y117" s="360"/>
      <c r="Z117" s="360"/>
      <c r="AA117" s="360"/>
      <c r="AB117" s="360"/>
      <c r="AC117" s="360">
        <f>SUM(AC118,AC139)</f>
        <v>19460310</v>
      </c>
      <c r="AD117" s="361" t="s">
        <v>25</v>
      </c>
      <c r="AE117" s="14"/>
    </row>
    <row r="118" spans="1:32" s="12" customFormat="1" ht="21" customHeight="1">
      <c r="A118" s="52"/>
      <c r="B118" s="42" t="s">
        <v>104</v>
      </c>
      <c r="C118" s="42" t="s">
        <v>149</v>
      </c>
      <c r="D118" s="137">
        <v>13851</v>
      </c>
      <c r="E118" s="137">
        <f>SUM(E119,E125,E129,E132,E136)</f>
        <v>15182.309999999998</v>
      </c>
      <c r="F118" s="137">
        <f>SUM(F119,F125,F129,F132,F136)</f>
        <v>8933.8449999999993</v>
      </c>
      <c r="G118" s="137">
        <f>SUM(G119,G125,G129,G132,G136)</f>
        <v>0</v>
      </c>
      <c r="H118" s="137">
        <f>SUM(H119,H125,H129,H132,H136)</f>
        <v>4442.5239999999994</v>
      </c>
      <c r="I118" s="137">
        <f>I119+I129</f>
        <v>1351.8710000000001</v>
      </c>
      <c r="J118" s="137">
        <f>SUM(J119,J125,J129,J132,J136)</f>
        <v>454.07</v>
      </c>
      <c r="K118" s="137">
        <f>E118-D118</f>
        <v>1331.3099999999977</v>
      </c>
      <c r="L118" s="145">
        <f>IF(D118=0,0,K118/D118)</f>
        <v>9.6116525882607592E-2</v>
      </c>
      <c r="M118" s="117"/>
      <c r="N118" s="117"/>
      <c r="O118" s="117"/>
      <c r="P118" s="117"/>
      <c r="Q118" s="117"/>
      <c r="R118" s="225"/>
      <c r="S118" s="110"/>
      <c r="T118" s="110"/>
      <c r="U118" s="110"/>
      <c r="V118" s="110"/>
      <c r="W118" s="110"/>
      <c r="X118" s="110" t="s">
        <v>28</v>
      </c>
      <c r="Y118" s="110"/>
      <c r="Z118" s="110"/>
      <c r="AA118" s="110"/>
      <c r="AB118" s="118"/>
      <c r="AC118" s="118">
        <f>SUM(AC119,AC125,AC129,AC132,AC136)</f>
        <v>15182310</v>
      </c>
      <c r="AD118" s="119" t="s">
        <v>25</v>
      </c>
      <c r="AE118" s="1"/>
    </row>
    <row r="119" spans="1:32" s="12" customFormat="1" ht="21" customHeight="1">
      <c r="A119" s="52"/>
      <c r="B119" s="52"/>
      <c r="C119" s="42" t="s">
        <v>59</v>
      </c>
      <c r="D119" s="137">
        <v>11781</v>
      </c>
      <c r="E119" s="137">
        <f>SUM(F119,G119,H119,J119,I119)</f>
        <v>13041.197999999999</v>
      </c>
      <c r="F119" s="137">
        <f>SUM(AC120,AC122)/1000</f>
        <v>8216.7330000000002</v>
      </c>
      <c r="G119" s="137">
        <v>0</v>
      </c>
      <c r="H119" s="137">
        <f>(AC121)/1000</f>
        <v>3418.5239999999999</v>
      </c>
      <c r="I119" s="137">
        <f>AC123/1000</f>
        <v>951.87099999999998</v>
      </c>
      <c r="J119" s="137">
        <f>AC124/1000</f>
        <v>454.07</v>
      </c>
      <c r="K119" s="137">
        <f>E119-D119</f>
        <v>1260.1979999999985</v>
      </c>
      <c r="L119" s="145">
        <f>IF(D119=0,0,K119/D119)</f>
        <v>0.10696867838044295</v>
      </c>
      <c r="M119" s="121" t="s">
        <v>105</v>
      </c>
      <c r="N119" s="225"/>
      <c r="O119" s="225"/>
      <c r="P119" s="225"/>
      <c r="Q119" s="225"/>
      <c r="R119" s="225"/>
      <c r="S119" s="224"/>
      <c r="T119" s="224"/>
      <c r="U119" s="224"/>
      <c r="V119" s="224"/>
      <c r="W119" s="224"/>
      <c r="X119" s="203" t="s">
        <v>137</v>
      </c>
      <c r="Y119" s="203"/>
      <c r="Z119" s="203"/>
      <c r="AA119" s="203"/>
      <c r="AB119" s="205"/>
      <c r="AC119" s="205">
        <f>SUM(AC120:AC124)</f>
        <v>13041198</v>
      </c>
      <c r="AD119" s="204" t="s">
        <v>25</v>
      </c>
      <c r="AE119" s="1"/>
    </row>
    <row r="120" spans="1:32" s="12" customFormat="1" ht="21" customHeight="1">
      <c r="A120" s="52"/>
      <c r="B120" s="52"/>
      <c r="C120" s="52"/>
      <c r="D120" s="133"/>
      <c r="E120" s="133"/>
      <c r="F120" s="133"/>
      <c r="G120" s="133"/>
      <c r="H120" s="133"/>
      <c r="I120" s="133"/>
      <c r="J120" s="133"/>
      <c r="K120" s="133"/>
      <c r="L120" s="87"/>
      <c r="M120" s="252" t="s">
        <v>180</v>
      </c>
      <c r="N120" s="56"/>
      <c r="O120" s="57"/>
      <c r="P120" s="57"/>
      <c r="Q120" s="57"/>
      <c r="R120" s="278"/>
      <c r="S120" s="57"/>
      <c r="T120" s="61"/>
      <c r="U120" s="57"/>
      <c r="V120" s="57"/>
      <c r="W120" s="61"/>
      <c r="X120" s="57"/>
      <c r="Y120" s="57"/>
      <c r="Z120" s="63"/>
      <c r="AA120" s="57" t="s">
        <v>97</v>
      </c>
      <c r="AB120" s="84"/>
      <c r="AC120" s="84">
        <v>7816733</v>
      </c>
      <c r="AD120" s="64" t="s">
        <v>25</v>
      </c>
      <c r="AE120" s="2"/>
      <c r="AF120" s="14"/>
    </row>
    <row r="121" spans="1:32" s="12" customFormat="1" ht="21" customHeight="1">
      <c r="A121" s="52"/>
      <c r="B121" s="52"/>
      <c r="C121" s="52"/>
      <c r="D121" s="133"/>
      <c r="E121" s="133"/>
      <c r="F121" s="133"/>
      <c r="G121" s="133"/>
      <c r="H121" s="133"/>
      <c r="I121" s="133"/>
      <c r="J121" s="133"/>
      <c r="K121" s="133"/>
      <c r="L121" s="87"/>
      <c r="M121" s="189" t="s">
        <v>111</v>
      </c>
      <c r="N121" s="175"/>
      <c r="O121" s="175"/>
      <c r="P121" s="175"/>
      <c r="Q121" s="174"/>
      <c r="R121" s="278"/>
      <c r="S121" s="61"/>
      <c r="T121" s="61"/>
      <c r="U121" s="174"/>
      <c r="V121" s="174"/>
      <c r="W121" s="61"/>
      <c r="X121" s="174"/>
      <c r="Y121" s="174"/>
      <c r="Z121" s="173"/>
      <c r="AA121" s="174" t="s">
        <v>110</v>
      </c>
      <c r="AB121" s="174"/>
      <c r="AC121" s="174">
        <v>3418524</v>
      </c>
      <c r="AD121" s="157" t="s">
        <v>86</v>
      </c>
      <c r="AE121" s="2"/>
    </row>
    <row r="122" spans="1:32" s="12" customFormat="1" ht="21" customHeight="1">
      <c r="A122" s="52"/>
      <c r="B122" s="52"/>
      <c r="C122" s="52"/>
      <c r="D122" s="133"/>
      <c r="E122" s="133"/>
      <c r="F122" s="133"/>
      <c r="G122" s="133"/>
      <c r="H122" s="133"/>
      <c r="I122" s="133"/>
      <c r="J122" s="133"/>
      <c r="K122" s="133"/>
      <c r="L122" s="87"/>
      <c r="M122" s="264" t="s">
        <v>188</v>
      </c>
      <c r="N122" s="264"/>
      <c r="O122" s="264"/>
      <c r="P122" s="264"/>
      <c r="Q122" s="263"/>
      <c r="R122" s="278"/>
      <c r="S122" s="61"/>
      <c r="T122" s="61"/>
      <c r="U122" s="263"/>
      <c r="V122" s="263"/>
      <c r="W122" s="61"/>
      <c r="X122" s="263"/>
      <c r="Y122" s="263"/>
      <c r="Z122" s="234"/>
      <c r="AA122" s="339" t="s">
        <v>262</v>
      </c>
      <c r="AB122" s="263"/>
      <c r="AC122" s="263">
        <v>400000</v>
      </c>
      <c r="AD122" s="157" t="s">
        <v>189</v>
      </c>
      <c r="AE122" s="2"/>
      <c r="AF122" s="14"/>
    </row>
    <row r="123" spans="1:32" s="12" customFormat="1" ht="21" customHeight="1">
      <c r="A123" s="52"/>
      <c r="B123" s="52"/>
      <c r="C123" s="52"/>
      <c r="D123" s="133"/>
      <c r="E123" s="133"/>
      <c r="F123" s="133"/>
      <c r="G123" s="133"/>
      <c r="H123" s="133"/>
      <c r="I123" s="133"/>
      <c r="J123" s="133"/>
      <c r="K123" s="133"/>
      <c r="L123" s="87"/>
      <c r="M123" s="333" t="s">
        <v>289</v>
      </c>
      <c r="N123" s="282"/>
      <c r="O123" s="282"/>
      <c r="P123" s="282"/>
      <c r="Q123" s="332"/>
      <c r="R123" s="332"/>
      <c r="S123" s="332"/>
      <c r="T123" s="61"/>
      <c r="U123" s="332"/>
      <c r="V123" s="332"/>
      <c r="W123" s="61"/>
      <c r="X123" s="332"/>
      <c r="Y123" s="332"/>
      <c r="Z123" s="234"/>
      <c r="AA123" s="332" t="s">
        <v>255</v>
      </c>
      <c r="AB123" s="84"/>
      <c r="AC123" s="84">
        <v>951871</v>
      </c>
      <c r="AD123" s="64" t="s">
        <v>25</v>
      </c>
      <c r="AE123" s="2"/>
    </row>
    <row r="124" spans="1:32" s="12" customFormat="1" ht="21" customHeight="1">
      <c r="A124" s="52"/>
      <c r="B124" s="52"/>
      <c r="C124" s="66"/>
      <c r="D124" s="135"/>
      <c r="E124" s="135"/>
      <c r="F124" s="135"/>
      <c r="G124" s="135"/>
      <c r="H124" s="135"/>
      <c r="I124" s="135"/>
      <c r="J124" s="135"/>
      <c r="K124" s="135"/>
      <c r="L124" s="105"/>
      <c r="M124" s="141" t="s">
        <v>290</v>
      </c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 t="s">
        <v>288</v>
      </c>
      <c r="AB124" s="141"/>
      <c r="AC124" s="163">
        <v>454070</v>
      </c>
      <c r="AD124" s="151" t="s">
        <v>282</v>
      </c>
      <c r="AE124" s="2"/>
    </row>
    <row r="125" spans="1:32" s="12" customFormat="1" ht="21" customHeight="1">
      <c r="A125" s="52"/>
      <c r="B125" s="52"/>
      <c r="C125" s="52" t="s">
        <v>106</v>
      </c>
      <c r="D125" s="133">
        <v>950</v>
      </c>
      <c r="E125" s="133">
        <f>SUM(F125,G125,H125,J125)</f>
        <v>928.99</v>
      </c>
      <c r="F125" s="133">
        <f>AC126/1000</f>
        <v>528.99</v>
      </c>
      <c r="G125" s="133">
        <v>0</v>
      </c>
      <c r="H125" s="133">
        <f>AC127/1000</f>
        <v>400</v>
      </c>
      <c r="I125" s="133">
        <v>0</v>
      </c>
      <c r="J125" s="133">
        <v>0</v>
      </c>
      <c r="K125" s="133">
        <f>E125-D125</f>
        <v>-21.009999999999991</v>
      </c>
      <c r="L125" s="87">
        <f>IF(D125=0,0,K125/D125)</f>
        <v>-2.21157894736842E-2</v>
      </c>
      <c r="M125" s="121" t="s">
        <v>107</v>
      </c>
      <c r="N125" s="117"/>
      <c r="O125" s="117"/>
      <c r="P125" s="117"/>
      <c r="Q125" s="117"/>
      <c r="R125" s="225"/>
      <c r="S125" s="110"/>
      <c r="T125" s="110"/>
      <c r="U125" s="110"/>
      <c r="V125" s="110"/>
      <c r="W125" s="110"/>
      <c r="X125" s="203" t="s">
        <v>137</v>
      </c>
      <c r="Y125" s="203"/>
      <c r="Z125" s="203"/>
      <c r="AA125" s="203"/>
      <c r="AB125" s="205"/>
      <c r="AC125" s="205">
        <f>SUM(AC126:AC127)</f>
        <v>928990</v>
      </c>
      <c r="AD125" s="204" t="s">
        <v>25</v>
      </c>
      <c r="AE125" s="1"/>
    </row>
    <row r="126" spans="1:32" s="12" customFormat="1" ht="21" customHeight="1">
      <c r="A126" s="52"/>
      <c r="B126" s="52"/>
      <c r="C126" s="52" t="s">
        <v>150</v>
      </c>
      <c r="D126" s="133"/>
      <c r="E126" s="133"/>
      <c r="F126" s="133"/>
      <c r="G126" s="133"/>
      <c r="H126" s="133"/>
      <c r="I126" s="133"/>
      <c r="J126" s="133"/>
      <c r="K126" s="133"/>
      <c r="L126" s="87"/>
      <c r="M126" s="252" t="s">
        <v>181</v>
      </c>
      <c r="N126" s="56"/>
      <c r="O126" s="56"/>
      <c r="P126" s="56"/>
      <c r="Q126" s="57"/>
      <c r="R126" s="278"/>
      <c r="S126" s="61"/>
      <c r="T126" s="61"/>
      <c r="U126" s="57"/>
      <c r="V126" s="57"/>
      <c r="W126" s="57"/>
      <c r="X126" s="57"/>
      <c r="Y126" s="57"/>
      <c r="Z126" s="57"/>
      <c r="AA126" s="302" t="s">
        <v>226</v>
      </c>
      <c r="AB126" s="57"/>
      <c r="AC126" s="57">
        <v>528990</v>
      </c>
      <c r="AD126" s="64" t="s">
        <v>86</v>
      </c>
      <c r="AE126" s="2"/>
    </row>
    <row r="127" spans="1:32" s="12" customFormat="1" ht="21" customHeight="1">
      <c r="A127" s="52"/>
      <c r="B127" s="52"/>
      <c r="C127" s="52"/>
      <c r="D127" s="133"/>
      <c r="E127" s="133"/>
      <c r="F127" s="133"/>
      <c r="G127" s="133"/>
      <c r="H127" s="133"/>
      <c r="I127" s="133"/>
      <c r="J127" s="133"/>
      <c r="K127" s="133"/>
      <c r="L127" s="87"/>
      <c r="M127" s="270"/>
      <c r="N127" s="270"/>
      <c r="O127" s="270"/>
      <c r="P127" s="270"/>
      <c r="Q127" s="269"/>
      <c r="R127" s="278"/>
      <c r="S127" s="61"/>
      <c r="T127" s="61"/>
      <c r="U127" s="269"/>
      <c r="V127" s="269"/>
      <c r="W127" s="269"/>
      <c r="X127" s="269"/>
      <c r="Y127" s="269"/>
      <c r="Z127" s="269"/>
      <c r="AA127" s="269" t="s">
        <v>302</v>
      </c>
      <c r="AB127" s="269"/>
      <c r="AC127" s="269">
        <v>400000</v>
      </c>
      <c r="AD127" s="64" t="s">
        <v>282</v>
      </c>
      <c r="AE127" s="2"/>
    </row>
    <row r="128" spans="1:32" s="12" customFormat="1" ht="21" customHeight="1">
      <c r="A128" s="52"/>
      <c r="B128" s="52"/>
      <c r="C128" s="52"/>
      <c r="D128" s="133"/>
      <c r="E128" s="133"/>
      <c r="F128" s="133"/>
      <c r="G128" s="133"/>
      <c r="H128" s="133"/>
      <c r="I128" s="133"/>
      <c r="J128" s="133"/>
      <c r="K128" s="133"/>
      <c r="L128" s="87"/>
      <c r="M128" s="187"/>
      <c r="N128" s="98"/>
      <c r="O128" s="98"/>
      <c r="P128" s="98"/>
      <c r="Q128" s="97"/>
      <c r="R128" s="275"/>
      <c r="S128" s="106"/>
      <c r="T128" s="61"/>
      <c r="U128" s="89"/>
      <c r="V128" s="97"/>
      <c r="W128" s="97"/>
      <c r="X128" s="97"/>
      <c r="Y128" s="97"/>
      <c r="Z128" s="97"/>
      <c r="AA128" s="180"/>
      <c r="AB128" s="97"/>
      <c r="AC128" s="97"/>
      <c r="AD128" s="90"/>
      <c r="AE128" s="1"/>
    </row>
    <row r="129" spans="1:31" s="12" customFormat="1" ht="21" customHeight="1">
      <c r="A129" s="52"/>
      <c r="B129" s="52"/>
      <c r="C129" s="42" t="s">
        <v>101</v>
      </c>
      <c r="D129" s="137">
        <v>720</v>
      </c>
      <c r="E129" s="137">
        <f>AC129/1000</f>
        <v>720</v>
      </c>
      <c r="F129" s="137">
        <v>0</v>
      </c>
      <c r="G129" s="137">
        <v>0</v>
      </c>
      <c r="H129" s="137">
        <f>AC130/1000</f>
        <v>320</v>
      </c>
      <c r="I129" s="137">
        <f>AC131/1000</f>
        <v>400</v>
      </c>
      <c r="J129" s="137">
        <v>0</v>
      </c>
      <c r="K129" s="137">
        <f>E129-D129</f>
        <v>0</v>
      </c>
      <c r="L129" s="145">
        <f>IF(D129=0,0,K129/D129)</f>
        <v>0</v>
      </c>
      <c r="M129" s="121" t="s">
        <v>132</v>
      </c>
      <c r="N129" s="202"/>
      <c r="O129" s="117"/>
      <c r="P129" s="117"/>
      <c r="Q129" s="117"/>
      <c r="R129" s="225"/>
      <c r="S129" s="110"/>
      <c r="T129" s="110"/>
      <c r="U129" s="110"/>
      <c r="V129" s="224"/>
      <c r="W129" s="224"/>
      <c r="X129" s="203" t="s">
        <v>137</v>
      </c>
      <c r="Y129" s="203"/>
      <c r="Z129" s="203"/>
      <c r="AA129" s="203"/>
      <c r="AB129" s="205"/>
      <c r="AC129" s="205">
        <f>SUM(AC130:AC131)</f>
        <v>720000</v>
      </c>
      <c r="AD129" s="204" t="s">
        <v>25</v>
      </c>
      <c r="AE129" s="1"/>
    </row>
    <row r="130" spans="1:31" s="12" customFormat="1" ht="21" customHeight="1">
      <c r="A130" s="52"/>
      <c r="B130" s="52"/>
      <c r="C130" s="52"/>
      <c r="D130" s="133"/>
      <c r="E130" s="133"/>
      <c r="F130" s="133"/>
      <c r="G130" s="133"/>
      <c r="H130" s="133"/>
      <c r="I130" s="133"/>
      <c r="J130" s="133"/>
      <c r="K130" s="133"/>
      <c r="L130" s="87"/>
      <c r="M130" s="252" t="s">
        <v>182</v>
      </c>
      <c r="N130" s="56"/>
      <c r="O130" s="57"/>
      <c r="P130" s="57"/>
      <c r="Q130" s="57">
        <v>80000</v>
      </c>
      <c r="R130" s="278"/>
      <c r="S130" s="57" t="s">
        <v>86</v>
      </c>
      <c r="T130" s="56" t="s">
        <v>87</v>
      </c>
      <c r="U130" s="57">
        <v>4</v>
      </c>
      <c r="V130" s="251" t="s">
        <v>183</v>
      </c>
      <c r="W130" s="252" t="s">
        <v>184</v>
      </c>
      <c r="X130" s="57"/>
      <c r="Y130" s="57"/>
      <c r="Z130" s="57"/>
      <c r="AA130" s="302" t="s">
        <v>225</v>
      </c>
      <c r="AB130" s="84"/>
      <c r="AC130" s="84">
        <f>Q130*U130</f>
        <v>320000</v>
      </c>
      <c r="AD130" s="64" t="s">
        <v>25</v>
      </c>
      <c r="AE130" s="1"/>
    </row>
    <row r="131" spans="1:31" s="12" customFormat="1" ht="21" customHeight="1">
      <c r="A131" s="52"/>
      <c r="B131" s="52"/>
      <c r="C131" s="52"/>
      <c r="D131" s="133"/>
      <c r="E131" s="133"/>
      <c r="F131" s="133"/>
      <c r="G131" s="133"/>
      <c r="H131" s="133"/>
      <c r="I131" s="133"/>
      <c r="J131" s="133"/>
      <c r="K131" s="133"/>
      <c r="L131" s="87"/>
      <c r="M131" s="212"/>
      <c r="N131" s="56"/>
      <c r="O131" s="57"/>
      <c r="P131" s="57"/>
      <c r="Q131" s="57">
        <v>100000</v>
      </c>
      <c r="R131" s="278"/>
      <c r="S131" s="365" t="s">
        <v>57</v>
      </c>
      <c r="T131" s="366" t="s">
        <v>58</v>
      </c>
      <c r="U131" s="365">
        <v>4</v>
      </c>
      <c r="V131" s="365" t="s">
        <v>56</v>
      </c>
      <c r="W131" s="366" t="s">
        <v>53</v>
      </c>
      <c r="X131" s="57"/>
      <c r="Y131" s="57"/>
      <c r="Z131" s="57"/>
      <c r="AA131" s="211" t="s">
        <v>287</v>
      </c>
      <c r="AB131" s="84"/>
      <c r="AC131" s="84">
        <f>Q131*U131</f>
        <v>400000</v>
      </c>
      <c r="AD131" s="64" t="s">
        <v>25</v>
      </c>
      <c r="AE131" s="1"/>
    </row>
    <row r="132" spans="1:31" s="12" customFormat="1" ht="21" customHeight="1">
      <c r="A132" s="52"/>
      <c r="B132" s="52"/>
      <c r="C132" s="42" t="s">
        <v>102</v>
      </c>
      <c r="D132" s="137">
        <v>310</v>
      </c>
      <c r="E132" s="137">
        <f>F132+G132+H132+J132</f>
        <v>410</v>
      </c>
      <c r="F132" s="137">
        <f>AC133/1000</f>
        <v>160</v>
      </c>
      <c r="G132" s="137">
        <v>0</v>
      </c>
      <c r="H132" s="137">
        <f>AC134/1000</f>
        <v>250</v>
      </c>
      <c r="I132" s="137">
        <v>0</v>
      </c>
      <c r="J132" s="137">
        <v>0</v>
      </c>
      <c r="K132" s="137">
        <f>E132-D132</f>
        <v>100</v>
      </c>
      <c r="L132" s="145">
        <f>IF(D132=0,0,K132/D132)</f>
        <v>0.32258064516129031</v>
      </c>
      <c r="M132" s="121" t="s">
        <v>133</v>
      </c>
      <c r="N132" s="202"/>
      <c r="O132" s="210"/>
      <c r="P132" s="210"/>
      <c r="Q132" s="210"/>
      <c r="R132" s="225"/>
      <c r="S132" s="209"/>
      <c r="T132" s="209"/>
      <c r="U132" s="209"/>
      <c r="V132" s="224"/>
      <c r="W132" s="224"/>
      <c r="X132" s="203" t="s">
        <v>137</v>
      </c>
      <c r="Y132" s="203"/>
      <c r="Z132" s="203"/>
      <c r="AA132" s="203"/>
      <c r="AB132" s="205"/>
      <c r="AC132" s="205">
        <f>SUM(AC133:AC134)</f>
        <v>410000</v>
      </c>
      <c r="AD132" s="204" t="s">
        <v>25</v>
      </c>
      <c r="AE132" s="1"/>
    </row>
    <row r="133" spans="1:31" s="15" customFormat="1" ht="21" customHeight="1">
      <c r="A133" s="52"/>
      <c r="B133" s="52"/>
      <c r="C133" s="52"/>
      <c r="D133" s="133"/>
      <c r="E133" s="133"/>
      <c r="F133" s="133"/>
      <c r="G133" s="133"/>
      <c r="H133" s="133"/>
      <c r="I133" s="133"/>
      <c r="J133" s="133"/>
      <c r="K133" s="133"/>
      <c r="L133" s="87"/>
      <c r="M133" s="252" t="s">
        <v>185</v>
      </c>
      <c r="N133" s="56"/>
      <c r="O133" s="57"/>
      <c r="P133" s="57"/>
      <c r="Q133" s="57">
        <v>40000</v>
      </c>
      <c r="R133" s="278"/>
      <c r="S133" s="57" t="s">
        <v>86</v>
      </c>
      <c r="T133" s="56" t="s">
        <v>87</v>
      </c>
      <c r="U133" s="57">
        <v>1</v>
      </c>
      <c r="V133" s="57" t="s">
        <v>100</v>
      </c>
      <c r="W133" s="56" t="s">
        <v>87</v>
      </c>
      <c r="X133" s="57">
        <v>4</v>
      </c>
      <c r="Y133" s="57" t="s">
        <v>88</v>
      </c>
      <c r="Z133" s="57" t="s">
        <v>89</v>
      </c>
      <c r="AA133" s="302" t="s">
        <v>226</v>
      </c>
      <c r="AB133" s="84"/>
      <c r="AC133" s="84">
        <f>Q133*U133*X133</f>
        <v>160000</v>
      </c>
      <c r="AD133" s="64" t="s">
        <v>25</v>
      </c>
      <c r="AE133" s="5"/>
    </row>
    <row r="134" spans="1:31" s="15" customFormat="1" ht="21" customHeight="1">
      <c r="A134" s="52"/>
      <c r="B134" s="52"/>
      <c r="C134" s="52"/>
      <c r="D134" s="133"/>
      <c r="E134" s="133"/>
      <c r="F134" s="133"/>
      <c r="G134" s="133"/>
      <c r="H134" s="133"/>
      <c r="I134" s="133"/>
      <c r="J134" s="133"/>
      <c r="K134" s="133"/>
      <c r="L134" s="87"/>
      <c r="M134" s="252" t="s">
        <v>186</v>
      </c>
      <c r="N134" s="56"/>
      <c r="O134" s="56"/>
      <c r="P134" s="56"/>
      <c r="Q134" s="211"/>
      <c r="R134" s="278"/>
      <c r="S134" s="61"/>
      <c r="T134" s="61"/>
      <c r="U134" s="211"/>
      <c r="V134" s="211"/>
      <c r="W134" s="206"/>
      <c r="X134" s="164"/>
      <c r="Y134" s="92"/>
      <c r="Z134" s="218"/>
      <c r="AA134" s="302" t="s">
        <v>225</v>
      </c>
      <c r="AB134" s="57"/>
      <c r="AC134" s="57">
        <v>250000</v>
      </c>
      <c r="AD134" s="64" t="s">
        <v>25</v>
      </c>
      <c r="AE134" s="5"/>
    </row>
    <row r="135" spans="1:31" s="12" customFormat="1" ht="21" customHeight="1">
      <c r="A135" s="52"/>
      <c r="B135" s="52"/>
      <c r="C135" s="66"/>
      <c r="D135" s="192"/>
      <c r="E135" s="192"/>
      <c r="F135" s="192"/>
      <c r="G135" s="192"/>
      <c r="H135" s="192"/>
      <c r="I135" s="192"/>
      <c r="J135" s="192"/>
      <c r="K135" s="166"/>
      <c r="L135" s="105"/>
      <c r="M135" s="165"/>
      <c r="N135" s="165"/>
      <c r="O135" s="165"/>
      <c r="P135" s="165"/>
      <c r="Q135" s="165"/>
      <c r="R135" s="165"/>
      <c r="S135" s="167"/>
      <c r="T135" s="57"/>
      <c r="U135" s="63"/>
      <c r="V135" s="57"/>
      <c r="W135" s="57"/>
      <c r="X135" s="57"/>
      <c r="Y135" s="57"/>
      <c r="Z135" s="57"/>
      <c r="AA135" s="57"/>
      <c r="AB135" s="57"/>
      <c r="AC135" s="57"/>
      <c r="AD135" s="64"/>
      <c r="AE135" s="1"/>
    </row>
    <row r="136" spans="1:31" s="12" customFormat="1" ht="21" customHeight="1">
      <c r="A136" s="52"/>
      <c r="B136" s="52"/>
      <c r="C136" s="52" t="s">
        <v>103</v>
      </c>
      <c r="D136" s="133">
        <v>90</v>
      </c>
      <c r="E136" s="133">
        <f>SUM(F136,G136,H136,J136)</f>
        <v>82.122</v>
      </c>
      <c r="F136" s="133">
        <f>AC137/1000</f>
        <v>28.122</v>
      </c>
      <c r="G136" s="133">
        <v>0</v>
      </c>
      <c r="H136" s="133">
        <f>AC138/1000</f>
        <v>54</v>
      </c>
      <c r="I136" s="133">
        <v>0</v>
      </c>
      <c r="J136" s="133">
        <v>0</v>
      </c>
      <c r="K136" s="133">
        <f>E136-D136</f>
        <v>-7.8780000000000001</v>
      </c>
      <c r="L136" s="87">
        <f>IF(D136=0,0,K136/D136)</f>
        <v>-8.7533333333333338E-2</v>
      </c>
      <c r="M136" s="121" t="s">
        <v>108</v>
      </c>
      <c r="N136" s="117"/>
      <c r="O136" s="117"/>
      <c r="P136" s="117"/>
      <c r="Q136" s="117"/>
      <c r="R136" s="225"/>
      <c r="S136" s="110"/>
      <c r="T136" s="110"/>
      <c r="U136" s="110"/>
      <c r="V136" s="110"/>
      <c r="W136" s="110"/>
      <c r="X136" s="203" t="s">
        <v>137</v>
      </c>
      <c r="Y136" s="203"/>
      <c r="Z136" s="203"/>
      <c r="AA136" s="203"/>
      <c r="AB136" s="205"/>
      <c r="AC136" s="205">
        <f>SUM(AC137:AC138)</f>
        <v>82122</v>
      </c>
      <c r="AD136" s="204" t="s">
        <v>25</v>
      </c>
      <c r="AE136" s="1"/>
    </row>
    <row r="137" spans="1:31" s="12" customFormat="1" ht="21" customHeight="1">
      <c r="A137" s="52"/>
      <c r="B137" s="52"/>
      <c r="C137" s="52"/>
      <c r="D137" s="133"/>
      <c r="E137" s="133"/>
      <c r="F137" s="133"/>
      <c r="G137" s="133"/>
      <c r="H137" s="133"/>
      <c r="I137" s="133"/>
      <c r="J137" s="133"/>
      <c r="K137" s="133"/>
      <c r="L137" s="87"/>
      <c r="M137" s="252" t="s">
        <v>187</v>
      </c>
      <c r="N137" s="56"/>
      <c r="O137" s="56"/>
      <c r="P137" s="56"/>
      <c r="Q137" s="222">
        <v>28122</v>
      </c>
      <c r="R137" s="278"/>
      <c r="S137" s="61"/>
      <c r="T137" s="61"/>
      <c r="U137" s="222"/>
      <c r="V137" s="222"/>
      <c r="W137" s="219"/>
      <c r="X137" s="164"/>
      <c r="Y137" s="92"/>
      <c r="Z137" s="218"/>
      <c r="AA137" s="302" t="s">
        <v>226</v>
      </c>
      <c r="AB137" s="222"/>
      <c r="AC137" s="222">
        <v>28122</v>
      </c>
      <c r="AD137" s="64" t="s">
        <v>25</v>
      </c>
      <c r="AE137" s="1"/>
    </row>
    <row r="138" spans="1:31" s="12" customFormat="1" ht="21" customHeight="1">
      <c r="A138" s="52"/>
      <c r="B138" s="52"/>
      <c r="C138" s="52"/>
      <c r="D138" s="133"/>
      <c r="E138" s="133"/>
      <c r="F138" s="133"/>
      <c r="G138" s="133"/>
      <c r="H138" s="133"/>
      <c r="I138" s="133"/>
      <c r="J138" s="133"/>
      <c r="K138" s="133"/>
      <c r="L138" s="87"/>
      <c r="M138" s="56"/>
      <c r="N138" s="56"/>
      <c r="O138" s="56"/>
      <c r="P138" s="56"/>
      <c r="Q138" s="57">
        <v>18000</v>
      </c>
      <c r="R138" s="278"/>
      <c r="S138" s="61" t="s">
        <v>25</v>
      </c>
      <c r="T138" s="56" t="s">
        <v>26</v>
      </c>
      <c r="U138" s="57">
        <v>3</v>
      </c>
      <c r="V138" s="56" t="s">
        <v>29</v>
      </c>
      <c r="W138" s="57"/>
      <c r="X138" s="57"/>
      <c r="Y138" s="57"/>
      <c r="Z138" s="57" t="s">
        <v>27</v>
      </c>
      <c r="AA138" s="57" t="s">
        <v>303</v>
      </c>
      <c r="AB138" s="57"/>
      <c r="AC138" s="57">
        <f>Q138*U138</f>
        <v>54000</v>
      </c>
      <c r="AD138" s="64" t="s">
        <v>25</v>
      </c>
      <c r="AE138" s="1"/>
    </row>
    <row r="139" spans="1:31" s="12" customFormat="1" ht="21" customHeight="1">
      <c r="A139" s="52"/>
      <c r="B139" s="42" t="s">
        <v>109</v>
      </c>
      <c r="C139" s="199" t="s">
        <v>145</v>
      </c>
      <c r="D139" s="200">
        <v>4668</v>
      </c>
      <c r="E139" s="200">
        <f>E140</f>
        <v>4278</v>
      </c>
      <c r="F139" s="200">
        <f t="shared" ref="F139:J139" si="12">F140</f>
        <v>0</v>
      </c>
      <c r="G139" s="200">
        <f t="shared" si="12"/>
        <v>0</v>
      </c>
      <c r="H139" s="200">
        <f>H140</f>
        <v>4278</v>
      </c>
      <c r="I139" s="200">
        <f>I140</f>
        <v>0</v>
      </c>
      <c r="J139" s="200">
        <f t="shared" si="12"/>
        <v>0</v>
      </c>
      <c r="K139" s="200">
        <f>E139-D139</f>
        <v>-390</v>
      </c>
      <c r="L139" s="201">
        <f>IF(D139=0,0,K139/D139)</f>
        <v>-8.3547557840616973E-2</v>
      </c>
      <c r="M139" s="202"/>
      <c r="N139" s="202"/>
      <c r="O139" s="202"/>
      <c r="P139" s="202"/>
      <c r="Q139" s="202"/>
      <c r="R139" s="277"/>
      <c r="S139" s="203"/>
      <c r="T139" s="203"/>
      <c r="U139" s="203"/>
      <c r="V139" s="203"/>
      <c r="W139" s="203"/>
      <c r="X139" s="203" t="s">
        <v>28</v>
      </c>
      <c r="Y139" s="203"/>
      <c r="Z139" s="203"/>
      <c r="AA139" s="203"/>
      <c r="AB139" s="205"/>
      <c r="AC139" s="205">
        <f>AC140</f>
        <v>4278000</v>
      </c>
      <c r="AD139" s="204" t="s">
        <v>25</v>
      </c>
      <c r="AE139" s="1"/>
    </row>
    <row r="140" spans="1:31" s="12" customFormat="1" ht="26.25" customHeight="1">
      <c r="A140" s="52"/>
      <c r="B140" s="52" t="s">
        <v>129</v>
      </c>
      <c r="C140" s="52" t="s">
        <v>128</v>
      </c>
      <c r="D140" s="137">
        <v>4668</v>
      </c>
      <c r="E140" s="137">
        <f>SUM(F140+G140+H140+I140+J140)</f>
        <v>4278</v>
      </c>
      <c r="F140" s="137">
        <v>0</v>
      </c>
      <c r="G140" s="137">
        <v>0</v>
      </c>
      <c r="H140" s="137">
        <f>SUM(AC143,AC151,AC170,AC144,AC154,AC160,AC161,AC162,AC167,AC163,AC157,AC145,AC146,AC147,AC172,AC148)/1000</f>
        <v>4278</v>
      </c>
      <c r="I140" s="137"/>
      <c r="J140" s="137">
        <v>0</v>
      </c>
      <c r="K140" s="137">
        <f>E140-D140</f>
        <v>-390</v>
      </c>
      <c r="L140" s="145">
        <f>IF(D140=0,0,K140/D140)</f>
        <v>-8.3547557840616973E-2</v>
      </c>
      <c r="M140" s="123" t="s">
        <v>130</v>
      </c>
      <c r="N140" s="140"/>
      <c r="O140" s="38"/>
      <c r="P140" s="34"/>
      <c r="Q140" s="34"/>
      <c r="R140" s="34"/>
      <c r="S140" s="34"/>
      <c r="T140" s="34"/>
      <c r="U140" s="34"/>
      <c r="V140" s="224"/>
      <c r="W140" s="224"/>
      <c r="X140" s="203" t="s">
        <v>137</v>
      </c>
      <c r="Y140" s="124"/>
      <c r="Z140" s="124"/>
      <c r="AA140" s="124"/>
      <c r="AB140" s="142"/>
      <c r="AC140" s="142">
        <f>SUM(AC142,AC150,AC159,AC165,AC153,AC156,AC169,AC172)</f>
        <v>4278000</v>
      </c>
      <c r="AD140" s="143" t="s">
        <v>25</v>
      </c>
      <c r="AE140" s="1"/>
    </row>
    <row r="141" spans="1:31" s="16" customFormat="1" ht="24" customHeight="1">
      <c r="A141" s="52"/>
      <c r="B141" s="52"/>
      <c r="C141" s="52" t="s">
        <v>129</v>
      </c>
      <c r="D141" s="133"/>
      <c r="E141" s="133"/>
      <c r="F141" s="133"/>
      <c r="G141" s="133"/>
      <c r="H141" s="133"/>
      <c r="I141" s="133"/>
      <c r="J141" s="133"/>
      <c r="K141" s="133"/>
      <c r="L141" s="87"/>
      <c r="M141" s="212"/>
      <c r="N141" s="56"/>
      <c r="O141" s="56"/>
      <c r="P141" s="56"/>
      <c r="Q141" s="56"/>
      <c r="R141" s="279"/>
      <c r="S141" s="57"/>
      <c r="T141" s="57"/>
      <c r="U141" s="57"/>
      <c r="V141" s="57"/>
      <c r="W141" s="57"/>
      <c r="X141" s="168"/>
      <c r="Y141" s="168"/>
      <c r="Z141" s="168"/>
      <c r="AA141" s="168"/>
      <c r="AB141" s="169"/>
      <c r="AC141" s="169"/>
      <c r="AD141" s="64"/>
      <c r="AE141" s="17"/>
    </row>
    <row r="142" spans="1:31" s="16" customFormat="1" ht="24" customHeight="1">
      <c r="A142" s="52"/>
      <c r="B142" s="52"/>
      <c r="C142" s="52"/>
      <c r="D142" s="133"/>
      <c r="E142" s="133"/>
      <c r="F142" s="133"/>
      <c r="G142" s="133"/>
      <c r="H142" s="133"/>
      <c r="I142" s="133"/>
      <c r="J142" s="133"/>
      <c r="K142" s="133"/>
      <c r="L142" s="87"/>
      <c r="M142" s="88" t="s">
        <v>239</v>
      </c>
      <c r="N142" s="208"/>
      <c r="O142" s="212"/>
      <c r="P142" s="212"/>
      <c r="Q142" s="212"/>
      <c r="R142" s="279"/>
      <c r="S142" s="211"/>
      <c r="T142" s="211"/>
      <c r="U142" s="211"/>
      <c r="V142" s="207" t="s">
        <v>131</v>
      </c>
      <c r="W142" s="207"/>
      <c r="X142" s="207"/>
      <c r="Y142" s="207"/>
      <c r="Z142" s="207"/>
      <c r="AA142" s="207"/>
      <c r="AB142" s="89"/>
      <c r="AC142" s="89">
        <f>SUM(AC143:AC148)</f>
        <v>1830000</v>
      </c>
      <c r="AD142" s="90" t="s">
        <v>25</v>
      </c>
      <c r="AE142" s="17"/>
    </row>
    <row r="143" spans="1:31" s="16" customFormat="1" ht="24" customHeight="1">
      <c r="A143" s="52"/>
      <c r="B143" s="52"/>
      <c r="C143" s="52"/>
      <c r="D143" s="133"/>
      <c r="E143" s="133"/>
      <c r="F143" s="133"/>
      <c r="G143" s="133"/>
      <c r="H143" s="133"/>
      <c r="I143" s="133"/>
      <c r="J143" s="133"/>
      <c r="K143" s="133"/>
      <c r="L143" s="87"/>
      <c r="M143" s="331" t="s">
        <v>236</v>
      </c>
      <c r="N143" s="212"/>
      <c r="O143" s="212"/>
      <c r="P143" s="212"/>
      <c r="Q143" s="251">
        <v>10000</v>
      </c>
      <c r="R143" s="278"/>
      <c r="S143" s="251" t="s">
        <v>57</v>
      </c>
      <c r="T143" s="252" t="s">
        <v>58</v>
      </c>
      <c r="U143" s="251">
        <v>4</v>
      </c>
      <c r="V143" s="251" t="s">
        <v>75</v>
      </c>
      <c r="W143" s="252" t="s">
        <v>58</v>
      </c>
      <c r="X143" s="251">
        <v>4</v>
      </c>
      <c r="Y143" s="251" t="s">
        <v>56</v>
      </c>
      <c r="Z143" s="251" t="s">
        <v>53</v>
      </c>
      <c r="AA143" s="330" t="s">
        <v>256</v>
      </c>
      <c r="AB143" s="84"/>
      <c r="AC143" s="84">
        <f>Q143*U143*X143</f>
        <v>160000</v>
      </c>
      <c r="AD143" s="64" t="s">
        <v>25</v>
      </c>
      <c r="AE143" s="17"/>
    </row>
    <row r="144" spans="1:31" s="16" customFormat="1" ht="24" customHeight="1">
      <c r="A144" s="52"/>
      <c r="B144" s="52"/>
      <c r="C144" s="52"/>
      <c r="D144" s="133"/>
      <c r="E144" s="133"/>
      <c r="F144" s="133"/>
      <c r="G144" s="133"/>
      <c r="H144" s="133"/>
      <c r="I144" s="133"/>
      <c r="J144" s="133"/>
      <c r="K144" s="133"/>
      <c r="L144" s="87"/>
      <c r="M144" s="331" t="s">
        <v>237</v>
      </c>
      <c r="N144" s="293"/>
      <c r="O144" s="293"/>
      <c r="P144" s="293"/>
      <c r="Q144" s="292">
        <v>10000</v>
      </c>
      <c r="R144" s="292"/>
      <c r="S144" s="292" t="s">
        <v>57</v>
      </c>
      <c r="T144" s="293" t="s">
        <v>58</v>
      </c>
      <c r="U144" s="292">
        <v>3</v>
      </c>
      <c r="V144" s="292" t="s">
        <v>75</v>
      </c>
      <c r="W144" s="293" t="s">
        <v>58</v>
      </c>
      <c r="X144" s="292">
        <v>5</v>
      </c>
      <c r="Y144" s="292" t="s">
        <v>56</v>
      </c>
      <c r="Z144" s="292" t="s">
        <v>53</v>
      </c>
      <c r="AA144" s="332" t="s">
        <v>110</v>
      </c>
      <c r="AB144" s="84"/>
      <c r="AC144" s="84">
        <f t="shared" ref="AC144:AC148" si="13">Q144*U144*X144</f>
        <v>150000</v>
      </c>
      <c r="AD144" s="64" t="s">
        <v>25</v>
      </c>
      <c r="AE144" s="17"/>
    </row>
    <row r="145" spans="1:31" s="16" customFormat="1" ht="24" customHeight="1">
      <c r="A145" s="52"/>
      <c r="B145" s="52"/>
      <c r="C145" s="52"/>
      <c r="D145" s="133"/>
      <c r="E145" s="133"/>
      <c r="F145" s="133"/>
      <c r="G145" s="133"/>
      <c r="H145" s="133"/>
      <c r="I145" s="133"/>
      <c r="J145" s="133"/>
      <c r="K145" s="133"/>
      <c r="L145" s="87"/>
      <c r="M145" s="366" t="s">
        <v>295</v>
      </c>
      <c r="N145" s="366"/>
      <c r="O145" s="366"/>
      <c r="P145" s="366"/>
      <c r="Q145" s="365">
        <v>10000</v>
      </c>
      <c r="R145" s="365"/>
      <c r="S145" s="365" t="s">
        <v>57</v>
      </c>
      <c r="T145" s="366" t="s">
        <v>58</v>
      </c>
      <c r="U145" s="365">
        <v>4</v>
      </c>
      <c r="V145" s="365" t="s">
        <v>75</v>
      </c>
      <c r="W145" s="366" t="s">
        <v>58</v>
      </c>
      <c r="X145" s="365">
        <v>4</v>
      </c>
      <c r="Y145" s="365" t="s">
        <v>56</v>
      </c>
      <c r="Z145" s="365" t="s">
        <v>53</v>
      </c>
      <c r="AA145" s="365" t="s">
        <v>256</v>
      </c>
      <c r="AB145" s="84"/>
      <c r="AC145" s="84">
        <f t="shared" si="13"/>
        <v>160000</v>
      </c>
      <c r="AD145" s="64" t="s">
        <v>25</v>
      </c>
      <c r="AE145" s="17"/>
    </row>
    <row r="146" spans="1:31" s="16" customFormat="1" ht="24" customHeight="1">
      <c r="A146" s="52"/>
      <c r="B146" s="52"/>
      <c r="C146" s="52"/>
      <c r="D146" s="133"/>
      <c r="E146" s="133"/>
      <c r="F146" s="133"/>
      <c r="G146" s="133"/>
      <c r="H146" s="133"/>
      <c r="I146" s="133"/>
      <c r="J146" s="133"/>
      <c r="K146" s="133"/>
      <c r="L146" s="87"/>
      <c r="M146" s="366" t="s">
        <v>238</v>
      </c>
      <c r="N146" s="366"/>
      <c r="O146" s="366"/>
      <c r="P146" s="366"/>
      <c r="Q146" s="365">
        <v>50000</v>
      </c>
      <c r="R146" s="365"/>
      <c r="S146" s="365" t="s">
        <v>57</v>
      </c>
      <c r="T146" s="366" t="s">
        <v>58</v>
      </c>
      <c r="U146" s="365">
        <v>1</v>
      </c>
      <c r="V146" s="365" t="s">
        <v>75</v>
      </c>
      <c r="W146" s="366" t="s">
        <v>58</v>
      </c>
      <c r="X146" s="365">
        <v>4</v>
      </c>
      <c r="Y146" s="365" t="s">
        <v>56</v>
      </c>
      <c r="Z146" s="365" t="s">
        <v>53</v>
      </c>
      <c r="AA146" s="365" t="s">
        <v>293</v>
      </c>
      <c r="AB146" s="84"/>
      <c r="AC146" s="84">
        <f t="shared" si="13"/>
        <v>200000</v>
      </c>
      <c r="AD146" s="64" t="s">
        <v>25</v>
      </c>
      <c r="AE146" s="17"/>
    </row>
    <row r="147" spans="1:31" s="16" customFormat="1" ht="24" customHeight="1">
      <c r="A147" s="52"/>
      <c r="B147" s="52"/>
      <c r="C147" s="52"/>
      <c r="D147" s="133"/>
      <c r="E147" s="133"/>
      <c r="F147" s="133"/>
      <c r="G147" s="133"/>
      <c r="H147" s="133"/>
      <c r="I147" s="133"/>
      <c r="J147" s="133"/>
      <c r="K147" s="133"/>
      <c r="L147" s="87"/>
      <c r="M147" s="170" t="s">
        <v>312</v>
      </c>
      <c r="N147" s="170"/>
      <c r="O147" s="170"/>
      <c r="P147" s="170"/>
      <c r="Q147" s="378">
        <v>1000000</v>
      </c>
      <c r="R147" s="170"/>
      <c r="S147" s="381" t="s">
        <v>310</v>
      </c>
      <c r="T147" s="61" t="s">
        <v>26</v>
      </c>
      <c r="U147" s="170">
        <v>1</v>
      </c>
      <c r="V147" s="170" t="s">
        <v>100</v>
      </c>
      <c r="W147" s="506" t="s">
        <v>58</v>
      </c>
      <c r="X147" s="170">
        <v>1</v>
      </c>
      <c r="Y147" s="505" t="s">
        <v>56</v>
      </c>
      <c r="Z147" s="170" t="s">
        <v>313</v>
      </c>
      <c r="AA147" s="170" t="s">
        <v>309</v>
      </c>
      <c r="AB147" s="170"/>
      <c r="AC147" s="84">
        <f t="shared" si="13"/>
        <v>1000000</v>
      </c>
      <c r="AD147" s="172" t="s">
        <v>310</v>
      </c>
      <c r="AE147" s="17"/>
    </row>
    <row r="148" spans="1:31" s="16" customFormat="1" ht="24" customHeight="1">
      <c r="A148" s="346"/>
      <c r="B148" s="346"/>
      <c r="C148" s="346"/>
      <c r="D148" s="133"/>
      <c r="E148" s="133"/>
      <c r="F148" s="133"/>
      <c r="G148" s="133"/>
      <c r="H148" s="133"/>
      <c r="I148" s="133"/>
      <c r="J148" s="133"/>
      <c r="K148" s="133"/>
      <c r="L148" s="87"/>
      <c r="M148" s="170" t="s">
        <v>437</v>
      </c>
      <c r="N148" s="170"/>
      <c r="O148" s="170"/>
      <c r="P148" s="170"/>
      <c r="Q148" s="505">
        <v>20000</v>
      </c>
      <c r="R148" s="170"/>
      <c r="S148" s="381" t="s">
        <v>67</v>
      </c>
      <c r="T148" s="61" t="s">
        <v>26</v>
      </c>
      <c r="U148" s="170">
        <v>2</v>
      </c>
      <c r="V148" s="170" t="s">
        <v>438</v>
      </c>
      <c r="W148" s="506" t="s">
        <v>58</v>
      </c>
      <c r="X148" s="170">
        <v>4</v>
      </c>
      <c r="Y148" s="505" t="s">
        <v>56</v>
      </c>
      <c r="Z148" s="170" t="s">
        <v>224</v>
      </c>
      <c r="AA148" s="170" t="s">
        <v>110</v>
      </c>
      <c r="AB148" s="170"/>
      <c r="AC148" s="84">
        <f t="shared" si="13"/>
        <v>160000</v>
      </c>
      <c r="AD148" s="172" t="s">
        <v>67</v>
      </c>
      <c r="AE148" s="17"/>
    </row>
    <row r="149" spans="1:31" s="16" customFormat="1" ht="24" customHeight="1">
      <c r="A149" s="52"/>
      <c r="B149" s="52"/>
      <c r="C149" s="52"/>
      <c r="D149" s="133"/>
      <c r="E149" s="133"/>
      <c r="F149" s="133"/>
      <c r="G149" s="133"/>
      <c r="H149" s="133"/>
      <c r="I149" s="133"/>
      <c r="J149" s="133"/>
      <c r="K149" s="133"/>
      <c r="L149" s="87"/>
      <c r="M149" s="153"/>
      <c r="N149" s="153"/>
      <c r="O149" s="153"/>
      <c r="P149" s="153"/>
      <c r="Q149" s="152"/>
      <c r="R149" s="278"/>
      <c r="S149" s="152"/>
      <c r="T149" s="153"/>
      <c r="U149" s="152"/>
      <c r="V149" s="152"/>
      <c r="W149" s="152"/>
      <c r="X149" s="152"/>
      <c r="Y149" s="152"/>
      <c r="Z149" s="152"/>
      <c r="AA149" s="152"/>
      <c r="AB149" s="152"/>
      <c r="AC149" s="152"/>
      <c r="AD149" s="64"/>
      <c r="AE149" s="17"/>
    </row>
    <row r="150" spans="1:31" s="16" customFormat="1" ht="24" customHeight="1">
      <c r="A150" s="52"/>
      <c r="B150" s="52"/>
      <c r="C150" s="52"/>
      <c r="D150" s="133"/>
      <c r="E150" s="133"/>
      <c r="F150" s="133"/>
      <c r="G150" s="133"/>
      <c r="H150" s="133"/>
      <c r="I150" s="133"/>
      <c r="J150" s="133"/>
      <c r="K150" s="133"/>
      <c r="L150" s="87"/>
      <c r="M150" s="88" t="s">
        <v>240</v>
      </c>
      <c r="N150" s="140"/>
      <c r="O150" s="213"/>
      <c r="P150" s="34"/>
      <c r="Q150" s="34"/>
      <c r="R150" s="34"/>
      <c r="S150" s="34"/>
      <c r="T150" s="34"/>
      <c r="U150" s="34"/>
      <c r="V150" s="207" t="s">
        <v>131</v>
      </c>
      <c r="W150" s="207"/>
      <c r="X150" s="207"/>
      <c r="Y150" s="207"/>
      <c r="Z150" s="207"/>
      <c r="AA150" s="207"/>
      <c r="AB150" s="89"/>
      <c r="AC150" s="89">
        <f>SUM(AC151:AC151)</f>
        <v>0</v>
      </c>
      <c r="AD150" s="90" t="s">
        <v>25</v>
      </c>
      <c r="AE150" s="17"/>
    </row>
    <row r="151" spans="1:31" s="16" customFormat="1" ht="24" customHeight="1">
      <c r="A151" s="52"/>
      <c r="B151" s="52"/>
      <c r="C151" s="52"/>
      <c r="D151" s="133"/>
      <c r="E151" s="133"/>
      <c r="F151" s="133"/>
      <c r="G151" s="133"/>
      <c r="H151" s="133"/>
      <c r="I151" s="133"/>
      <c r="J151" s="133"/>
      <c r="K151" s="133"/>
      <c r="L151" s="87"/>
      <c r="M151" s="331" t="s">
        <v>241</v>
      </c>
      <c r="N151" s="212"/>
      <c r="O151" s="212"/>
      <c r="P151" s="212"/>
      <c r="Q151" s="251">
        <v>0</v>
      </c>
      <c r="R151" s="278"/>
      <c r="S151" s="61" t="s">
        <v>57</v>
      </c>
      <c r="T151" s="61" t="s">
        <v>26</v>
      </c>
      <c r="U151" s="251">
        <v>2</v>
      </c>
      <c r="V151" s="251" t="s">
        <v>183</v>
      </c>
      <c r="W151" s="234"/>
      <c r="X151" s="164"/>
      <c r="Y151" s="92"/>
      <c r="Z151" s="218" t="s">
        <v>53</v>
      </c>
      <c r="AA151" s="330" t="s">
        <v>256</v>
      </c>
      <c r="AB151" s="251"/>
      <c r="AC151" s="251">
        <f>Q151*U151</f>
        <v>0</v>
      </c>
      <c r="AD151" s="64" t="s">
        <v>25</v>
      </c>
      <c r="AE151" s="17"/>
    </row>
    <row r="152" spans="1:31" s="16" customFormat="1" ht="24" customHeight="1">
      <c r="A152" s="327"/>
      <c r="B152" s="327"/>
      <c r="C152" s="327"/>
      <c r="D152" s="133"/>
      <c r="E152" s="133"/>
      <c r="F152" s="133"/>
      <c r="G152" s="133"/>
      <c r="H152" s="133"/>
      <c r="I152" s="133"/>
      <c r="J152" s="133"/>
      <c r="K152" s="133"/>
      <c r="L152" s="87"/>
      <c r="M152" s="331"/>
      <c r="N152" s="331"/>
      <c r="O152" s="331"/>
      <c r="P152" s="331"/>
      <c r="Q152" s="330"/>
      <c r="R152" s="330"/>
      <c r="S152" s="61"/>
      <c r="T152" s="61"/>
      <c r="U152" s="330"/>
      <c r="V152" s="330"/>
      <c r="W152" s="234"/>
      <c r="X152" s="164"/>
      <c r="Y152" s="92"/>
      <c r="Z152" s="218"/>
      <c r="AA152" s="330"/>
      <c r="AB152" s="330"/>
      <c r="AC152" s="330"/>
      <c r="AD152" s="64"/>
      <c r="AE152" s="17"/>
    </row>
    <row r="153" spans="1:31" s="16" customFormat="1" ht="24" customHeight="1">
      <c r="A153" s="327"/>
      <c r="B153" s="327"/>
      <c r="C153" s="327"/>
      <c r="D153" s="133"/>
      <c r="E153" s="133"/>
      <c r="F153" s="133"/>
      <c r="G153" s="133"/>
      <c r="H153" s="133"/>
      <c r="I153" s="133"/>
      <c r="J153" s="133"/>
      <c r="K153" s="133"/>
      <c r="L153" s="87"/>
      <c r="M153" s="88" t="s">
        <v>242</v>
      </c>
      <c r="N153" s="329"/>
      <c r="O153" s="331"/>
      <c r="P153" s="331"/>
      <c r="Q153" s="331"/>
      <c r="R153" s="331"/>
      <c r="S153" s="330"/>
      <c r="T153" s="330"/>
      <c r="U153" s="330"/>
      <c r="V153" s="328" t="s">
        <v>131</v>
      </c>
      <c r="W153" s="328"/>
      <c r="X153" s="328"/>
      <c r="Y153" s="328"/>
      <c r="Z153" s="328"/>
      <c r="AA153" s="328"/>
      <c r="AB153" s="89"/>
      <c r="AC153" s="89">
        <f>SUM(AC154)</f>
        <v>268000</v>
      </c>
      <c r="AD153" s="90" t="s">
        <v>25</v>
      </c>
      <c r="AE153" s="17"/>
    </row>
    <row r="154" spans="1:31" s="16" customFormat="1" ht="24" customHeight="1">
      <c r="A154" s="327"/>
      <c r="B154" s="327"/>
      <c r="C154" s="327"/>
      <c r="D154" s="133"/>
      <c r="E154" s="133"/>
      <c r="F154" s="133"/>
      <c r="G154" s="133"/>
      <c r="H154" s="133"/>
      <c r="I154" s="133"/>
      <c r="J154" s="133"/>
      <c r="K154" s="133"/>
      <c r="L154" s="87"/>
      <c r="M154" s="331" t="s">
        <v>243</v>
      </c>
      <c r="N154" s="331"/>
      <c r="O154" s="331"/>
      <c r="P154" s="331"/>
      <c r="Q154" s="330">
        <v>6700</v>
      </c>
      <c r="R154" s="330"/>
      <c r="S154" s="61" t="s">
        <v>57</v>
      </c>
      <c r="T154" s="61" t="s">
        <v>26</v>
      </c>
      <c r="U154" s="330">
        <v>10</v>
      </c>
      <c r="V154" s="330" t="s">
        <v>75</v>
      </c>
      <c r="W154" s="374" t="s">
        <v>58</v>
      </c>
      <c r="X154" s="373">
        <v>4</v>
      </c>
      <c r="Y154" s="373" t="s">
        <v>56</v>
      </c>
      <c r="Z154" s="218" t="s">
        <v>53</v>
      </c>
      <c r="AA154" s="332" t="s">
        <v>260</v>
      </c>
      <c r="AB154" s="330"/>
      <c r="AC154" s="330">
        <f>Q154*U154*X154</f>
        <v>268000</v>
      </c>
      <c r="AD154" s="64" t="s">
        <v>25</v>
      </c>
      <c r="AE154" s="17"/>
    </row>
    <row r="155" spans="1:31" s="16" customFormat="1" ht="24" customHeight="1">
      <c r="A155" s="327"/>
      <c r="B155" s="327"/>
      <c r="C155" s="327"/>
      <c r="D155" s="133"/>
      <c r="E155" s="133"/>
      <c r="F155" s="133"/>
      <c r="G155" s="133"/>
      <c r="H155" s="133"/>
      <c r="I155" s="133"/>
      <c r="J155" s="133"/>
      <c r="K155" s="133"/>
      <c r="L155" s="87"/>
      <c r="M155" s="331"/>
      <c r="N155" s="331"/>
      <c r="O155" s="331"/>
      <c r="P155" s="331"/>
      <c r="Q155" s="330"/>
      <c r="R155" s="330"/>
      <c r="S155" s="61"/>
      <c r="T155" s="61"/>
      <c r="U155" s="330"/>
      <c r="V155" s="330"/>
      <c r="W155" s="234"/>
      <c r="X155" s="164"/>
      <c r="Y155" s="92"/>
      <c r="Z155" s="218"/>
      <c r="AA155" s="330"/>
      <c r="AB155" s="330"/>
      <c r="AC155" s="330"/>
      <c r="AD155" s="64"/>
      <c r="AE155" s="17"/>
    </row>
    <row r="156" spans="1:31" s="16" customFormat="1" ht="24" customHeight="1">
      <c r="A156" s="327"/>
      <c r="B156" s="327"/>
      <c r="C156" s="327"/>
      <c r="D156" s="133"/>
      <c r="E156" s="133"/>
      <c r="F156" s="133"/>
      <c r="G156" s="133"/>
      <c r="H156" s="133"/>
      <c r="I156" s="133"/>
      <c r="J156" s="133"/>
      <c r="K156" s="133"/>
      <c r="L156" s="87"/>
      <c r="M156" s="88" t="s">
        <v>244</v>
      </c>
      <c r="N156" s="329"/>
      <c r="O156" s="331"/>
      <c r="P156" s="331"/>
      <c r="Q156" s="331"/>
      <c r="R156" s="331"/>
      <c r="S156" s="330"/>
      <c r="T156" s="330"/>
      <c r="U156" s="330"/>
      <c r="V156" s="328" t="s">
        <v>131</v>
      </c>
      <c r="W156" s="328"/>
      <c r="X156" s="328"/>
      <c r="Y156" s="328"/>
      <c r="Z156" s="328"/>
      <c r="AA156" s="328"/>
      <c r="AB156" s="89"/>
      <c r="AC156" s="89">
        <f>SUM(AC157)</f>
        <v>120000</v>
      </c>
      <c r="AD156" s="90" t="s">
        <v>25</v>
      </c>
      <c r="AE156" s="17"/>
    </row>
    <row r="157" spans="1:31" s="16" customFormat="1" ht="24" customHeight="1">
      <c r="A157" s="327"/>
      <c r="B157" s="327"/>
      <c r="C157" s="327"/>
      <c r="D157" s="133"/>
      <c r="E157" s="133"/>
      <c r="F157" s="133"/>
      <c r="G157" s="133"/>
      <c r="H157" s="133"/>
      <c r="I157" s="133"/>
      <c r="J157" s="133"/>
      <c r="K157" s="133"/>
      <c r="L157" s="87"/>
      <c r="M157" s="331" t="s">
        <v>245</v>
      </c>
      <c r="N157" s="331"/>
      <c r="O157" s="331"/>
      <c r="P157" s="331"/>
      <c r="Q157" s="330">
        <v>30000</v>
      </c>
      <c r="R157" s="330"/>
      <c r="S157" s="330" t="s">
        <v>57</v>
      </c>
      <c r="T157" s="331" t="s">
        <v>58</v>
      </c>
      <c r="U157" s="372">
        <v>4</v>
      </c>
      <c r="V157" s="372" t="s">
        <v>56</v>
      </c>
      <c r="W157" s="331"/>
      <c r="X157" s="330"/>
      <c r="Y157" s="330"/>
      <c r="Z157" s="330" t="s">
        <v>53</v>
      </c>
      <c r="AA157" s="330" t="s">
        <v>284</v>
      </c>
      <c r="AB157" s="84"/>
      <c r="AC157" s="84">
        <f>Q157*U157</f>
        <v>120000</v>
      </c>
      <c r="AD157" s="64" t="s">
        <v>25</v>
      </c>
      <c r="AE157" s="17"/>
    </row>
    <row r="158" spans="1:31" s="16" customFormat="1" ht="24" customHeight="1">
      <c r="A158" s="327"/>
      <c r="B158" s="327"/>
      <c r="C158" s="327"/>
      <c r="D158" s="133"/>
      <c r="E158" s="133"/>
      <c r="F158" s="133"/>
      <c r="G158" s="133"/>
      <c r="H158" s="133"/>
      <c r="I158" s="133"/>
      <c r="J158" s="133"/>
      <c r="K158" s="133"/>
      <c r="L158" s="87"/>
      <c r="M158" s="331"/>
      <c r="N158" s="331"/>
      <c r="O158" s="331"/>
      <c r="P158" s="331"/>
      <c r="Q158" s="330"/>
      <c r="R158" s="330"/>
      <c r="S158" s="61"/>
      <c r="T158" s="61"/>
      <c r="U158" s="330"/>
      <c r="V158" s="330"/>
      <c r="W158" s="234"/>
      <c r="X158" s="164"/>
      <c r="Y158" s="92"/>
      <c r="Z158" s="218"/>
      <c r="AA158" s="330"/>
      <c r="AB158" s="330"/>
      <c r="AC158" s="330"/>
      <c r="AD158" s="64"/>
      <c r="AE158" s="17"/>
    </row>
    <row r="159" spans="1:31" s="16" customFormat="1" ht="24" customHeight="1">
      <c r="A159" s="52"/>
      <c r="B159" s="52"/>
      <c r="C159" s="52"/>
      <c r="D159" s="133"/>
      <c r="E159" s="133"/>
      <c r="F159" s="133"/>
      <c r="G159" s="133"/>
      <c r="H159" s="133"/>
      <c r="I159" s="133"/>
      <c r="J159" s="133"/>
      <c r="K159" s="133"/>
      <c r="L159" s="87"/>
      <c r="M159" s="88" t="s">
        <v>246</v>
      </c>
      <c r="N159" s="140"/>
      <c r="O159" s="213"/>
      <c r="P159" s="34"/>
      <c r="Q159" s="34"/>
      <c r="R159" s="34"/>
      <c r="S159" s="34"/>
      <c r="T159" s="34"/>
      <c r="U159" s="34"/>
      <c r="V159" s="207" t="s">
        <v>131</v>
      </c>
      <c r="W159" s="207"/>
      <c r="X159" s="207"/>
      <c r="Y159" s="207"/>
      <c r="Z159" s="207"/>
      <c r="AA159" s="207"/>
      <c r="AB159" s="89"/>
      <c r="AC159" s="89">
        <f>SUM(AC160:AC163)</f>
        <v>1560000</v>
      </c>
      <c r="AD159" s="90" t="s">
        <v>25</v>
      </c>
      <c r="AE159" s="17"/>
    </row>
    <row r="160" spans="1:31" s="16" customFormat="1" ht="24" customHeight="1">
      <c r="A160" s="52"/>
      <c r="B160" s="52"/>
      <c r="C160" s="52"/>
      <c r="D160" s="133"/>
      <c r="E160" s="133"/>
      <c r="F160" s="133"/>
      <c r="G160" s="133"/>
      <c r="H160" s="133"/>
      <c r="I160" s="133"/>
      <c r="J160" s="133"/>
      <c r="K160" s="133"/>
      <c r="L160" s="87"/>
      <c r="M160" s="170" t="s">
        <v>247</v>
      </c>
      <c r="N160" s="170"/>
      <c r="O160" s="170"/>
      <c r="P160" s="170"/>
      <c r="Q160" s="251">
        <v>20000</v>
      </c>
      <c r="R160" s="278"/>
      <c r="S160" s="61" t="s">
        <v>57</v>
      </c>
      <c r="T160" s="61" t="s">
        <v>26</v>
      </c>
      <c r="U160" s="251">
        <v>4</v>
      </c>
      <c r="V160" s="251" t="s">
        <v>183</v>
      </c>
      <c r="W160" s="234"/>
      <c r="X160" s="164"/>
      <c r="Y160" s="92"/>
      <c r="Z160" s="218" t="s">
        <v>53</v>
      </c>
      <c r="AA160" s="330" t="s">
        <v>256</v>
      </c>
      <c r="AB160" s="251"/>
      <c r="AC160" s="251">
        <f>Q160*U160</f>
        <v>80000</v>
      </c>
      <c r="AD160" s="64" t="s">
        <v>25</v>
      </c>
      <c r="AE160" s="17"/>
    </row>
    <row r="161" spans="1:31" s="16" customFormat="1" ht="24" customHeight="1">
      <c r="A161" s="52"/>
      <c r="B161" s="52"/>
      <c r="C161" s="52"/>
      <c r="D161" s="133"/>
      <c r="E161" s="133"/>
      <c r="F161" s="133"/>
      <c r="G161" s="133"/>
      <c r="H161" s="133"/>
      <c r="I161" s="133"/>
      <c r="J161" s="133"/>
      <c r="K161" s="133"/>
      <c r="L161" s="87"/>
      <c r="M161" s="170" t="s">
        <v>248</v>
      </c>
      <c r="N161" s="170"/>
      <c r="O161" s="170"/>
      <c r="P161" s="170"/>
      <c r="Q161" s="251">
        <v>150000</v>
      </c>
      <c r="R161" s="278"/>
      <c r="S161" s="61" t="s">
        <v>57</v>
      </c>
      <c r="T161" s="61" t="s">
        <v>26</v>
      </c>
      <c r="U161" s="251">
        <v>4</v>
      </c>
      <c r="V161" s="330" t="s">
        <v>56</v>
      </c>
      <c r="W161" s="234"/>
      <c r="X161" s="164"/>
      <c r="Y161" s="92"/>
      <c r="Z161" s="218" t="s">
        <v>53</v>
      </c>
      <c r="AA161" s="330" t="s">
        <v>256</v>
      </c>
      <c r="AB161" s="251"/>
      <c r="AC161" s="251">
        <f>Q161*U161</f>
        <v>600000</v>
      </c>
      <c r="AD161" s="64" t="s">
        <v>25</v>
      </c>
      <c r="AE161" s="17"/>
    </row>
    <row r="162" spans="1:31" s="16" customFormat="1" ht="24" customHeight="1">
      <c r="A162" s="52"/>
      <c r="B162" s="52"/>
      <c r="C162" s="52"/>
      <c r="D162" s="133"/>
      <c r="E162" s="133"/>
      <c r="F162" s="133"/>
      <c r="G162" s="133"/>
      <c r="H162" s="133"/>
      <c r="I162" s="133"/>
      <c r="J162" s="133"/>
      <c r="K162" s="133"/>
      <c r="L162" s="87"/>
      <c r="M162" s="170" t="s">
        <v>296</v>
      </c>
      <c r="N162" s="170"/>
      <c r="O162" s="170"/>
      <c r="P162" s="170"/>
      <c r="Q162" s="330">
        <v>150000</v>
      </c>
      <c r="R162" s="330"/>
      <c r="S162" s="61" t="s">
        <v>57</v>
      </c>
      <c r="T162" s="61" t="s">
        <v>26</v>
      </c>
      <c r="U162" s="330">
        <v>4</v>
      </c>
      <c r="V162" s="330" t="s">
        <v>56</v>
      </c>
      <c r="W162" s="234"/>
      <c r="X162" s="164"/>
      <c r="Y162" s="92"/>
      <c r="Z162" s="218" t="s">
        <v>53</v>
      </c>
      <c r="AA162" s="330" t="s">
        <v>256</v>
      </c>
      <c r="AB162" s="330"/>
      <c r="AC162" s="330">
        <f>Q162*U162</f>
        <v>600000</v>
      </c>
      <c r="AD162" s="64" t="s">
        <v>25</v>
      </c>
      <c r="AE162" s="17"/>
    </row>
    <row r="163" spans="1:31" s="16" customFormat="1" ht="24" customHeight="1">
      <c r="A163" s="52"/>
      <c r="B163" s="52"/>
      <c r="C163" s="52"/>
      <c r="D163" s="133"/>
      <c r="E163" s="133"/>
      <c r="F163" s="133"/>
      <c r="G163" s="133"/>
      <c r="H163" s="133"/>
      <c r="I163" s="133"/>
      <c r="J163" s="133"/>
      <c r="K163" s="133"/>
      <c r="L163" s="87"/>
      <c r="M163" s="170" t="s">
        <v>249</v>
      </c>
      <c r="N163" s="170"/>
      <c r="O163" s="170"/>
      <c r="P163" s="170"/>
      <c r="Q163" s="299">
        <v>70000</v>
      </c>
      <c r="R163" s="170"/>
      <c r="S163" s="170" t="s">
        <v>201</v>
      </c>
      <c r="T163" s="61" t="s">
        <v>26</v>
      </c>
      <c r="U163" s="170">
        <v>4</v>
      </c>
      <c r="V163" s="170" t="s">
        <v>56</v>
      </c>
      <c r="W163" s="170"/>
      <c r="X163" s="170"/>
      <c r="Y163" s="170"/>
      <c r="Z163" s="170" t="s">
        <v>205</v>
      </c>
      <c r="AA163" s="170" t="s">
        <v>110</v>
      </c>
      <c r="AB163" s="170"/>
      <c r="AC163" s="171">
        <f>Q163*U163</f>
        <v>280000</v>
      </c>
      <c r="AD163" s="172" t="s">
        <v>203</v>
      </c>
      <c r="AE163" s="17"/>
    </row>
    <row r="164" spans="1:31" s="16" customFormat="1" ht="24" customHeight="1">
      <c r="A164" s="52"/>
      <c r="B164" s="52"/>
      <c r="C164" s="52"/>
      <c r="D164" s="133"/>
      <c r="E164" s="133"/>
      <c r="F164" s="133"/>
      <c r="G164" s="133"/>
      <c r="H164" s="133"/>
      <c r="I164" s="133"/>
      <c r="J164" s="133"/>
      <c r="K164" s="133"/>
      <c r="L164" s="87"/>
      <c r="M164" s="170"/>
      <c r="N164" s="170"/>
      <c r="O164" s="170"/>
      <c r="P164" s="170"/>
      <c r="Q164" s="170"/>
      <c r="R164" s="170"/>
      <c r="S164" s="170"/>
      <c r="T164" s="170"/>
      <c r="U164" s="170"/>
      <c r="V164" s="170"/>
      <c r="W164" s="170"/>
      <c r="X164" s="170"/>
      <c r="Y164" s="170"/>
      <c r="Z164" s="170"/>
      <c r="AA164" s="170"/>
      <c r="AB164" s="170"/>
      <c r="AC164" s="171"/>
      <c r="AD164" s="172"/>
      <c r="AE164" s="17"/>
    </row>
    <row r="165" spans="1:31" s="16" customFormat="1" ht="24" customHeight="1">
      <c r="A165" s="52"/>
      <c r="B165" s="52"/>
      <c r="C165" s="52"/>
      <c r="D165" s="133"/>
      <c r="E165" s="133"/>
      <c r="F165" s="133"/>
      <c r="G165" s="133"/>
      <c r="H165" s="133"/>
      <c r="I165" s="133"/>
      <c r="J165" s="133"/>
      <c r="K165" s="133"/>
      <c r="L165" s="87"/>
      <c r="M165" s="88" t="s">
        <v>252</v>
      </c>
      <c r="N165" s="140"/>
      <c r="O165" s="213"/>
      <c r="P165" s="34"/>
      <c r="Q165" s="34"/>
      <c r="R165" s="34"/>
      <c r="S165" s="34"/>
      <c r="T165" s="34"/>
      <c r="U165" s="34"/>
      <c r="V165" s="207" t="s">
        <v>131</v>
      </c>
      <c r="W165" s="207"/>
      <c r="X165" s="207"/>
      <c r="Y165" s="207"/>
      <c r="Z165" s="207"/>
      <c r="AA165" s="207"/>
      <c r="AB165" s="89"/>
      <c r="AC165" s="89">
        <f>SUM(AC167)</f>
        <v>240000</v>
      </c>
      <c r="AD165" s="90" t="s">
        <v>25</v>
      </c>
      <c r="AE165" s="17"/>
    </row>
    <row r="166" spans="1:31" s="16" customFormat="1" ht="24" customHeight="1">
      <c r="A166" s="52"/>
      <c r="B166" s="52"/>
      <c r="C166" s="52"/>
      <c r="D166" s="133"/>
      <c r="E166" s="133"/>
      <c r="F166" s="133"/>
      <c r="G166" s="133"/>
      <c r="H166" s="133"/>
      <c r="I166" s="133"/>
      <c r="J166" s="133"/>
      <c r="K166" s="133"/>
      <c r="L166" s="87"/>
      <c r="M166" s="170" t="s">
        <v>253</v>
      </c>
      <c r="N166" s="170"/>
      <c r="O166" s="170"/>
      <c r="P166" s="170"/>
      <c r="Q166" s="292">
        <v>50000</v>
      </c>
      <c r="R166" s="292"/>
      <c r="S166" s="292" t="s">
        <v>57</v>
      </c>
      <c r="T166" s="293" t="s">
        <v>58</v>
      </c>
      <c r="U166" s="292">
        <v>4</v>
      </c>
      <c r="V166" s="292" t="s">
        <v>56</v>
      </c>
      <c r="W166" s="293" t="s">
        <v>58</v>
      </c>
      <c r="X166" s="292">
        <v>4</v>
      </c>
      <c r="Y166" s="292" t="s">
        <v>75</v>
      </c>
      <c r="Z166" s="292" t="s">
        <v>53</v>
      </c>
      <c r="AA166" s="370" t="s">
        <v>258</v>
      </c>
      <c r="AB166" s="371"/>
      <c r="AC166" s="371">
        <f>Q166*U166</f>
        <v>200000</v>
      </c>
      <c r="AD166" s="64" t="s">
        <v>25</v>
      </c>
      <c r="AE166" s="17"/>
    </row>
    <row r="167" spans="1:31" s="16" customFormat="1" ht="24" customHeight="1">
      <c r="A167" s="52"/>
      <c r="B167" s="52"/>
      <c r="C167" s="52"/>
      <c r="D167" s="133"/>
      <c r="E167" s="133"/>
      <c r="F167" s="133"/>
      <c r="G167" s="133"/>
      <c r="H167" s="133"/>
      <c r="I167" s="133"/>
      <c r="J167" s="133"/>
      <c r="K167" s="133"/>
      <c r="L167" s="87"/>
      <c r="M167" s="170" t="s">
        <v>254</v>
      </c>
      <c r="N167" s="170"/>
      <c r="O167" s="170"/>
      <c r="P167" s="170"/>
      <c r="Q167" s="330">
        <v>10000</v>
      </c>
      <c r="R167" s="330"/>
      <c r="S167" s="61" t="s">
        <v>57</v>
      </c>
      <c r="T167" s="61" t="s">
        <v>26</v>
      </c>
      <c r="U167" s="330">
        <v>4</v>
      </c>
      <c r="V167" s="330" t="s">
        <v>56</v>
      </c>
      <c r="W167" s="379" t="s">
        <v>58</v>
      </c>
      <c r="X167" s="378">
        <v>6</v>
      </c>
      <c r="Y167" s="378" t="s">
        <v>75</v>
      </c>
      <c r="Z167" s="218" t="s">
        <v>53</v>
      </c>
      <c r="AA167" s="330" t="s">
        <v>256</v>
      </c>
      <c r="AB167" s="330"/>
      <c r="AC167" s="330">
        <f>Q167*U167*X167</f>
        <v>240000</v>
      </c>
      <c r="AD167" s="64" t="s">
        <v>25</v>
      </c>
      <c r="AE167" s="17"/>
    </row>
    <row r="168" spans="1:31" s="16" customFormat="1" ht="24" customHeight="1">
      <c r="A168" s="52"/>
      <c r="B168" s="52"/>
      <c r="C168" s="52"/>
      <c r="D168" s="133"/>
      <c r="E168" s="133"/>
      <c r="F168" s="133"/>
      <c r="G168" s="133"/>
      <c r="H168" s="133"/>
      <c r="I168" s="133"/>
      <c r="J168" s="133"/>
      <c r="K168" s="133"/>
      <c r="L168" s="87"/>
      <c r="M168" s="170"/>
      <c r="N168" s="170"/>
      <c r="O168" s="170"/>
      <c r="P168" s="170"/>
      <c r="Q168" s="170"/>
      <c r="R168" s="170"/>
      <c r="S168" s="170"/>
      <c r="T168" s="170"/>
      <c r="U168" s="170"/>
      <c r="V168" s="170"/>
      <c r="W168" s="170"/>
      <c r="X168" s="170"/>
      <c r="Y168" s="170"/>
      <c r="Z168" s="170"/>
      <c r="AA168" s="170"/>
      <c r="AB168" s="170"/>
      <c r="AC168" s="171"/>
      <c r="AD168" s="172"/>
      <c r="AE168" s="17"/>
    </row>
    <row r="169" spans="1:31" s="16" customFormat="1" ht="24" customHeight="1">
      <c r="A169" s="52"/>
      <c r="B169" s="52"/>
      <c r="C169" s="52"/>
      <c r="D169" s="133"/>
      <c r="E169" s="133"/>
      <c r="F169" s="133"/>
      <c r="G169" s="133"/>
      <c r="H169" s="133"/>
      <c r="I169" s="133"/>
      <c r="J169" s="133"/>
      <c r="K169" s="133"/>
      <c r="L169" s="87"/>
      <c r="M169" s="88" t="s">
        <v>250</v>
      </c>
      <c r="N169" s="140"/>
      <c r="O169" s="221"/>
      <c r="P169" s="34"/>
      <c r="Q169" s="34"/>
      <c r="R169" s="34"/>
      <c r="S169" s="34"/>
      <c r="T169" s="34"/>
      <c r="U169" s="34"/>
      <c r="V169" s="328" t="s">
        <v>131</v>
      </c>
      <c r="W169" s="328"/>
      <c r="X169" s="328"/>
      <c r="Y169" s="328"/>
      <c r="Z169" s="328"/>
      <c r="AA169" s="328"/>
      <c r="AB169" s="89"/>
      <c r="AC169" s="89">
        <f>SUM(AC170)</f>
        <v>160000</v>
      </c>
      <c r="AD169" s="90" t="s">
        <v>25</v>
      </c>
      <c r="AE169" s="17"/>
    </row>
    <row r="170" spans="1:31" s="16" customFormat="1" ht="24" customHeight="1">
      <c r="A170" s="52"/>
      <c r="B170" s="52"/>
      <c r="C170" s="52"/>
      <c r="D170" s="133"/>
      <c r="E170" s="133"/>
      <c r="F170" s="133"/>
      <c r="G170" s="133"/>
      <c r="H170" s="133"/>
      <c r="I170" s="133"/>
      <c r="J170" s="133"/>
      <c r="K170" s="133"/>
      <c r="L170" s="87"/>
      <c r="M170" s="331" t="s">
        <v>251</v>
      </c>
      <c r="N170" s="331"/>
      <c r="O170" s="331"/>
      <c r="P170" s="331"/>
      <c r="Q170" s="330">
        <v>10000</v>
      </c>
      <c r="R170" s="330"/>
      <c r="S170" s="330" t="s">
        <v>57</v>
      </c>
      <c r="T170" s="331" t="s">
        <v>58</v>
      </c>
      <c r="U170" s="330">
        <v>4</v>
      </c>
      <c r="V170" s="330" t="s">
        <v>75</v>
      </c>
      <c r="W170" s="331" t="s">
        <v>58</v>
      </c>
      <c r="X170" s="330">
        <v>4</v>
      </c>
      <c r="Y170" s="330" t="s">
        <v>56</v>
      </c>
      <c r="Z170" s="330" t="s">
        <v>53</v>
      </c>
      <c r="AA170" s="330" t="s">
        <v>256</v>
      </c>
      <c r="AB170" s="84"/>
      <c r="AC170" s="84">
        <f t="shared" ref="AC170" si="14">Q170*U170*X170</f>
        <v>160000</v>
      </c>
      <c r="AD170" s="64" t="s">
        <v>25</v>
      </c>
      <c r="AE170" s="17"/>
    </row>
    <row r="171" spans="1:31" s="16" customFormat="1" ht="24" customHeight="1">
      <c r="A171" s="346"/>
      <c r="B171" s="346"/>
      <c r="C171" s="53"/>
      <c r="D171" s="133"/>
      <c r="E171" s="133"/>
      <c r="F171" s="133"/>
      <c r="G171" s="133"/>
      <c r="H171" s="133"/>
      <c r="I171" s="133"/>
      <c r="J171" s="133"/>
      <c r="K171" s="133"/>
      <c r="L171" s="87"/>
      <c r="M171" s="379"/>
      <c r="N171" s="379"/>
      <c r="O171" s="379"/>
      <c r="P171" s="379"/>
      <c r="Q171" s="378"/>
      <c r="R171" s="378"/>
      <c r="S171" s="378"/>
      <c r="T171" s="379"/>
      <c r="U171" s="378"/>
      <c r="V171" s="378"/>
      <c r="W171" s="379"/>
      <c r="X171" s="378"/>
      <c r="Y171" s="378"/>
      <c r="Z171" s="378"/>
      <c r="AA171" s="378"/>
      <c r="AB171" s="84"/>
      <c r="AC171" s="84"/>
      <c r="AD171" s="64"/>
      <c r="AE171" s="17"/>
    </row>
    <row r="172" spans="1:31" s="16" customFormat="1" ht="24" customHeight="1">
      <c r="A172" s="346"/>
      <c r="B172" s="346"/>
      <c r="C172" s="53"/>
      <c r="D172" s="133"/>
      <c r="E172" s="133"/>
      <c r="F172" s="133"/>
      <c r="G172" s="133"/>
      <c r="H172" s="133"/>
      <c r="I172" s="133"/>
      <c r="J172" s="133"/>
      <c r="K172" s="133"/>
      <c r="L172" s="87"/>
      <c r="M172" s="379" t="s">
        <v>315</v>
      </c>
      <c r="N172" s="379"/>
      <c r="O172" s="379"/>
      <c r="P172" s="379"/>
      <c r="Q172" s="378"/>
      <c r="R172" s="378"/>
      <c r="S172" s="378"/>
      <c r="T172" s="379"/>
      <c r="U172" s="378"/>
      <c r="V172" s="376" t="s">
        <v>314</v>
      </c>
      <c r="W172" s="377"/>
      <c r="X172" s="376"/>
      <c r="Y172" s="376"/>
      <c r="Z172" s="376"/>
      <c r="AA172" s="376"/>
      <c r="AB172" s="89"/>
      <c r="AC172" s="89">
        <f>AC173+AC174</f>
        <v>100000</v>
      </c>
      <c r="AD172" s="90" t="s">
        <v>25</v>
      </c>
      <c r="AE172" s="17"/>
    </row>
    <row r="173" spans="1:31" s="16" customFormat="1" ht="24" customHeight="1">
      <c r="A173" s="346"/>
      <c r="B173" s="346"/>
      <c r="C173" s="53"/>
      <c r="D173" s="133"/>
      <c r="E173" s="133"/>
      <c r="F173" s="133"/>
      <c r="G173" s="133"/>
      <c r="H173" s="133"/>
      <c r="I173" s="133"/>
      <c r="J173" s="133"/>
      <c r="K173" s="133"/>
      <c r="L173" s="87"/>
      <c r="M173" s="379" t="s">
        <v>316</v>
      </c>
      <c r="N173" s="379"/>
      <c r="O173" s="379"/>
      <c r="P173" s="379"/>
      <c r="Q173" s="378">
        <v>100000</v>
      </c>
      <c r="R173" s="378"/>
      <c r="S173" s="378" t="s">
        <v>25</v>
      </c>
      <c r="T173" s="379" t="s">
        <v>26</v>
      </c>
      <c r="U173" s="378">
        <v>1</v>
      </c>
      <c r="V173" s="378" t="s">
        <v>305</v>
      </c>
      <c r="W173" s="379"/>
      <c r="X173" s="378"/>
      <c r="Y173" s="378"/>
      <c r="Z173" s="378" t="s">
        <v>27</v>
      </c>
      <c r="AA173" s="378" t="s">
        <v>283</v>
      </c>
      <c r="AB173" s="84"/>
      <c r="AC173" s="84">
        <f>Q173*U173</f>
        <v>100000</v>
      </c>
      <c r="AD173" s="64" t="s">
        <v>25</v>
      </c>
      <c r="AE173" s="17"/>
    </row>
    <row r="174" spans="1:31" s="16" customFormat="1" ht="24" customHeight="1">
      <c r="A174" s="346"/>
      <c r="B174" s="346"/>
      <c r="C174" s="53"/>
      <c r="D174" s="133"/>
      <c r="E174" s="133"/>
      <c r="F174" s="133"/>
      <c r="G174" s="133"/>
      <c r="H174" s="133"/>
      <c r="I174" s="133"/>
      <c r="J174" s="133"/>
      <c r="K174" s="133"/>
      <c r="L174" s="87"/>
      <c r="M174" s="379" t="s">
        <v>317</v>
      </c>
      <c r="N174" s="379"/>
      <c r="O174" s="379"/>
      <c r="P174" s="379"/>
      <c r="Q174" s="378">
        <v>0</v>
      </c>
      <c r="R174" s="378"/>
      <c r="S174" s="378" t="s">
        <v>25</v>
      </c>
      <c r="T174" s="379" t="s">
        <v>26</v>
      </c>
      <c r="U174" s="378">
        <v>1</v>
      </c>
      <c r="V174" s="378" t="s">
        <v>305</v>
      </c>
      <c r="W174" s="379"/>
      <c r="X174" s="378"/>
      <c r="Y174" s="378"/>
      <c r="Z174" s="378" t="s">
        <v>27</v>
      </c>
      <c r="AA174" s="378" t="s">
        <v>283</v>
      </c>
      <c r="AB174" s="84"/>
      <c r="AC174" s="84">
        <v>0</v>
      </c>
      <c r="AD174" s="64" t="s">
        <v>25</v>
      </c>
      <c r="AE174" s="17"/>
    </row>
    <row r="175" spans="1:31" s="16" customFormat="1" ht="24" customHeight="1">
      <c r="A175" s="66"/>
      <c r="B175" s="66"/>
      <c r="C175" s="134"/>
      <c r="D175" s="135"/>
      <c r="E175" s="135"/>
      <c r="F175" s="135"/>
      <c r="G175" s="135"/>
      <c r="H175" s="135"/>
      <c r="I175" s="135"/>
      <c r="J175" s="135"/>
      <c r="K175" s="133"/>
      <c r="L175" s="87"/>
      <c r="M175" s="56"/>
      <c r="N175" s="56"/>
      <c r="O175" s="56"/>
      <c r="P175" s="56"/>
      <c r="Q175" s="56"/>
      <c r="R175" s="279"/>
      <c r="S175" s="57"/>
      <c r="T175" s="57"/>
      <c r="U175" s="57"/>
      <c r="V175" s="57"/>
      <c r="W175" s="57"/>
      <c r="X175" s="168"/>
      <c r="Y175" s="168"/>
      <c r="Z175" s="168"/>
      <c r="AA175" s="168"/>
      <c r="AB175" s="169"/>
      <c r="AC175" s="57"/>
      <c r="AD175" s="64"/>
      <c r="AE175" s="17"/>
    </row>
    <row r="176" spans="1:31" s="12" customFormat="1" ht="21" customHeight="1">
      <c r="A176" s="136" t="s">
        <v>152</v>
      </c>
      <c r="B176" s="586" t="s">
        <v>21</v>
      </c>
      <c r="C176" s="587"/>
      <c r="D176" s="200">
        <v>207</v>
      </c>
      <c r="E176" s="200">
        <f>SUM(E177)</f>
        <v>207.131</v>
      </c>
      <c r="F176" s="200">
        <f t="shared" ref="F176:J176" si="15">SUM(F177)</f>
        <v>7.1310000000000002</v>
      </c>
      <c r="G176" s="200">
        <f t="shared" si="15"/>
        <v>200</v>
      </c>
      <c r="H176" s="200">
        <f t="shared" si="15"/>
        <v>0</v>
      </c>
      <c r="I176" s="200">
        <v>0</v>
      </c>
      <c r="J176" s="200">
        <f t="shared" si="15"/>
        <v>0</v>
      </c>
      <c r="K176" s="200">
        <f>E176-D176</f>
        <v>0.13100000000000023</v>
      </c>
      <c r="L176" s="201">
        <f>IF(D176=0,0,K176/D176)</f>
        <v>6.3285024154589484E-4</v>
      </c>
      <c r="M176" s="362" t="s">
        <v>155</v>
      </c>
      <c r="N176" s="363"/>
      <c r="O176" s="363"/>
      <c r="P176" s="363"/>
      <c r="Q176" s="364"/>
      <c r="R176" s="364"/>
      <c r="S176" s="364"/>
      <c r="T176" s="364"/>
      <c r="U176" s="364"/>
      <c r="V176" s="364"/>
      <c r="W176" s="364"/>
      <c r="X176" s="364"/>
      <c r="Y176" s="364"/>
      <c r="Z176" s="364"/>
      <c r="AA176" s="364"/>
      <c r="AB176" s="364"/>
      <c r="AC176" s="364">
        <f>SUM(AC177)</f>
        <v>207131</v>
      </c>
      <c r="AD176" s="204" t="s">
        <v>25</v>
      </c>
      <c r="AE176" s="1"/>
    </row>
    <row r="177" spans="1:31" s="12" customFormat="1" ht="21" customHeight="1">
      <c r="A177" s="229" t="s">
        <v>154</v>
      </c>
      <c r="B177" s="52" t="s">
        <v>152</v>
      </c>
      <c r="C177" s="52" t="s">
        <v>152</v>
      </c>
      <c r="D177" s="133">
        <v>207</v>
      </c>
      <c r="E177" s="133">
        <f>AC177/1000</f>
        <v>207.131</v>
      </c>
      <c r="F177" s="133">
        <f>SUM(AC178)/1000</f>
        <v>7.1310000000000002</v>
      </c>
      <c r="G177" s="133">
        <f>AC179/1000</f>
        <v>200</v>
      </c>
      <c r="H177" s="133">
        <v>0</v>
      </c>
      <c r="I177" s="133">
        <v>0</v>
      </c>
      <c r="J177" s="133">
        <v>0</v>
      </c>
      <c r="K177" s="133">
        <f>E177-D177</f>
        <v>0.13100000000000023</v>
      </c>
      <c r="L177" s="87">
        <f>IF(D177=0,0,K177/D177)</f>
        <v>6.3285024154589484E-4</v>
      </c>
      <c r="M177" s="140" t="s">
        <v>156</v>
      </c>
      <c r="N177" s="38"/>
      <c r="O177" s="38"/>
      <c r="P177" s="38"/>
      <c r="Q177" s="38"/>
      <c r="R177" s="221"/>
      <c r="S177" s="39"/>
      <c r="T177" s="39"/>
      <c r="U177" s="39"/>
      <c r="V177" s="39"/>
      <c r="W177" s="39"/>
      <c r="X177" s="203" t="s">
        <v>137</v>
      </c>
      <c r="Y177" s="124"/>
      <c r="Z177" s="124"/>
      <c r="AA177" s="124"/>
      <c r="AB177" s="142"/>
      <c r="AC177" s="142">
        <f>SUM(AC178:AC179)</f>
        <v>207131</v>
      </c>
      <c r="AD177" s="143" t="s">
        <v>25</v>
      </c>
      <c r="AE177" s="1"/>
    </row>
    <row r="178" spans="1:31" ht="21" customHeight="1">
      <c r="A178" s="51"/>
      <c r="B178" s="52" t="s">
        <v>153</v>
      </c>
      <c r="C178" s="52" t="s">
        <v>153</v>
      </c>
      <c r="D178" s="133"/>
      <c r="E178" s="133"/>
      <c r="F178" s="133"/>
      <c r="G178" s="133"/>
      <c r="H178" s="133"/>
      <c r="I178" s="133"/>
      <c r="J178" s="133"/>
      <c r="K178" s="133"/>
      <c r="L178" s="87"/>
      <c r="M178" s="506" t="s">
        <v>439</v>
      </c>
      <c r="N178" s="282"/>
      <c r="O178" s="282"/>
      <c r="P178" s="282"/>
      <c r="Q178" s="281"/>
      <c r="R178" s="281"/>
      <c r="S178" s="281"/>
      <c r="T178" s="281"/>
      <c r="U178" s="281"/>
      <c r="V178" s="281"/>
      <c r="W178" s="281"/>
      <c r="X178" s="281"/>
      <c r="Y178" s="281"/>
      <c r="Z178" s="281"/>
      <c r="AA178" s="281"/>
      <c r="AB178" s="281"/>
      <c r="AC178" s="281">
        <v>7131</v>
      </c>
      <c r="AD178" s="64" t="s">
        <v>25</v>
      </c>
    </row>
    <row r="179" spans="1:31" ht="21" customHeight="1">
      <c r="A179" s="510"/>
      <c r="B179" s="511"/>
      <c r="C179" s="511"/>
      <c r="D179" s="512"/>
      <c r="E179" s="512"/>
      <c r="F179" s="512"/>
      <c r="G179" s="512"/>
      <c r="H179" s="512"/>
      <c r="I179" s="512"/>
      <c r="J179" s="512"/>
      <c r="K179" s="512"/>
      <c r="L179" s="516"/>
      <c r="M179" s="517" t="s">
        <v>451</v>
      </c>
      <c r="N179" s="518"/>
      <c r="O179" s="518"/>
      <c r="P179" s="518"/>
      <c r="Q179" s="519"/>
      <c r="R179" s="519"/>
      <c r="S179" s="519"/>
      <c r="T179" s="519"/>
      <c r="U179" s="519"/>
      <c r="V179" s="519"/>
      <c r="W179" s="519"/>
      <c r="X179" s="519"/>
      <c r="Y179" s="519"/>
      <c r="Z179" s="519"/>
      <c r="AA179" s="519"/>
      <c r="AB179" s="519"/>
      <c r="AC179" s="519">
        <v>200000</v>
      </c>
      <c r="AD179" s="520" t="s">
        <v>259</v>
      </c>
    </row>
    <row r="180" spans="1:31" ht="21" customHeight="1">
      <c r="A180" s="229" t="s">
        <v>448</v>
      </c>
      <c r="B180" s="590" t="s">
        <v>21</v>
      </c>
      <c r="C180" s="591"/>
      <c r="D180" s="135">
        <v>0</v>
      </c>
      <c r="E180" s="135">
        <f>SUM(E181)</f>
        <v>0</v>
      </c>
      <c r="F180" s="135">
        <f t="shared" ref="F180:J180" si="16">SUM(F181)</f>
        <v>0</v>
      </c>
      <c r="G180" s="135">
        <f t="shared" si="16"/>
        <v>0</v>
      </c>
      <c r="H180" s="135">
        <f t="shared" si="16"/>
        <v>0</v>
      </c>
      <c r="I180" s="135">
        <v>0</v>
      </c>
      <c r="J180" s="135">
        <f t="shared" si="16"/>
        <v>0</v>
      </c>
      <c r="K180" s="135">
        <f>E180-D180</f>
        <v>0</v>
      </c>
      <c r="L180" s="105">
        <f>IF(D180=0,0,K180/D180)</f>
        <v>0</v>
      </c>
      <c r="M180" s="513" t="s">
        <v>448</v>
      </c>
      <c r="N180" s="514"/>
      <c r="O180" s="514"/>
      <c r="P180" s="514"/>
      <c r="Q180" s="515"/>
      <c r="R180" s="515"/>
      <c r="S180" s="515"/>
      <c r="T180" s="515"/>
      <c r="U180" s="515"/>
      <c r="V180" s="515"/>
      <c r="W180" s="515"/>
      <c r="X180" s="515"/>
      <c r="Y180" s="515"/>
      <c r="Z180" s="515"/>
      <c r="AA180" s="515"/>
      <c r="AB180" s="515"/>
      <c r="AC180" s="515">
        <f>SUM(AC181)</f>
        <v>0</v>
      </c>
      <c r="AD180" s="143" t="s">
        <v>25</v>
      </c>
    </row>
    <row r="181" spans="1:31" ht="21" customHeight="1">
      <c r="A181" s="229"/>
      <c r="B181" s="346" t="s">
        <v>448</v>
      </c>
      <c r="C181" s="346" t="s">
        <v>448</v>
      </c>
      <c r="D181" s="133">
        <v>0</v>
      </c>
      <c r="E181" s="133">
        <f>AC181/1000</f>
        <v>0</v>
      </c>
      <c r="F181" s="133">
        <f>SUM(AC182)/1000</f>
        <v>0</v>
      </c>
      <c r="G181" s="133">
        <f>AC183/1000</f>
        <v>0</v>
      </c>
      <c r="H181" s="133">
        <v>0</v>
      </c>
      <c r="I181" s="133">
        <v>0</v>
      </c>
      <c r="J181" s="133">
        <v>0</v>
      </c>
      <c r="K181" s="133">
        <f>E181-D181</f>
        <v>0</v>
      </c>
      <c r="L181" s="87">
        <f>IF(D181=0,0,K181/D181)</f>
        <v>0</v>
      </c>
      <c r="M181" s="140" t="s">
        <v>449</v>
      </c>
      <c r="N181" s="221"/>
      <c r="O181" s="221"/>
      <c r="P181" s="221"/>
      <c r="Q181" s="221"/>
      <c r="R181" s="221"/>
      <c r="S181" s="220"/>
      <c r="T181" s="220"/>
      <c r="U181" s="220"/>
      <c r="V181" s="220"/>
      <c r="W181" s="220"/>
      <c r="X181" s="507" t="s">
        <v>137</v>
      </c>
      <c r="Y181" s="124"/>
      <c r="Z181" s="124"/>
      <c r="AA181" s="124"/>
      <c r="AB181" s="142"/>
      <c r="AC181" s="142">
        <f>SUM(AC182:AC183)</f>
        <v>0</v>
      </c>
      <c r="AD181" s="143" t="s">
        <v>25</v>
      </c>
    </row>
    <row r="182" spans="1:31" ht="21" customHeight="1">
      <c r="A182" s="51"/>
      <c r="B182" s="346"/>
      <c r="C182" s="346"/>
      <c r="D182" s="133"/>
      <c r="E182" s="133"/>
      <c r="F182" s="133"/>
      <c r="G182" s="133"/>
      <c r="H182" s="133"/>
      <c r="I182" s="133"/>
      <c r="J182" s="133"/>
      <c r="K182" s="133"/>
      <c r="L182" s="87"/>
      <c r="M182" s="509"/>
      <c r="N182" s="509"/>
      <c r="O182" s="509"/>
      <c r="P182" s="509"/>
      <c r="Q182" s="508"/>
      <c r="R182" s="508"/>
      <c r="S182" s="508"/>
      <c r="T182" s="508"/>
      <c r="U182" s="508"/>
      <c r="V182" s="508"/>
      <c r="W182" s="508"/>
      <c r="X182" s="508"/>
      <c r="Y182" s="508"/>
      <c r="Z182" s="508"/>
      <c r="AA182" s="508"/>
      <c r="AB182" s="508"/>
      <c r="AC182" s="508">
        <v>0</v>
      </c>
      <c r="AD182" s="64" t="s">
        <v>25</v>
      </c>
    </row>
    <row r="183" spans="1:31" ht="21" customHeight="1">
      <c r="A183" s="524"/>
      <c r="B183" s="511"/>
      <c r="C183" s="511"/>
      <c r="D183" s="512"/>
      <c r="E183" s="512"/>
      <c r="F183" s="512"/>
      <c r="G183" s="512"/>
      <c r="H183" s="512"/>
      <c r="I183" s="512"/>
      <c r="J183" s="512"/>
      <c r="K183" s="512"/>
      <c r="L183" s="516"/>
      <c r="M183" s="517"/>
      <c r="N183" s="518"/>
      <c r="O183" s="518"/>
      <c r="P183" s="518"/>
      <c r="Q183" s="519"/>
      <c r="R183" s="519"/>
      <c r="S183" s="519"/>
      <c r="T183" s="519"/>
      <c r="U183" s="519"/>
      <c r="V183" s="519"/>
      <c r="W183" s="519"/>
      <c r="X183" s="519"/>
      <c r="Y183" s="519"/>
      <c r="Z183" s="519"/>
      <c r="AA183" s="519"/>
      <c r="AB183" s="519"/>
      <c r="AC183" s="519">
        <v>0</v>
      </c>
      <c r="AD183" s="520" t="s">
        <v>57</v>
      </c>
    </row>
    <row r="184" spans="1:31" ht="21" customHeight="1">
      <c r="A184" s="229" t="s">
        <v>429</v>
      </c>
      <c r="B184" s="590" t="s">
        <v>21</v>
      </c>
      <c r="C184" s="591"/>
      <c r="D184" s="135">
        <v>0</v>
      </c>
      <c r="E184" s="135">
        <f>SUM(E185)</f>
        <v>346.06</v>
      </c>
      <c r="F184" s="135">
        <f t="shared" ref="F184:J184" si="17">SUM(F185)</f>
        <v>346.06</v>
      </c>
      <c r="G184" s="135">
        <f t="shared" si="17"/>
        <v>0</v>
      </c>
      <c r="H184" s="135">
        <f t="shared" si="17"/>
        <v>0</v>
      </c>
      <c r="I184" s="135">
        <v>0</v>
      </c>
      <c r="J184" s="135">
        <f t="shared" si="17"/>
        <v>0</v>
      </c>
      <c r="K184" s="135">
        <f>E184-D184</f>
        <v>346.06</v>
      </c>
      <c r="L184" s="105">
        <f>IF(D184=0,0,K184/D184)</f>
        <v>0</v>
      </c>
      <c r="M184" s="513" t="s">
        <v>429</v>
      </c>
      <c r="N184" s="514"/>
      <c r="O184" s="514"/>
      <c r="P184" s="514"/>
      <c r="Q184" s="515"/>
      <c r="R184" s="515"/>
      <c r="S184" s="515"/>
      <c r="T184" s="515"/>
      <c r="U184" s="515"/>
      <c r="V184" s="515"/>
      <c r="W184" s="515"/>
      <c r="X184" s="515"/>
      <c r="Y184" s="515"/>
      <c r="Z184" s="515"/>
      <c r="AA184" s="515"/>
      <c r="AB184" s="515"/>
      <c r="AC184" s="515">
        <f>SUM(AC185)</f>
        <v>346060</v>
      </c>
      <c r="AD184" s="143" t="s">
        <v>25</v>
      </c>
    </row>
    <row r="185" spans="1:31" ht="21" customHeight="1">
      <c r="A185" s="229"/>
      <c r="B185" s="346" t="s">
        <v>429</v>
      </c>
      <c r="C185" s="346" t="s">
        <v>429</v>
      </c>
      <c r="D185" s="133">
        <v>0</v>
      </c>
      <c r="E185" s="133">
        <f>AC185/1000</f>
        <v>346.06</v>
      </c>
      <c r="F185" s="133">
        <f>SUM(AC184)/1000</f>
        <v>346.06</v>
      </c>
      <c r="G185" s="133"/>
      <c r="H185" s="133">
        <v>0</v>
      </c>
      <c r="I185" s="133">
        <v>0</v>
      </c>
      <c r="J185" s="133">
        <v>0</v>
      </c>
      <c r="K185" s="133">
        <f>E185-D185</f>
        <v>346.06</v>
      </c>
      <c r="L185" s="87">
        <f>IF(D185=0,0,K185/D185)</f>
        <v>0</v>
      </c>
      <c r="M185" s="140" t="s">
        <v>450</v>
      </c>
      <c r="N185" s="221"/>
      <c r="O185" s="221"/>
      <c r="P185" s="221"/>
      <c r="Q185" s="221"/>
      <c r="R185" s="221"/>
      <c r="S185" s="220"/>
      <c r="T185" s="220"/>
      <c r="U185" s="220"/>
      <c r="V185" s="220"/>
      <c r="W185" s="220"/>
      <c r="X185" s="507" t="s">
        <v>137</v>
      </c>
      <c r="Y185" s="124"/>
      <c r="Z185" s="124"/>
      <c r="AA185" s="124"/>
      <c r="AB185" s="142"/>
      <c r="AC185" s="142">
        <f>SUM(AC186:AC187)</f>
        <v>346060</v>
      </c>
      <c r="AD185" s="143" t="s">
        <v>25</v>
      </c>
    </row>
    <row r="186" spans="1:31" ht="21" customHeight="1">
      <c r="A186" s="51"/>
      <c r="B186" s="346"/>
      <c r="C186" s="346"/>
      <c r="D186" s="133"/>
      <c r="E186" s="133"/>
      <c r="F186" s="133"/>
      <c r="G186" s="133"/>
      <c r="H186" s="133"/>
      <c r="I186" s="133"/>
      <c r="J186" s="133"/>
      <c r="K186" s="133"/>
      <c r="L186" s="87"/>
      <c r="M186" s="509" t="s">
        <v>439</v>
      </c>
      <c r="N186" s="509"/>
      <c r="O186" s="509"/>
      <c r="P186" s="509"/>
      <c r="Q186" s="508"/>
      <c r="R186" s="508"/>
      <c r="S186" s="508"/>
      <c r="T186" s="508"/>
      <c r="U186" s="508"/>
      <c r="V186" s="508"/>
      <c r="W186" s="508"/>
      <c r="X186" s="508"/>
      <c r="Y186" s="508"/>
      <c r="Z186" s="508"/>
      <c r="AA186" s="508"/>
      <c r="AB186" s="508"/>
      <c r="AC186" s="508">
        <v>9000</v>
      </c>
      <c r="AD186" s="64" t="s">
        <v>25</v>
      </c>
    </row>
    <row r="187" spans="1:31" ht="21" customHeight="1" thickBot="1">
      <c r="A187" s="525"/>
      <c r="B187" s="287"/>
      <c r="C187" s="287"/>
      <c r="D187" s="288"/>
      <c r="E187" s="288"/>
      <c r="F187" s="288"/>
      <c r="G187" s="288"/>
      <c r="H187" s="288"/>
      <c r="I187" s="288"/>
      <c r="J187" s="288"/>
      <c r="K187" s="288"/>
      <c r="L187" s="289"/>
      <c r="M187" s="334" t="s">
        <v>473</v>
      </c>
      <c r="N187" s="335"/>
      <c r="O187" s="335"/>
      <c r="P187" s="335"/>
      <c r="Q187" s="336"/>
      <c r="R187" s="336"/>
      <c r="S187" s="336"/>
      <c r="T187" s="336"/>
      <c r="U187" s="336"/>
      <c r="V187" s="336"/>
      <c r="W187" s="336"/>
      <c r="X187" s="336"/>
      <c r="Y187" s="336"/>
      <c r="Z187" s="336"/>
      <c r="AA187" s="336"/>
      <c r="AB187" s="336"/>
      <c r="AC187" s="336">
        <v>337060</v>
      </c>
      <c r="AD187" s="337" t="s">
        <v>57</v>
      </c>
    </row>
  </sheetData>
  <mergeCells count="16">
    <mergeCell ref="B184:C184"/>
    <mergeCell ref="A1:C1"/>
    <mergeCell ref="B5:C5"/>
    <mergeCell ref="A4:C4"/>
    <mergeCell ref="K2:L2"/>
    <mergeCell ref="A2:C2"/>
    <mergeCell ref="D2:D3"/>
    <mergeCell ref="E2:J2"/>
    <mergeCell ref="B103:C103"/>
    <mergeCell ref="B180:C180"/>
    <mergeCell ref="U99:V99"/>
    <mergeCell ref="U71:V71"/>
    <mergeCell ref="U76:V76"/>
    <mergeCell ref="M2:AD3"/>
    <mergeCell ref="B176:C176"/>
    <mergeCell ref="B117:C117"/>
  </mergeCells>
  <phoneticPr fontId="6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>
    <oddFooter>&amp;R&amp;10장애인공동생활가정 바르나바의 집</oddFooter>
    <evenFooter>&amp;R장애인공동생활가정 바르나바의집</evenFooter>
    <firstFooter>&amp;R&amp;10장애인공동생활가정 바르나바의 집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10"/>
  <sheetViews>
    <sheetView workbookViewId="0">
      <selection activeCell="F6" sqref="F6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600" t="s">
        <v>443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</row>
    <row r="2" spans="1:14" ht="34.5" customHeight="1">
      <c r="A2" s="601" t="s">
        <v>362</v>
      </c>
      <c r="B2" s="602"/>
      <c r="C2" s="603"/>
      <c r="D2" s="604" t="s">
        <v>363</v>
      </c>
      <c r="E2" s="603"/>
      <c r="F2" s="605" t="s">
        <v>364</v>
      </c>
      <c r="G2" s="607" t="s">
        <v>365</v>
      </c>
      <c r="H2" s="608"/>
      <c r="I2" s="608"/>
      <c r="J2" s="608"/>
      <c r="K2" s="611" t="s">
        <v>366</v>
      </c>
      <c r="L2" s="406"/>
      <c r="M2" s="406"/>
      <c r="N2" s="406"/>
    </row>
    <row r="3" spans="1:14" ht="35.25" customHeight="1" thickBot="1">
      <c r="A3" s="407" t="s">
        <v>367</v>
      </c>
      <c r="B3" s="408" t="s">
        <v>368</v>
      </c>
      <c r="C3" s="409" t="s">
        <v>369</v>
      </c>
      <c r="D3" s="410" t="s">
        <v>322</v>
      </c>
      <c r="E3" s="410" t="s">
        <v>442</v>
      </c>
      <c r="F3" s="606"/>
      <c r="G3" s="609"/>
      <c r="H3" s="610"/>
      <c r="I3" s="610"/>
      <c r="J3" s="610"/>
      <c r="K3" s="612"/>
      <c r="L3" s="406"/>
      <c r="M3" s="406"/>
      <c r="N3" s="406"/>
    </row>
    <row r="4" spans="1:14" ht="36.75" customHeight="1" thickBot="1">
      <c r="A4" s="597" t="s">
        <v>370</v>
      </c>
      <c r="B4" s="598"/>
      <c r="C4" s="599"/>
      <c r="D4" s="411">
        <f>SUM(D5:D18)</f>
        <v>67450096</v>
      </c>
      <c r="E4" s="412">
        <f>SUM(E5:E18)</f>
        <v>66582596</v>
      </c>
      <c r="F4" s="413">
        <f t="shared" ref="F4:F18" si="0">E4-D4</f>
        <v>-867500</v>
      </c>
      <c r="G4" s="414"/>
      <c r="H4" s="414"/>
      <c r="I4" s="414"/>
      <c r="J4" s="414"/>
      <c r="K4" s="415"/>
      <c r="L4" s="406"/>
      <c r="M4" s="406"/>
      <c r="N4" s="406"/>
    </row>
    <row r="5" spans="1:14" ht="46.5" customHeight="1" thickBot="1">
      <c r="A5" s="416" t="s">
        <v>371</v>
      </c>
      <c r="B5" s="417" t="s">
        <v>371</v>
      </c>
      <c r="C5" s="418" t="s">
        <v>371</v>
      </c>
      <c r="D5" s="419">
        <v>7200000</v>
      </c>
      <c r="E5" s="420">
        <v>7200000</v>
      </c>
      <c r="F5" s="421">
        <f t="shared" si="0"/>
        <v>0</v>
      </c>
      <c r="G5" s="422">
        <v>250000</v>
      </c>
      <c r="H5" s="423">
        <v>25</v>
      </c>
      <c r="I5" s="424">
        <v>12</v>
      </c>
      <c r="J5" s="425">
        <f>G5*H5*I5</f>
        <v>75000000</v>
      </c>
      <c r="K5" s="426" t="s">
        <v>432</v>
      </c>
    </row>
    <row r="6" spans="1:14" ht="46.5" customHeight="1">
      <c r="A6" s="427" t="s">
        <v>372</v>
      </c>
      <c r="B6" s="428" t="s">
        <v>373</v>
      </c>
      <c r="C6" s="429" t="s">
        <v>374</v>
      </c>
      <c r="D6" s="430">
        <v>48125000</v>
      </c>
      <c r="E6" s="431">
        <f>세입!AB10</f>
        <v>48130000</v>
      </c>
      <c r="F6" s="432">
        <f t="shared" si="0"/>
        <v>5000</v>
      </c>
      <c r="G6" s="319"/>
      <c r="H6" s="319"/>
      <c r="I6" s="319"/>
      <c r="J6" s="319"/>
      <c r="K6" s="433" t="s">
        <v>453</v>
      </c>
    </row>
    <row r="7" spans="1:14" ht="55.5" customHeight="1">
      <c r="A7" s="434"/>
      <c r="B7" s="435"/>
      <c r="C7" s="436" t="s">
        <v>376</v>
      </c>
      <c r="D7" s="430">
        <v>1200000</v>
      </c>
      <c r="E7" s="431">
        <f>세입!AB12</f>
        <v>1180000</v>
      </c>
      <c r="F7" s="432">
        <f t="shared" si="0"/>
        <v>-20000</v>
      </c>
      <c r="G7" s="319"/>
      <c r="H7" s="319"/>
      <c r="I7" s="319"/>
      <c r="J7" s="319"/>
      <c r="K7" s="437" t="s">
        <v>433</v>
      </c>
    </row>
    <row r="8" spans="1:14" ht="46.5" customHeight="1">
      <c r="A8" s="434"/>
      <c r="B8" s="435"/>
      <c r="C8" s="436" t="s">
        <v>377</v>
      </c>
      <c r="D8" s="430">
        <v>2000000</v>
      </c>
      <c r="E8" s="431">
        <f>세입!AB11</f>
        <v>1450000</v>
      </c>
      <c r="F8" s="432">
        <f t="shared" si="0"/>
        <v>-550000</v>
      </c>
      <c r="G8" s="319"/>
      <c r="H8" s="319"/>
      <c r="I8" s="319"/>
      <c r="J8" s="319"/>
      <c r="K8" s="438" t="s">
        <v>454</v>
      </c>
    </row>
    <row r="9" spans="1:14" ht="46.5" customHeight="1" thickBot="1">
      <c r="A9" s="434"/>
      <c r="B9" s="439" t="s">
        <v>378</v>
      </c>
      <c r="C9" s="436" t="s">
        <v>379</v>
      </c>
      <c r="D9" s="430">
        <v>200000</v>
      </c>
      <c r="E9" s="431">
        <f>세입!AB15</f>
        <v>200000</v>
      </c>
      <c r="F9" s="432">
        <f t="shared" si="0"/>
        <v>0</v>
      </c>
      <c r="G9" s="319"/>
      <c r="H9" s="319"/>
      <c r="I9" s="319"/>
      <c r="J9" s="319"/>
      <c r="K9" s="433" t="s">
        <v>375</v>
      </c>
    </row>
    <row r="10" spans="1:14" ht="55.5" customHeight="1">
      <c r="A10" s="440" t="s">
        <v>380</v>
      </c>
      <c r="B10" s="441" t="s">
        <v>380</v>
      </c>
      <c r="C10" s="442" t="s">
        <v>381</v>
      </c>
      <c r="D10" s="443">
        <v>0</v>
      </c>
      <c r="E10" s="444">
        <v>0</v>
      </c>
      <c r="F10" s="445">
        <f t="shared" si="0"/>
        <v>0</v>
      </c>
      <c r="G10" s="446"/>
      <c r="H10" s="446"/>
      <c r="I10" s="446"/>
      <c r="J10" s="446"/>
      <c r="K10" s="447" t="s">
        <v>375</v>
      </c>
    </row>
    <row r="11" spans="1:14" ht="35.25" customHeight="1" thickBot="1">
      <c r="A11" s="448"/>
      <c r="B11" s="449"/>
      <c r="C11" s="450" t="s">
        <v>382</v>
      </c>
      <c r="D11" s="451">
        <v>750000</v>
      </c>
      <c r="E11" s="452">
        <f>세입!AB18</f>
        <v>450000</v>
      </c>
      <c r="F11" s="453">
        <f t="shared" si="0"/>
        <v>-300000</v>
      </c>
      <c r="G11" s="454"/>
      <c r="H11" s="454"/>
      <c r="I11" s="454"/>
      <c r="J11" s="454"/>
      <c r="K11" s="455" t="s">
        <v>455</v>
      </c>
    </row>
    <row r="12" spans="1:14" ht="57" customHeight="1" thickBot="1">
      <c r="A12" s="456" t="s">
        <v>383</v>
      </c>
      <c r="B12" s="417" t="s">
        <v>384</v>
      </c>
      <c r="C12" s="418" t="s">
        <v>385</v>
      </c>
      <c r="D12" s="419">
        <v>0</v>
      </c>
      <c r="E12" s="457">
        <v>0</v>
      </c>
      <c r="F12" s="421">
        <f t="shared" si="0"/>
        <v>0</v>
      </c>
      <c r="G12" s="458"/>
      <c r="H12" s="458"/>
      <c r="I12" s="458"/>
      <c r="J12" s="458"/>
      <c r="K12" s="426" t="s">
        <v>375</v>
      </c>
    </row>
    <row r="13" spans="1:14" ht="40.5" customHeight="1">
      <c r="A13" s="459" t="s">
        <v>386</v>
      </c>
      <c r="B13" s="460" t="s">
        <v>387</v>
      </c>
      <c r="C13" s="461" t="s">
        <v>388</v>
      </c>
      <c r="D13" s="462">
        <v>6363524</v>
      </c>
      <c r="E13" s="463">
        <f>세입!AB24</f>
        <v>6363524</v>
      </c>
      <c r="F13" s="464">
        <f t="shared" si="0"/>
        <v>0</v>
      </c>
      <c r="G13" s="319"/>
      <c r="H13" s="319"/>
      <c r="I13" s="319"/>
      <c r="J13" s="319"/>
      <c r="K13" s="447" t="s">
        <v>375</v>
      </c>
    </row>
    <row r="14" spans="1:14" ht="40.5" customHeight="1">
      <c r="A14" s="434"/>
      <c r="B14" s="465"/>
      <c r="C14" s="436" t="s">
        <v>389</v>
      </c>
      <c r="D14" s="430">
        <v>207131</v>
      </c>
      <c r="E14" s="431">
        <f>세입!AB22+세입!AB23</f>
        <v>207131</v>
      </c>
      <c r="F14" s="432">
        <f t="shared" si="0"/>
        <v>0</v>
      </c>
      <c r="G14" s="319"/>
      <c r="H14" s="319"/>
      <c r="I14" s="319"/>
      <c r="J14" s="319"/>
      <c r="K14" s="433" t="s">
        <v>375</v>
      </c>
    </row>
    <row r="15" spans="1:14" ht="40.5" customHeight="1">
      <c r="A15" s="434"/>
      <c r="B15" s="465"/>
      <c r="C15" s="436" t="s">
        <v>390</v>
      </c>
      <c r="D15" s="430">
        <v>484070</v>
      </c>
      <c r="E15" s="431">
        <v>0</v>
      </c>
      <c r="F15" s="432">
        <f t="shared" si="0"/>
        <v>-484070</v>
      </c>
      <c r="G15" s="319"/>
      <c r="H15" s="319"/>
      <c r="I15" s="319"/>
      <c r="J15" s="319"/>
      <c r="K15" s="433" t="s">
        <v>470</v>
      </c>
    </row>
    <row r="16" spans="1:14" ht="40.5" customHeight="1">
      <c r="A16" s="434"/>
      <c r="B16" s="467"/>
      <c r="C16" s="436" t="s">
        <v>391</v>
      </c>
      <c r="D16" s="430">
        <v>0</v>
      </c>
      <c r="E16" s="431">
        <v>0</v>
      </c>
      <c r="F16" s="432">
        <f t="shared" si="0"/>
        <v>0</v>
      </c>
      <c r="G16" s="319"/>
      <c r="H16" s="319"/>
      <c r="I16" s="319"/>
      <c r="J16" s="319"/>
      <c r="K16" s="523" t="s">
        <v>375</v>
      </c>
    </row>
    <row r="17" spans="1:11" ht="44.25" customHeight="1" thickBot="1">
      <c r="A17" s="448"/>
      <c r="B17" s="468" t="s">
        <v>392</v>
      </c>
      <c r="C17" s="450" t="s">
        <v>393</v>
      </c>
      <c r="D17" s="451">
        <v>900371</v>
      </c>
      <c r="E17" s="469">
        <f>세입!AB25</f>
        <v>900371</v>
      </c>
      <c r="F17" s="453">
        <f t="shared" si="0"/>
        <v>0</v>
      </c>
      <c r="G17" s="320"/>
      <c r="H17" s="320"/>
      <c r="I17" s="320"/>
      <c r="J17" s="320"/>
      <c r="K17" s="484" t="s">
        <v>375</v>
      </c>
    </row>
    <row r="18" spans="1:11" ht="46.5" customHeight="1" thickBot="1">
      <c r="A18" s="416" t="s">
        <v>394</v>
      </c>
      <c r="B18" s="417" t="s">
        <v>394</v>
      </c>
      <c r="C18" s="418" t="s">
        <v>394</v>
      </c>
      <c r="D18" s="419">
        <v>20000</v>
      </c>
      <c r="E18" s="420">
        <f>세입!AB27</f>
        <v>501570</v>
      </c>
      <c r="F18" s="421">
        <f t="shared" si="0"/>
        <v>481570</v>
      </c>
      <c r="G18" s="422">
        <v>250000</v>
      </c>
      <c r="H18" s="423">
        <v>25</v>
      </c>
      <c r="I18" s="424">
        <v>12</v>
      </c>
      <c r="J18" s="425">
        <f>G18*H18*I18</f>
        <v>75000000</v>
      </c>
      <c r="K18" s="495" t="s">
        <v>469</v>
      </c>
    </row>
    <row r="19" spans="1:11" ht="46.5" customHeight="1">
      <c r="D19" s="470"/>
      <c r="E19" s="470"/>
    </row>
    <row r="20" spans="1:11" ht="46.5" customHeight="1"/>
    <row r="21" spans="1:11" ht="46.5" customHeight="1"/>
    <row r="22" spans="1:11" ht="46.5" customHeight="1"/>
    <row r="23" spans="1:11" ht="46.5" customHeight="1"/>
    <row r="24" spans="1:11" ht="46.5" customHeight="1"/>
    <row r="25" spans="1:11" ht="46.5" customHeight="1"/>
    <row r="26" spans="1:11" ht="46.5" customHeight="1"/>
    <row r="27" spans="1:11" ht="46.5" customHeight="1"/>
    <row r="28" spans="1:11" ht="24.95" customHeight="1"/>
    <row r="29" spans="1:11" ht="24.9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1"/>
  <sheetViews>
    <sheetView tabSelected="1" topLeftCell="B1" workbookViewId="0">
      <selection activeCell="E6" sqref="E5:F6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600" t="s">
        <v>444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</row>
    <row r="2" spans="1:14" ht="46.5" customHeight="1">
      <c r="A2" s="601" t="s">
        <v>362</v>
      </c>
      <c r="B2" s="602"/>
      <c r="C2" s="603"/>
      <c r="D2" s="604" t="s">
        <v>363</v>
      </c>
      <c r="E2" s="603"/>
      <c r="F2" s="605" t="s">
        <v>364</v>
      </c>
      <c r="G2" s="607" t="s">
        <v>365</v>
      </c>
      <c r="H2" s="608"/>
      <c r="I2" s="608"/>
      <c r="J2" s="608"/>
      <c r="K2" s="611" t="s">
        <v>366</v>
      </c>
      <c r="L2" s="406"/>
      <c r="M2" s="406"/>
      <c r="N2" s="406"/>
    </row>
    <row r="3" spans="1:14" ht="46.5" customHeight="1" thickBot="1">
      <c r="A3" s="407" t="s">
        <v>367</v>
      </c>
      <c r="B3" s="408" t="s">
        <v>368</v>
      </c>
      <c r="C3" s="409" t="s">
        <v>369</v>
      </c>
      <c r="D3" s="410" t="s">
        <v>322</v>
      </c>
      <c r="E3" s="410" t="s">
        <v>442</v>
      </c>
      <c r="F3" s="606"/>
      <c r="G3" s="609"/>
      <c r="H3" s="610"/>
      <c r="I3" s="610"/>
      <c r="J3" s="610"/>
      <c r="K3" s="612"/>
      <c r="L3" s="406"/>
      <c r="M3" s="406"/>
      <c r="N3" s="406"/>
    </row>
    <row r="4" spans="1:14" ht="46.5" customHeight="1" thickBot="1">
      <c r="A4" s="597" t="s">
        <v>370</v>
      </c>
      <c r="B4" s="598"/>
      <c r="C4" s="599"/>
      <c r="D4" s="411">
        <f>SUM(D5:D29)</f>
        <v>67450096</v>
      </c>
      <c r="E4" s="411">
        <f>SUM(E5:E29)</f>
        <v>66582596</v>
      </c>
      <c r="F4" s="413">
        <f t="shared" ref="F4:F29" si="0">E4-D4</f>
        <v>-867500</v>
      </c>
      <c r="G4" s="414"/>
      <c r="H4" s="414"/>
      <c r="I4" s="414"/>
      <c r="J4" s="414"/>
      <c r="K4" s="415"/>
      <c r="L4" s="406"/>
      <c r="M4" s="406"/>
      <c r="N4" s="406"/>
    </row>
    <row r="5" spans="1:14" ht="50.1" customHeight="1">
      <c r="A5" s="471" t="s">
        <v>395</v>
      </c>
      <c r="B5" s="472" t="s">
        <v>396</v>
      </c>
      <c r="C5" s="473" t="s">
        <v>397</v>
      </c>
      <c r="D5" s="443">
        <v>23411000</v>
      </c>
      <c r="E5" s="474">
        <f>세출!AC7</f>
        <v>23246400</v>
      </c>
      <c r="F5" s="445">
        <f t="shared" si="0"/>
        <v>-164600</v>
      </c>
      <c r="G5" s="475"/>
      <c r="H5" s="475"/>
      <c r="I5" s="475"/>
      <c r="J5" s="475"/>
      <c r="K5" s="447" t="s">
        <v>430</v>
      </c>
    </row>
    <row r="6" spans="1:14" ht="50.1" customHeight="1">
      <c r="A6" s="427"/>
      <c r="B6" s="460"/>
      <c r="C6" s="476" t="s">
        <v>398</v>
      </c>
      <c r="D6" s="462">
        <v>0</v>
      </c>
      <c r="E6" s="463">
        <v>0</v>
      </c>
      <c r="F6" s="432">
        <v>0</v>
      </c>
      <c r="G6" s="319"/>
      <c r="H6" s="319"/>
      <c r="I6" s="319"/>
      <c r="J6" s="319"/>
      <c r="K6" s="438" t="s">
        <v>399</v>
      </c>
    </row>
    <row r="7" spans="1:14" ht="50.1" customHeight="1">
      <c r="A7" s="434"/>
      <c r="B7" s="460"/>
      <c r="C7" s="429" t="s">
        <v>400</v>
      </c>
      <c r="D7" s="430">
        <v>7741250</v>
      </c>
      <c r="E7" s="431">
        <f>세출!AC11</f>
        <v>7590600</v>
      </c>
      <c r="F7" s="432">
        <f t="shared" si="0"/>
        <v>-150650</v>
      </c>
      <c r="G7" s="319"/>
      <c r="H7" s="319"/>
      <c r="I7" s="319"/>
      <c r="J7" s="319"/>
      <c r="K7" s="433" t="s">
        <v>430</v>
      </c>
    </row>
    <row r="8" spans="1:14" ht="50.1" customHeight="1">
      <c r="A8" s="434"/>
      <c r="B8" s="465"/>
      <c r="C8" s="436" t="s">
        <v>401</v>
      </c>
      <c r="D8" s="430">
        <v>2596020</v>
      </c>
      <c r="E8" s="431">
        <f>세출!AC29</f>
        <v>2258960</v>
      </c>
      <c r="F8" s="432">
        <f t="shared" si="0"/>
        <v>-337060</v>
      </c>
      <c r="G8" s="319"/>
      <c r="H8" s="319"/>
      <c r="I8" s="319"/>
      <c r="J8" s="319"/>
      <c r="K8" s="433" t="s">
        <v>430</v>
      </c>
    </row>
    <row r="9" spans="1:14" ht="50.1" customHeight="1">
      <c r="A9" s="434"/>
      <c r="B9" s="465"/>
      <c r="C9" s="436" t="s">
        <v>402</v>
      </c>
      <c r="D9" s="430">
        <v>2932540</v>
      </c>
      <c r="E9" s="431">
        <f>세출!AC33</f>
        <v>2758750</v>
      </c>
      <c r="F9" s="432">
        <f t="shared" si="0"/>
        <v>-173790</v>
      </c>
      <c r="G9" s="319"/>
      <c r="H9" s="319"/>
      <c r="I9" s="319"/>
      <c r="J9" s="319"/>
      <c r="K9" s="433" t="s">
        <v>430</v>
      </c>
    </row>
    <row r="10" spans="1:14" ht="46.5" customHeight="1">
      <c r="A10" s="434"/>
      <c r="B10" s="439"/>
      <c r="C10" s="436" t="s">
        <v>403</v>
      </c>
      <c r="D10" s="430">
        <v>200000</v>
      </c>
      <c r="E10" s="431">
        <f>세출!AC58</f>
        <v>200000</v>
      </c>
      <c r="F10" s="432">
        <f t="shared" si="0"/>
        <v>0</v>
      </c>
      <c r="G10" s="319"/>
      <c r="H10" s="319"/>
      <c r="I10" s="319"/>
      <c r="J10" s="319"/>
      <c r="K10" s="433" t="s">
        <v>375</v>
      </c>
    </row>
    <row r="11" spans="1:14" ht="50.1" customHeight="1">
      <c r="A11" s="434"/>
      <c r="B11" s="477" t="s">
        <v>404</v>
      </c>
      <c r="C11" s="436" t="s">
        <v>405</v>
      </c>
      <c r="D11" s="430">
        <v>50000</v>
      </c>
      <c r="E11" s="431">
        <f>세출!AC62</f>
        <v>0</v>
      </c>
      <c r="F11" s="432">
        <f t="shared" si="0"/>
        <v>-50000</v>
      </c>
      <c r="G11" s="319"/>
      <c r="H11" s="319"/>
      <c r="I11" s="319"/>
      <c r="J11" s="319"/>
      <c r="K11" s="433" t="s">
        <v>456</v>
      </c>
    </row>
    <row r="12" spans="1:14" ht="50.1" customHeight="1">
      <c r="A12" s="434"/>
      <c r="B12" s="478"/>
      <c r="C12" s="479" t="s">
        <v>406</v>
      </c>
      <c r="D12" s="480">
        <v>50000</v>
      </c>
      <c r="E12" s="481">
        <f>세출!AC67</f>
        <v>50000</v>
      </c>
      <c r="F12" s="482">
        <f t="shared" si="0"/>
        <v>0</v>
      </c>
      <c r="G12" s="319"/>
      <c r="H12" s="319"/>
      <c r="I12" s="319"/>
      <c r="J12" s="319"/>
      <c r="K12" s="483" t="s">
        <v>375</v>
      </c>
    </row>
    <row r="13" spans="1:14" ht="50.1" customHeight="1">
      <c r="A13" s="434"/>
      <c r="B13" s="477" t="s">
        <v>407</v>
      </c>
      <c r="C13" s="479" t="s">
        <v>408</v>
      </c>
      <c r="D13" s="480">
        <v>60000</v>
      </c>
      <c r="E13" s="481">
        <f>세출!AC73</f>
        <v>30000</v>
      </c>
      <c r="F13" s="482">
        <f t="shared" si="0"/>
        <v>-30000</v>
      </c>
      <c r="G13" s="319"/>
      <c r="H13" s="319"/>
      <c r="I13" s="319"/>
      <c r="J13" s="319"/>
      <c r="K13" s="483" t="s">
        <v>457</v>
      </c>
    </row>
    <row r="14" spans="1:14" ht="50.1" customHeight="1">
      <c r="A14" s="434"/>
      <c r="B14" s="439"/>
      <c r="C14" s="479" t="s">
        <v>409</v>
      </c>
      <c r="D14" s="480">
        <v>2000000</v>
      </c>
      <c r="E14" s="481">
        <f>세출!AC75</f>
        <v>2242815</v>
      </c>
      <c r="F14" s="482">
        <f t="shared" si="0"/>
        <v>242815</v>
      </c>
      <c r="G14" s="319"/>
      <c r="H14" s="319"/>
      <c r="I14" s="319"/>
      <c r="J14" s="319"/>
      <c r="K14" s="483" t="s">
        <v>410</v>
      </c>
    </row>
    <row r="15" spans="1:14" ht="50.1" customHeight="1">
      <c r="A15" s="434"/>
      <c r="B15" s="439"/>
      <c r="C15" s="479" t="s">
        <v>411</v>
      </c>
      <c r="D15" s="480">
        <v>3680000</v>
      </c>
      <c r="E15" s="481">
        <f>세출!AC80</f>
        <v>3320940</v>
      </c>
      <c r="F15" s="482">
        <f t="shared" si="0"/>
        <v>-359060</v>
      </c>
      <c r="G15" s="319"/>
      <c r="H15" s="319"/>
      <c r="I15" s="319"/>
      <c r="J15" s="319"/>
      <c r="K15" s="483" t="s">
        <v>458</v>
      </c>
    </row>
    <row r="16" spans="1:14" ht="50.1" customHeight="1">
      <c r="A16" s="434"/>
      <c r="B16" s="439"/>
      <c r="C16" s="479" t="s">
        <v>412</v>
      </c>
      <c r="D16" s="480">
        <v>592960</v>
      </c>
      <c r="E16" s="481">
        <f>세출!AC87</f>
        <v>320630</v>
      </c>
      <c r="F16" s="482">
        <f t="shared" si="0"/>
        <v>-272330</v>
      </c>
      <c r="G16" s="319"/>
      <c r="H16" s="319"/>
      <c r="I16" s="319"/>
      <c r="J16" s="319"/>
      <c r="K16" s="483" t="s">
        <v>459</v>
      </c>
    </row>
    <row r="17" spans="1:11" ht="50.1" customHeight="1">
      <c r="A17" s="434"/>
      <c r="B17" s="439"/>
      <c r="C17" s="479" t="s">
        <v>413</v>
      </c>
      <c r="D17" s="480">
        <v>320000</v>
      </c>
      <c r="E17" s="481">
        <f>세출!AC97</f>
        <v>0</v>
      </c>
      <c r="F17" s="482">
        <f t="shared" si="0"/>
        <v>-320000</v>
      </c>
      <c r="G17" s="319"/>
      <c r="H17" s="319"/>
      <c r="I17" s="319"/>
      <c r="J17" s="319"/>
      <c r="K17" s="483" t="s">
        <v>460</v>
      </c>
    </row>
    <row r="18" spans="1:11" ht="50.1" customHeight="1" thickBot="1">
      <c r="A18" s="448"/>
      <c r="B18" s="320"/>
      <c r="C18" s="450" t="s">
        <v>414</v>
      </c>
      <c r="D18" s="451">
        <v>150000</v>
      </c>
      <c r="E18" s="469">
        <f>세출!AC100</f>
        <v>50000</v>
      </c>
      <c r="F18" s="453">
        <f t="shared" si="0"/>
        <v>-100000</v>
      </c>
      <c r="G18" s="320"/>
      <c r="H18" s="320"/>
      <c r="I18" s="320"/>
      <c r="J18" s="320"/>
      <c r="K18" s="484" t="s">
        <v>461</v>
      </c>
    </row>
    <row r="19" spans="1:11" ht="48.75" customHeight="1">
      <c r="A19" s="471" t="s">
        <v>415</v>
      </c>
      <c r="B19" s="472" t="s">
        <v>416</v>
      </c>
      <c r="C19" s="442" t="s">
        <v>416</v>
      </c>
      <c r="D19" s="443">
        <v>0</v>
      </c>
      <c r="E19" s="444">
        <f>세출!AC105</f>
        <v>0</v>
      </c>
      <c r="F19" s="485">
        <f t="shared" si="0"/>
        <v>0</v>
      </c>
      <c r="G19" s="446"/>
      <c r="H19" s="446"/>
      <c r="I19" s="446"/>
      <c r="J19" s="446"/>
      <c r="K19" s="447" t="s">
        <v>431</v>
      </c>
    </row>
    <row r="20" spans="1:11" ht="48.75" customHeight="1">
      <c r="A20" s="486"/>
      <c r="B20" s="460"/>
      <c r="C20" s="436" t="s">
        <v>417</v>
      </c>
      <c r="D20" s="430">
        <v>4740000</v>
      </c>
      <c r="E20" s="487">
        <f>세출!AC109</f>
        <v>4500000</v>
      </c>
      <c r="F20" s="464">
        <f t="shared" si="0"/>
        <v>-240000</v>
      </c>
      <c r="G20" s="488"/>
      <c r="H20" s="488"/>
      <c r="I20" s="488"/>
      <c r="J20" s="488"/>
      <c r="K20" s="433" t="s">
        <v>463</v>
      </c>
    </row>
    <row r="21" spans="1:11" ht="48.75" customHeight="1" thickBot="1">
      <c r="A21" s="489"/>
      <c r="B21" s="490"/>
      <c r="C21" s="491" t="s">
        <v>418</v>
      </c>
      <c r="D21" s="492">
        <v>200000</v>
      </c>
      <c r="E21" s="493">
        <f>세출!AC114</f>
        <v>0</v>
      </c>
      <c r="F21" s="494">
        <f t="shared" si="0"/>
        <v>-200000</v>
      </c>
      <c r="G21" s="320"/>
      <c r="H21" s="320"/>
      <c r="I21" s="320"/>
      <c r="J21" s="320"/>
      <c r="K21" s="495" t="s">
        <v>462</v>
      </c>
    </row>
    <row r="22" spans="1:11" ht="46.5" customHeight="1">
      <c r="A22" s="440" t="s">
        <v>419</v>
      </c>
      <c r="B22" s="441" t="s">
        <v>407</v>
      </c>
      <c r="C22" s="442" t="s">
        <v>420</v>
      </c>
      <c r="D22" s="443">
        <v>11781195</v>
      </c>
      <c r="E22" s="474">
        <f>세출!AC119</f>
        <v>13041198</v>
      </c>
      <c r="F22" s="445">
        <f t="shared" si="0"/>
        <v>1260003</v>
      </c>
      <c r="G22" s="475"/>
      <c r="H22" s="475"/>
      <c r="I22" s="475"/>
      <c r="J22" s="475"/>
      <c r="K22" s="447" t="s">
        <v>421</v>
      </c>
    </row>
    <row r="23" spans="1:11" ht="46.5" customHeight="1">
      <c r="A23" s="434"/>
      <c r="B23" s="465"/>
      <c r="C23" s="436" t="s">
        <v>422</v>
      </c>
      <c r="D23" s="430">
        <v>950000</v>
      </c>
      <c r="E23" s="431">
        <f>세출!AC125</f>
        <v>928990</v>
      </c>
      <c r="F23" s="432">
        <f t="shared" si="0"/>
        <v>-21010</v>
      </c>
      <c r="G23" s="319"/>
      <c r="H23" s="319"/>
      <c r="I23" s="319"/>
      <c r="J23" s="319"/>
      <c r="K23" s="433" t="s">
        <v>464</v>
      </c>
    </row>
    <row r="24" spans="1:11" ht="46.5" customHeight="1">
      <c r="A24" s="434"/>
      <c r="B24" s="465"/>
      <c r="C24" s="436" t="s">
        <v>423</v>
      </c>
      <c r="D24" s="430">
        <v>720000</v>
      </c>
      <c r="E24" s="431">
        <f>세출!AC129</f>
        <v>720000</v>
      </c>
      <c r="F24" s="432">
        <f t="shared" si="0"/>
        <v>0</v>
      </c>
      <c r="G24" s="319"/>
      <c r="H24" s="319"/>
      <c r="I24" s="319"/>
      <c r="J24" s="319"/>
      <c r="K24" s="466" t="s">
        <v>375</v>
      </c>
    </row>
    <row r="25" spans="1:11" ht="62.25" customHeight="1">
      <c r="A25" s="434"/>
      <c r="B25" s="465"/>
      <c r="C25" s="436" t="s">
        <v>424</v>
      </c>
      <c r="D25" s="430">
        <v>310000</v>
      </c>
      <c r="E25" s="431">
        <f>세출!AC132</f>
        <v>410000</v>
      </c>
      <c r="F25" s="432">
        <f t="shared" si="0"/>
        <v>100000</v>
      </c>
      <c r="G25" s="319"/>
      <c r="H25" s="319"/>
      <c r="I25" s="319"/>
      <c r="J25" s="319"/>
      <c r="K25" s="433" t="s">
        <v>425</v>
      </c>
    </row>
    <row r="26" spans="1:11" ht="46.5" customHeight="1">
      <c r="A26" s="434"/>
      <c r="B26" s="465"/>
      <c r="C26" s="436" t="s">
        <v>426</v>
      </c>
      <c r="D26" s="430">
        <v>90000</v>
      </c>
      <c r="E26" s="431">
        <f>세출!AC136</f>
        <v>82122</v>
      </c>
      <c r="F26" s="432">
        <f t="shared" si="0"/>
        <v>-7878</v>
      </c>
      <c r="G26" s="319"/>
      <c r="H26" s="319"/>
      <c r="I26" s="319"/>
      <c r="J26" s="319"/>
      <c r="K26" s="466" t="s">
        <v>431</v>
      </c>
    </row>
    <row r="27" spans="1:11" ht="78.75" customHeight="1" thickBot="1">
      <c r="A27" s="448"/>
      <c r="B27" s="468" t="s">
        <v>427</v>
      </c>
      <c r="C27" s="496" t="s">
        <v>427</v>
      </c>
      <c r="D27" s="451">
        <v>4668000</v>
      </c>
      <c r="E27" s="469">
        <f>세출!AC140</f>
        <v>4278000</v>
      </c>
      <c r="F27" s="453">
        <f t="shared" si="0"/>
        <v>-390000</v>
      </c>
      <c r="G27" s="320"/>
      <c r="H27" s="320"/>
      <c r="I27" s="320"/>
      <c r="J27" s="320"/>
      <c r="K27" s="484" t="s">
        <v>466</v>
      </c>
    </row>
    <row r="28" spans="1:11" ht="46.5" customHeight="1" thickBot="1">
      <c r="A28" s="416" t="s">
        <v>428</v>
      </c>
      <c r="B28" s="417" t="s">
        <v>428</v>
      </c>
      <c r="C28" s="418" t="s">
        <v>428</v>
      </c>
      <c r="D28" s="419">
        <v>207131</v>
      </c>
      <c r="E28" s="420">
        <f>세출!AC176</f>
        <v>207131</v>
      </c>
      <c r="F28" s="421">
        <f t="shared" si="0"/>
        <v>0</v>
      </c>
      <c r="G28" s="458"/>
      <c r="H28" s="458"/>
      <c r="I28" s="458"/>
      <c r="J28" s="458"/>
      <c r="K28" s="497" t="s">
        <v>452</v>
      </c>
    </row>
    <row r="29" spans="1:11" ht="46.5" customHeight="1" thickBot="1">
      <c r="A29" s="416" t="s">
        <v>429</v>
      </c>
      <c r="B29" s="417" t="s">
        <v>429</v>
      </c>
      <c r="C29" s="418" t="s">
        <v>429</v>
      </c>
      <c r="D29" s="419">
        <v>0</v>
      </c>
      <c r="E29" s="420">
        <f>세출!AC184</f>
        <v>346060</v>
      </c>
      <c r="F29" s="421">
        <f t="shared" si="0"/>
        <v>346060</v>
      </c>
      <c r="G29" s="458"/>
      <c r="H29" s="458"/>
      <c r="I29" s="458"/>
      <c r="J29" s="458"/>
      <c r="K29" s="497" t="s">
        <v>465</v>
      </c>
    </row>
    <row r="30" spans="1:11" ht="46.5" customHeight="1">
      <c r="D30" s="470"/>
      <c r="E30" s="470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8</vt:i4>
      </vt:variant>
    </vt:vector>
  </HeadingPairs>
  <TitlesOfParts>
    <vt:vector size="13" baseType="lpstr">
      <vt:lpstr>세입세출총괄표1</vt:lpstr>
      <vt:lpstr>세입</vt:lpstr>
      <vt:lpstr>세출</vt:lpstr>
      <vt:lpstr>추경세입명세서</vt:lpstr>
      <vt:lpstr>추경세출명세서</vt:lpstr>
      <vt:lpstr>세입!Print_Area</vt:lpstr>
      <vt:lpstr>세출!Print_Area</vt:lpstr>
      <vt:lpstr>세입!Print_Titles</vt:lpstr>
      <vt:lpstr>세출!Print_Titles</vt:lpstr>
      <vt:lpstr>추경세입명세서!Print_Titles</vt:lpstr>
      <vt:lpstr>추경세출명세서!Print_Titles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Registered User</cp:lastModifiedBy>
  <cp:revision>65</cp:revision>
  <cp:lastPrinted>2015-11-27T10:30:23Z</cp:lastPrinted>
  <dcterms:created xsi:type="dcterms:W3CDTF">2003-12-18T04:11:57Z</dcterms:created>
  <dcterms:modified xsi:type="dcterms:W3CDTF">2015-12-01T13:58:46Z</dcterms:modified>
</cp:coreProperties>
</file>