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135" yWindow="0" windowWidth="9795" windowHeight="8085" tabRatio="487" activeTab="2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세입!$A$1:$AC$38</definedName>
    <definedName name="_xlnm.Print_Area" localSheetId="2">세출!$A$1:$AD$177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AF14" i="5"/>
  <c r="I70"/>
  <c r="H70"/>
  <c r="AC70"/>
  <c r="AC76"/>
  <c r="E6" i="21"/>
  <c r="E11" i="20"/>
  <c r="AC147" i="5"/>
  <c r="AC127"/>
  <c r="AC123"/>
  <c r="AC77"/>
  <c r="AE12" i="4"/>
  <c r="H131" i="5"/>
  <c r="H6"/>
  <c r="I109"/>
  <c r="H109"/>
  <c r="H108" s="1"/>
  <c r="F65"/>
  <c r="H65"/>
  <c r="H60" s="1"/>
  <c r="H5" s="1"/>
  <c r="I65"/>
  <c r="AC65"/>
  <c r="AE14" i="4"/>
  <c r="J7"/>
  <c r="I7"/>
  <c r="H7"/>
  <c r="J8"/>
  <c r="I8"/>
  <c r="H8"/>
  <c r="AC72" i="5"/>
  <c r="F109"/>
  <c r="AC150"/>
  <c r="I131" s="1"/>
  <c r="AC86"/>
  <c r="E10" i="20" l="1"/>
  <c r="E15" i="19"/>
  <c r="I18" i="4"/>
  <c r="AB18"/>
  <c r="AC29" i="5" l="1"/>
  <c r="AC46"/>
  <c r="AC45"/>
  <c r="AC43"/>
  <c r="AC42"/>
  <c r="AC40"/>
  <c r="AC39"/>
  <c r="AC37"/>
  <c r="AC36"/>
  <c r="AC35" s="1"/>
  <c r="AC175"/>
  <c r="E29" i="21" s="1"/>
  <c r="L175" i="5"/>
  <c r="E175"/>
  <c r="K175" s="1"/>
  <c r="AC174"/>
  <c r="F175" s="1"/>
  <c r="F174" s="1"/>
  <c r="L174"/>
  <c r="J174"/>
  <c r="H174"/>
  <c r="G174"/>
  <c r="E174"/>
  <c r="K174" s="1"/>
  <c r="AC171"/>
  <c r="J26" i="19" s="1"/>
  <c r="L171" i="5"/>
  <c r="G171"/>
  <c r="G170" s="1"/>
  <c r="F171"/>
  <c r="E171"/>
  <c r="K171" s="1"/>
  <c r="AC170"/>
  <c r="L170"/>
  <c r="J170"/>
  <c r="H170"/>
  <c r="F170"/>
  <c r="E170" l="1"/>
  <c r="K170" s="1"/>
  <c r="J28" i="19"/>
  <c r="AC27" i="5"/>
  <c r="AE16" i="4"/>
  <c r="AF13" i="5"/>
  <c r="AF10"/>
  <c r="AF7"/>
  <c r="AE10" i="4"/>
  <c r="I31"/>
  <c r="H31"/>
  <c r="E19" i="21"/>
  <c r="E17" i="20"/>
  <c r="F17" s="1"/>
  <c r="E15"/>
  <c r="E16"/>
  <c r="F16" s="1"/>
  <c r="F15"/>
  <c r="E14"/>
  <c r="F14" s="1"/>
  <c r="E13"/>
  <c r="F13" s="1"/>
  <c r="E9"/>
  <c r="E8"/>
  <c r="E7"/>
  <c r="E6"/>
  <c r="F6" s="1"/>
  <c r="F29" i="21"/>
  <c r="F19"/>
  <c r="D4"/>
  <c r="J18" i="20"/>
  <c r="F12"/>
  <c r="F10"/>
  <c r="F9"/>
  <c r="F7"/>
  <c r="J5"/>
  <c r="F5"/>
  <c r="D4"/>
  <c r="H27" i="5" l="1"/>
  <c r="F8" i="20"/>
  <c r="E27" i="5" l="1"/>
  <c r="K27" s="1"/>
  <c r="L27" s="1"/>
  <c r="E20" i="19"/>
  <c r="E16"/>
  <c r="E9"/>
  <c r="I5" l="1"/>
  <c r="J5"/>
  <c r="D8"/>
  <c r="E8"/>
  <c r="I8"/>
  <c r="F9"/>
  <c r="F8" s="1"/>
  <c r="D10"/>
  <c r="F11"/>
  <c r="I12"/>
  <c r="F13"/>
  <c r="K13"/>
  <c r="D14"/>
  <c r="E14"/>
  <c r="F15"/>
  <c r="F16"/>
  <c r="I16"/>
  <c r="D17"/>
  <c r="E17"/>
  <c r="F18"/>
  <c r="F17" s="1"/>
  <c r="D19"/>
  <c r="E19"/>
  <c r="F20"/>
  <c r="F19" s="1"/>
  <c r="D21"/>
  <c r="I23"/>
  <c r="I25"/>
  <c r="J25"/>
  <c r="K26"/>
  <c r="K25" s="1"/>
  <c r="I27"/>
  <c r="J27"/>
  <c r="K28"/>
  <c r="K27" s="1"/>
  <c r="I7" l="1"/>
  <c r="F14"/>
  <c r="D7"/>
  <c r="AC136" i="5" l="1"/>
  <c r="AC135"/>
  <c r="AC134"/>
  <c r="AC133" l="1"/>
  <c r="AC164"/>
  <c r="AC163"/>
  <c r="AC153"/>
  <c r="AC129"/>
  <c r="H127" s="1"/>
  <c r="H90"/>
  <c r="AC90"/>
  <c r="E18" i="21" s="1"/>
  <c r="F18" s="1"/>
  <c r="AC162" i="5" l="1"/>
  <c r="I61"/>
  <c r="I60" s="1"/>
  <c r="H21" i="4"/>
  <c r="I21"/>
  <c r="N14" i="5" l="1"/>
  <c r="AC142" l="1"/>
  <c r="AC58"/>
  <c r="H57" s="1"/>
  <c r="E57" s="1"/>
  <c r="H99" l="1"/>
  <c r="E99" s="1"/>
  <c r="G104"/>
  <c r="E104" s="1"/>
  <c r="AG14"/>
  <c r="Q14" l="1"/>
  <c r="AC156" l="1"/>
  <c r="AC145" l="1"/>
  <c r="AC84" l="1"/>
  <c r="F90" l="1"/>
  <c r="E90" s="1"/>
  <c r="J109"/>
  <c r="AC109"/>
  <c r="E22" i="21" s="1"/>
  <c r="F22" s="1"/>
  <c r="I116" i="5"/>
  <c r="AC116"/>
  <c r="I120"/>
  <c r="F9" i="4"/>
  <c r="AC99" i="5"/>
  <c r="AC88"/>
  <c r="AC52"/>
  <c r="E11" i="21" s="1"/>
  <c r="F11" s="1"/>
  <c r="E23" l="1"/>
  <c r="F23" s="1"/>
  <c r="J18" i="19"/>
  <c r="K18" s="1"/>
  <c r="E20" i="21"/>
  <c r="F20" s="1"/>
  <c r="J14" i="19"/>
  <c r="K14" s="1"/>
  <c r="H87" i="5"/>
  <c r="E87" s="1"/>
  <c r="E17" i="21"/>
  <c r="F17" s="1"/>
  <c r="H52" i="5"/>
  <c r="E52" s="1"/>
  <c r="J17" i="19"/>
  <c r="H51" i="5"/>
  <c r="V21"/>
  <c r="V20"/>
  <c r="Q21"/>
  <c r="AC21" s="1"/>
  <c r="AC9"/>
  <c r="K17" i="19" l="1"/>
  <c r="F167" i="5"/>
  <c r="F166" s="1"/>
  <c r="G167"/>
  <c r="L29" i="4"/>
  <c r="J21"/>
  <c r="F21"/>
  <c r="G21"/>
  <c r="AB21"/>
  <c r="AB31"/>
  <c r="AB28" s="1"/>
  <c r="F31"/>
  <c r="L14"/>
  <c r="L16"/>
  <c r="I35"/>
  <c r="H35"/>
  <c r="F35"/>
  <c r="I28"/>
  <c r="AB35"/>
  <c r="J28"/>
  <c r="G28"/>
  <c r="E18" i="20" l="1"/>
  <c r="F18" s="1"/>
  <c r="E22" i="19"/>
  <c r="H28" i="4"/>
  <c r="E167" i="5"/>
  <c r="E166" s="1"/>
  <c r="E31" i="4"/>
  <c r="K31" s="1"/>
  <c r="L31" s="1"/>
  <c r="AB12"/>
  <c r="G9" s="1"/>
  <c r="G8" s="1"/>
  <c r="G7" s="1"/>
  <c r="E21" i="19" l="1"/>
  <c r="F22"/>
  <c r="F21" s="1"/>
  <c r="AB9" i="4"/>
  <c r="E12" i="19" s="1"/>
  <c r="E10" l="1"/>
  <c r="E7" s="1"/>
  <c r="F12"/>
  <c r="F10" s="1"/>
  <c r="F7" s="1"/>
  <c r="E9" i="4"/>
  <c r="E8" s="1"/>
  <c r="E14" i="21" l="1"/>
  <c r="F14" s="1"/>
  <c r="E65" i="5" l="1"/>
  <c r="E109"/>
  <c r="F116"/>
  <c r="G48"/>
  <c r="AC167"/>
  <c r="J24" i="19" s="1"/>
  <c r="K24" l="1"/>
  <c r="K23" s="1"/>
  <c r="J23"/>
  <c r="E116" i="5"/>
  <c r="H94"/>
  <c r="H93" s="1"/>
  <c r="E35" i="4"/>
  <c r="F28"/>
  <c r="J11" i="5"/>
  <c r="F8" i="4"/>
  <c r="F7" s="1"/>
  <c r="F4" s="1"/>
  <c r="E9" i="21"/>
  <c r="AC166" i="5"/>
  <c r="E28" i="21" s="1"/>
  <c r="F28" s="1"/>
  <c r="AC61" i="5"/>
  <c r="AC31"/>
  <c r="E8" i="21" s="1"/>
  <c r="F8" s="1"/>
  <c r="AC157" i="5"/>
  <c r="AC160"/>
  <c r="AC151"/>
  <c r="AC144"/>
  <c r="AB14" i="4"/>
  <c r="E61" i="5" l="1"/>
  <c r="E13" i="21"/>
  <c r="F13" s="1"/>
  <c r="F9"/>
  <c r="AC159" i="5"/>
  <c r="AC141"/>
  <c r="AC155"/>
  <c r="G14" i="4"/>
  <c r="G4" s="1"/>
  <c r="AB8"/>
  <c r="AB7" s="1"/>
  <c r="AC24" i="5"/>
  <c r="AC23" s="1"/>
  <c r="Q13" l="1"/>
  <c r="AC128"/>
  <c r="J48"/>
  <c r="I48"/>
  <c r="H48"/>
  <c r="F48"/>
  <c r="E48" l="1"/>
  <c r="E14" i="4"/>
  <c r="E26" i="21" l="1"/>
  <c r="F26" s="1"/>
  <c r="J21" i="19"/>
  <c r="K21" s="1"/>
  <c r="K14" i="4"/>
  <c r="E7"/>
  <c r="AC75" i="5"/>
  <c r="AC74"/>
  <c r="G94" l="1"/>
  <c r="AC83"/>
  <c r="AC17"/>
  <c r="I4" i="4"/>
  <c r="AB6"/>
  <c r="I5" i="5"/>
  <c r="F95"/>
  <c r="E29" i="4"/>
  <c r="E28" s="1"/>
  <c r="F11" i="20" l="1"/>
  <c r="E4"/>
  <c r="F4" s="1"/>
  <c r="F94" i="5"/>
  <c r="F93" s="1"/>
  <c r="E95"/>
  <c r="G93"/>
  <c r="I108"/>
  <c r="E18" i="4"/>
  <c r="K18" s="1"/>
  <c r="L18" s="1"/>
  <c r="E94" i="5"/>
  <c r="E93" s="1"/>
  <c r="K28" i="4"/>
  <c r="Q20" i="5" l="1"/>
  <c r="AC20" s="1"/>
  <c r="AC19" s="1"/>
  <c r="H123"/>
  <c r="AC73"/>
  <c r="K116"/>
  <c r="AC152"/>
  <c r="I130" s="1"/>
  <c r="I107" s="1"/>
  <c r="I4" s="1"/>
  <c r="AC57"/>
  <c r="E12" i="21" s="1"/>
  <c r="F12" s="1"/>
  <c r="N20" i="5"/>
  <c r="N13"/>
  <c r="AC14"/>
  <c r="AC48"/>
  <c r="E10" i="21" s="1"/>
  <c r="F10" s="1"/>
  <c r="K57" i="5" l="1"/>
  <c r="AC16"/>
  <c r="K48"/>
  <c r="L48" s="1"/>
  <c r="F127"/>
  <c r="E127" s="1"/>
  <c r="AC71"/>
  <c r="G108"/>
  <c r="J108"/>
  <c r="J94"/>
  <c r="J93" s="1"/>
  <c r="G60"/>
  <c r="J60"/>
  <c r="G51"/>
  <c r="AC149"/>
  <c r="AC148"/>
  <c r="AC80"/>
  <c r="AC81"/>
  <c r="AC82"/>
  <c r="H77" s="1"/>
  <c r="AC79"/>
  <c r="AC78"/>
  <c r="F70" l="1"/>
  <c r="AF8"/>
  <c r="AF11"/>
  <c r="AG11" s="1"/>
  <c r="F77"/>
  <c r="E77" s="1"/>
  <c r="E16" i="21"/>
  <c r="F16" s="1"/>
  <c r="E15"/>
  <c r="F15" s="1"/>
  <c r="H120" i="5"/>
  <c r="E120" s="1"/>
  <c r="AC120"/>
  <c r="AC138"/>
  <c r="AC131" s="1"/>
  <c r="E27" i="21" s="1"/>
  <c r="F27" s="1"/>
  <c r="F51" i="5"/>
  <c r="G11"/>
  <c r="G6" s="1"/>
  <c r="AC13"/>
  <c r="AC8"/>
  <c r="E24" i="21" l="1"/>
  <c r="F24" s="1"/>
  <c r="J19" i="19"/>
  <c r="K19" s="1"/>
  <c r="E70" i="5"/>
  <c r="F60"/>
  <c r="H130"/>
  <c r="H107" s="1"/>
  <c r="H4" s="1"/>
  <c r="E131"/>
  <c r="E130" s="1"/>
  <c r="AC130"/>
  <c r="J22" i="19" s="1"/>
  <c r="J31" i="5"/>
  <c r="AC7"/>
  <c r="E5" i="21" s="1"/>
  <c r="F5" s="1"/>
  <c r="G5" i="5"/>
  <c r="AC12"/>
  <c r="F11" s="1"/>
  <c r="E11" s="1"/>
  <c r="K22" i="19" l="1"/>
  <c r="F7" i="5"/>
  <c r="E7" s="1"/>
  <c r="Q32"/>
  <c r="AC11"/>
  <c r="AC6" s="1"/>
  <c r="K131"/>
  <c r="L131" s="1"/>
  <c r="F31"/>
  <c r="E31" s="1"/>
  <c r="AB16" i="4"/>
  <c r="J9" i="19" l="1"/>
  <c r="E7" i="21"/>
  <c r="E21" i="4"/>
  <c r="K21" s="1"/>
  <c r="L21" s="1"/>
  <c r="J16"/>
  <c r="H166" i="5"/>
  <c r="J166"/>
  <c r="G166"/>
  <c r="G130"/>
  <c r="G107" s="1"/>
  <c r="J130"/>
  <c r="J107" s="1"/>
  <c r="L95"/>
  <c r="AC95"/>
  <c r="K95" s="1"/>
  <c r="AC87"/>
  <c r="AC60" s="1"/>
  <c r="J11" i="19" s="1"/>
  <c r="K11" s="1"/>
  <c r="J51" i="5"/>
  <c r="E51" s="1"/>
  <c r="F7" i="21" l="1"/>
  <c r="K9" i="19"/>
  <c r="J4" i="5"/>
  <c r="G4"/>
  <c r="AC104"/>
  <c r="E21" i="21" l="1"/>
  <c r="J15" i="19"/>
  <c r="AC94" i="5"/>
  <c r="F130"/>
  <c r="F21" i="21" l="1"/>
  <c r="J12" i="19"/>
  <c r="K15"/>
  <c r="K12" s="1"/>
  <c r="K35" i="4"/>
  <c r="L35" s="1"/>
  <c r="K29"/>
  <c r="AB5"/>
  <c r="H5" l="1"/>
  <c r="H4" s="1"/>
  <c r="K7" i="5"/>
  <c r="E5" i="4" l="1"/>
  <c r="K5" s="1"/>
  <c r="L5" s="1"/>
  <c r="J6" i="5" l="1"/>
  <c r="AC124" l="1"/>
  <c r="AG8" l="1"/>
  <c r="F123"/>
  <c r="F108" s="1"/>
  <c r="K77"/>
  <c r="L77" s="1"/>
  <c r="AC51"/>
  <c r="J10" i="19" s="1"/>
  <c r="AB4" i="4"/>
  <c r="L7" i="5"/>
  <c r="L116"/>
  <c r="L57"/>
  <c r="E25" i="21" l="1"/>
  <c r="J20" i="19"/>
  <c r="K10"/>
  <c r="K8" s="1"/>
  <c r="J8"/>
  <c r="E123" i="5"/>
  <c r="K123" s="1"/>
  <c r="L123" s="1"/>
  <c r="AC108"/>
  <c r="AC107" s="1"/>
  <c r="AC5"/>
  <c r="K31"/>
  <c r="L31" s="1"/>
  <c r="K61"/>
  <c r="L61" s="1"/>
  <c r="K120"/>
  <c r="L120" s="1"/>
  <c r="K104"/>
  <c r="L104" s="1"/>
  <c r="AC93"/>
  <c r="K90"/>
  <c r="L90" s="1"/>
  <c r="K87"/>
  <c r="L87" s="1"/>
  <c r="K52"/>
  <c r="L52" s="1"/>
  <c r="K127"/>
  <c r="L127" s="1"/>
  <c r="K167"/>
  <c r="L167" s="1"/>
  <c r="K166"/>
  <c r="L166" s="1"/>
  <c r="K130"/>
  <c r="L130" s="1"/>
  <c r="E55"/>
  <c r="K55" s="1"/>
  <c r="L55" s="1"/>
  <c r="AC4" l="1"/>
  <c r="F25" i="21"/>
  <c r="E4"/>
  <c r="F4" s="1"/>
  <c r="K20" i="19"/>
  <c r="K16" s="1"/>
  <c r="K7" s="1"/>
  <c r="J16"/>
  <c r="J7" s="1"/>
  <c r="K51" i="5"/>
  <c r="L51" s="1"/>
  <c r="K70"/>
  <c r="L70" s="1"/>
  <c r="E16" i="4"/>
  <c r="K16" s="1"/>
  <c r="K93" i="5"/>
  <c r="L93" s="1"/>
  <c r="K11"/>
  <c r="L11" s="1"/>
  <c r="E60"/>
  <c r="J4" i="4" l="1"/>
  <c r="E4" s="1"/>
  <c r="K65" i="5"/>
  <c r="L65" s="1"/>
  <c r="K60"/>
  <c r="L60" s="1"/>
  <c r="L28" i="4"/>
  <c r="K4" l="1"/>
  <c r="L4" s="1"/>
  <c r="K9"/>
  <c r="L9" s="1"/>
  <c r="K8"/>
  <c r="L8" s="1"/>
  <c r="K7" l="1"/>
  <c r="L7" s="1"/>
  <c r="K94" i="5"/>
  <c r="L94" s="1"/>
  <c r="K99"/>
  <c r="L99" s="1"/>
  <c r="K109" l="1"/>
  <c r="L109" s="1"/>
  <c r="E108"/>
  <c r="E107" s="1"/>
  <c r="F107"/>
  <c r="K108" l="1"/>
  <c r="L108" l="1"/>
  <c r="K107"/>
  <c r="L107" s="1"/>
  <c r="F35" l="1"/>
  <c r="E35" s="1"/>
  <c r="E6" s="1"/>
  <c r="F6" l="1"/>
  <c r="F5" s="1"/>
  <c r="F4" l="1"/>
  <c r="E4" s="1"/>
  <c r="K4" s="1"/>
  <c r="L4" s="1"/>
  <c r="K35"/>
  <c r="L35" s="1"/>
  <c r="E5"/>
  <c r="K5" s="1"/>
  <c r="L5" s="1"/>
  <c r="K6" l="1"/>
  <c r="L6" s="1"/>
</calcChain>
</file>

<file path=xl/sharedStrings.xml><?xml version="1.0" encoding="utf-8"?>
<sst xmlns="http://schemas.openxmlformats.org/spreadsheetml/2006/main" count="1054" uniqueCount="493">
  <si>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</si>
  <si>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</si>
  <si>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</si>
  <si>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</si>
  <si>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</si>
  <si>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</si>
  <si>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</si>
  <si>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</si>
  <si>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</si>
  <si>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</si>
  <si>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</si>
  <si>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</si>
  <si>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</si>
  <si>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</si>
  <si>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</si>
  <si>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</si>
  <si>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</si>
  <si>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</si>
  <si>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</si>
  <si>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</si>
  <si>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</si>
  <si>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</si>
  <si>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</si>
  <si>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</si>
  <si>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</si>
  <si>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</si>
  <si>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</si>
  <si>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</si>
  <si>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</si>
  <si>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</si>
  <si>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</si>
  <si>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</si>
  <si>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</si>
  <si>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</si>
  <si>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</si>
  <si>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</si>
  <si>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</si>
  <si>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</si>
  <si>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</si>
  <si>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</si>
  <si>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</si>
  <si>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</si>
  <si>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</si>
  <si>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</si>
  <si>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</si>
  <si>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</si>
  <si>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</si>
  <si>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</si>
  <si>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</si>
  <si>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</si>
  <si>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</si>
  <si>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</si>
  <si>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</si>
  <si>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</si>
  <si>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</si>
  <si>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</si>
  <si>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</si>
  <si>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</si>
  <si>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</si>
  <si>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</si>
  <si>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</si>
  <si>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</si>
  <si>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</si>
  <si>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</si>
  <si>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</si>
  <si>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</si>
  <si>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</si>
  <si>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</si>
  <si>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</si>
  <si>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</si>
  <si>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</si>
  <si>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</si>
  <si>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</si>
  <si>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</si>
  <si>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</si>
  <si>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</si>
  <si>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</si>
  <si>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</si>
  <si>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</si>
  <si>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</si>
  <si>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</si>
  <si>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</si>
  <si>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</si>
  <si>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</si>
  <si>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</si>
  <si>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</si>
  <si>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</si>
  <si>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</si>
  <si>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</si>
  <si>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</si>
  <si>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</si>
  <si>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</si>
  <si>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</si>
  <si>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</si>
  <si>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</si>
  <si>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</si>
  <si>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</si>
  <si>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</si>
  <si>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</si>
  <si>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</si>
  <si>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</si>
  <si>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</si>
  <si>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</si>
  <si>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</si>
  <si>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</si>
  <si>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</si>
  <si>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</si>
  <si>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</si>
  <si>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</si>
  <si>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</si>
  <si>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</si>
  <si>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</si>
  <si>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</si>
  <si>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</si>
  <si>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</si>
  <si>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</si>
  <si>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</si>
  <si>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</si>
  <si>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</si>
  <si>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</si>
  <si>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</si>
  <si>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</si>
  <si>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</si>
  <si>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</si>
  <si>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</si>
  <si>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</si>
  <si>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</si>
  <si>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</si>
  <si>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</si>
  <si>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</si>
  <si>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</si>
  <si>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</si>
  <si>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</si>
  <si>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</si>
  <si>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</si>
  <si>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</si>
  <si>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</si>
  <si>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</si>
  <si>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</si>
  <si>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</si>
  <si>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</si>
  <si>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</si>
  <si>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</si>
  <si>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</si>
  <si>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</si>
  <si>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</si>
  <si>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</si>
  <si>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</si>
  <si>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</si>
  <si>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</si>
  <si>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</si>
  <si>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</si>
  <si>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</si>
  <si>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</si>
  <si>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</si>
  <si>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</si>
  <si>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</si>
  <si>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</si>
  <si>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</si>
  <si>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</si>
  <si>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</si>
  <si>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</si>
  <si>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</si>
  <si>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</si>
  <si>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</si>
  <si>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</si>
  <si>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</si>
  <si>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고용보험부담금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</si>
  <si>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</si>
  <si>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</si>
  <si>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</si>
  <si>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</si>
  <si>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</si>
  <si>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</si>
  <si>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</si>
  <si>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</si>
  <si>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</si>
  <si>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</si>
  <si>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</si>
  <si>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</si>
  <si>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</si>
  <si>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</si>
  <si>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</si>
  <si>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</si>
  <si>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</si>
  <si>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</si>
  <si>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</si>
  <si>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</si>
  <si>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</si>
  <si>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</si>
  <si>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1.보조금 예금이자 이월금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</si>
  <si>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</si>
  <si>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</si>
  <si>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</si>
  <si>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</si>
  <si>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</si>
  <si>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</si>
  <si>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</si>
  <si>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</si>
  <si>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</si>
  <si>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</si>
  <si>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</si>
  <si>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</si>
  <si>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</si>
  <si>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</si>
  <si>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</si>
  <si>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</si>
  <si>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</si>
  <si>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</si>
  <si>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</si>
  <si>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</si>
  <si>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</si>
  <si>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</si>
  <si>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</si>
  <si>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</si>
  <si>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</si>
  <si>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</si>
  <si>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</si>
  <si>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</si>
  <si>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</si>
  <si>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</si>
  <si>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</si>
  <si>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</si>
  <si>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* 산재보험부담금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</si>
  <si>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</si>
  <si>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</si>
  <si>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</si>
  <si>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</si>
  <si>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</si>
  <si>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</si>
  <si>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</si>
  <si>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3.연장근로수당(보조금)</t>
    <phoneticPr fontId="6" type="noConversion"/>
  </si>
  <si>
    <t>A. 일상생활 지원 프로그램</t>
    <phoneticPr fontId="6" type="noConversion"/>
  </si>
  <si>
    <t>B.  직업활동 지원</t>
    <phoneticPr fontId="6" type="noConversion"/>
  </si>
  <si>
    <t>1.  작업활동 지원비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</si>
  <si>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</si>
  <si>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</si>
  <si>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</si>
  <si>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</si>
  <si>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</si>
  <si>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</si>
  <si>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</si>
  <si>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</si>
  <si>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</si>
  <si>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</si>
  <si>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</si>
  <si>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</si>
  <si>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</si>
  <si>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</si>
  <si>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</si>
  <si>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</si>
  <si>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원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</si>
  <si>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</si>
  <si>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</si>
  <si>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</si>
  <si>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&lt;2015년도 세입내역&gt;</t>
    <phoneticPr fontId="6" type="noConversion"/>
  </si>
  <si>
    <t>&lt;2015년도 세출내역&gt;</t>
    <phoneticPr fontId="6" type="noConversion"/>
  </si>
  <si>
    <t>※ 2015년 시도보조금</t>
    <phoneticPr fontId="6" type="noConversion"/>
  </si>
  <si>
    <t>* 2015년 시도보조금</t>
    <phoneticPr fontId="6" type="noConversion"/>
  </si>
  <si>
    <t>※ 체크카드환급</t>
    <phoneticPr fontId="6" type="noConversion"/>
  </si>
  <si>
    <t>이자</t>
    <phoneticPr fontId="6" type="noConversion"/>
  </si>
  <si>
    <t>1. 보조금 체크카드환급금</t>
    <phoneticPr fontId="6" type="noConversion"/>
  </si>
  <si>
    <t>2. 자부담 체크카드환급금</t>
    <phoneticPr fontId="6" type="noConversion"/>
  </si>
  <si>
    <t>3. 후원금 체크카드환급금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</si>
  <si>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</si>
  <si>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</si>
  <si>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</si>
  <si>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</si>
  <si>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</si>
  <si>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</si>
  <si>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</si>
  <si>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</si>
  <si>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</si>
  <si>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보조</t>
  </si>
  <si>
    <t>원</t>
    <phoneticPr fontId="6" type="noConversion"/>
  </si>
  <si>
    <t>입소</t>
  </si>
  <si>
    <t>입소</t>
    <phoneticPr fontId="6" type="noConversion"/>
  </si>
  <si>
    <t>* 실내사이클구입비용</t>
  </si>
  <si>
    <t>보조</t>
    <phoneticPr fontId="6" type="noConversion"/>
  </si>
  <si>
    <t>기타</t>
    <phoneticPr fontId="6" type="noConversion"/>
  </si>
  <si>
    <t>잡수입</t>
    <phoneticPr fontId="6" type="noConversion"/>
  </si>
  <si>
    <t>3호</t>
    <phoneticPr fontId="6" type="noConversion"/>
  </si>
  <si>
    <t>4호</t>
    <phoneticPr fontId="6" type="noConversion"/>
  </si>
  <si>
    <t>* 환경개선사업비 (가구구입비용)</t>
    <phoneticPr fontId="6" type="noConversion"/>
  </si>
  <si>
    <t>후원</t>
    <phoneticPr fontId="6" type="noConversion"/>
  </si>
  <si>
    <t>원</t>
    <phoneticPr fontId="6" type="noConversion"/>
  </si>
  <si>
    <t>4. 주부식비(보충액)</t>
    <phoneticPr fontId="6" type="noConversion"/>
  </si>
  <si>
    <t>입소</t>
    <phoneticPr fontId="6" type="noConversion"/>
  </si>
  <si>
    <t>7종</t>
    <phoneticPr fontId="6" type="noConversion"/>
  </si>
  <si>
    <t>법인</t>
    <phoneticPr fontId="6" type="noConversion"/>
  </si>
  <si>
    <t>2. 보조금 7종 반납 (종사자수당)</t>
    <phoneticPr fontId="6" type="noConversion"/>
  </si>
  <si>
    <t>3. 입소비용</t>
    <phoneticPr fontId="6" type="noConversion"/>
  </si>
  <si>
    <t>7. 차량보험료</t>
    <phoneticPr fontId="6" type="noConversion"/>
  </si>
  <si>
    <t>3. 가을</t>
    <phoneticPr fontId="6" type="noConversion"/>
  </si>
  <si>
    <t>4. 잡수입</t>
    <phoneticPr fontId="6" type="noConversion"/>
  </si>
  <si>
    <t>원</t>
    <phoneticPr fontId="6" type="noConversion"/>
  </si>
  <si>
    <t>5. 법인전입금</t>
    <phoneticPr fontId="6" type="noConversion"/>
  </si>
  <si>
    <t>6. 후원금</t>
    <phoneticPr fontId="6" type="noConversion"/>
  </si>
  <si>
    <t>5. 주부식비(보충액)</t>
    <phoneticPr fontId="6" type="noConversion"/>
  </si>
  <si>
    <t>6. 주부식비(보충액)</t>
    <phoneticPr fontId="6" type="noConversion"/>
  </si>
  <si>
    <t>잡수입</t>
    <phoneticPr fontId="6" type="noConversion"/>
  </si>
  <si>
    <t>원</t>
    <phoneticPr fontId="6" type="noConversion"/>
  </si>
  <si>
    <t>2. 보조금 이월금(이자)</t>
    <phoneticPr fontId="6" type="noConversion"/>
  </si>
  <si>
    <t>※ 2015년 시군구보조금</t>
    <phoneticPr fontId="6" type="noConversion"/>
  </si>
  <si>
    <t>* 업무추진비(이용인직장방문경비)</t>
    <phoneticPr fontId="6" type="noConversion"/>
  </si>
  <si>
    <t>입소</t>
    <phoneticPr fontId="6" type="noConversion"/>
  </si>
  <si>
    <t>입소</t>
    <phoneticPr fontId="6" type="noConversion"/>
  </si>
  <si>
    <t>원</t>
    <phoneticPr fontId="6" type="noConversion"/>
  </si>
  <si>
    <t>8. 상해보험갱신(종사자)</t>
    <phoneticPr fontId="6" type="noConversion"/>
  </si>
  <si>
    <t>회</t>
    <phoneticPr fontId="6" type="noConversion"/>
  </si>
  <si>
    <t>5. 해외문화탐방</t>
    <phoneticPr fontId="6" type="noConversion"/>
  </si>
  <si>
    <t>명</t>
    <phoneticPr fontId="6" type="noConversion"/>
  </si>
  <si>
    <t>입소</t>
    <phoneticPr fontId="6" type="noConversion"/>
  </si>
  <si>
    <t>후원</t>
    <phoneticPr fontId="6" type="noConversion"/>
  </si>
  <si>
    <t>H. 기타프로그램</t>
    <phoneticPr fontId="6" type="noConversion"/>
  </si>
  <si>
    <t>1. 송년회</t>
    <phoneticPr fontId="6" type="noConversion"/>
  </si>
  <si>
    <t>2. 개원기념식 행사</t>
    <phoneticPr fontId="6" type="noConversion"/>
  </si>
  <si>
    <t>회</t>
    <phoneticPr fontId="6" type="noConversion"/>
  </si>
  <si>
    <t>소  계 :</t>
  </si>
  <si>
    <t>1. 찜질방 이용</t>
    <phoneticPr fontId="6" type="noConversion"/>
  </si>
  <si>
    <t>2. 이용인생일</t>
    <phoneticPr fontId="6" type="noConversion"/>
  </si>
  <si>
    <t>3. 요리활동 및 외식</t>
    <phoneticPr fontId="6" type="noConversion"/>
  </si>
  <si>
    <t>온누리</t>
    <phoneticPr fontId="6" type="noConversion"/>
  </si>
  <si>
    <t>후원</t>
    <phoneticPr fontId="6" type="noConversion"/>
  </si>
  <si>
    <t>* 환견개선사업비(싱크대교체비용)</t>
    <phoneticPr fontId="6" type="noConversion"/>
  </si>
  <si>
    <t>예      비      비</t>
    <phoneticPr fontId="26" type="noConversion"/>
  </si>
  <si>
    <t>소계</t>
    <phoneticPr fontId="6" type="noConversion"/>
  </si>
  <si>
    <t>예   비   비</t>
    <phoneticPr fontId="26" type="noConversion"/>
  </si>
  <si>
    <t>잡      지      출</t>
    <phoneticPr fontId="26" type="noConversion"/>
  </si>
  <si>
    <t>잡   지   출</t>
    <phoneticPr fontId="26" type="noConversion"/>
  </si>
  <si>
    <t>보조금   반납금</t>
    <phoneticPr fontId="26" type="noConversion"/>
  </si>
  <si>
    <t>보조금반환</t>
    <phoneticPr fontId="26" type="noConversion"/>
  </si>
  <si>
    <t>프로그램사업비</t>
    <phoneticPr fontId="26" type="noConversion"/>
  </si>
  <si>
    <t>잡      수      입</t>
    <phoneticPr fontId="26" type="noConversion"/>
  </si>
  <si>
    <t>연      료      비</t>
    <phoneticPr fontId="26" type="noConversion"/>
  </si>
  <si>
    <t>잡    수    입</t>
    <phoneticPr fontId="26" type="noConversion"/>
  </si>
  <si>
    <t>의      료      비</t>
    <phoneticPr fontId="26" type="noConversion"/>
  </si>
  <si>
    <t>전년도   이월금</t>
    <phoneticPr fontId="26" type="noConversion"/>
  </si>
  <si>
    <t>피      복      비</t>
    <phoneticPr fontId="26" type="noConversion"/>
  </si>
  <si>
    <t>이    월    금</t>
    <phoneticPr fontId="26" type="noConversion"/>
  </si>
  <si>
    <t>수용기관   경비</t>
    <phoneticPr fontId="26" type="noConversion"/>
  </si>
  <si>
    <t>법인      전입금</t>
    <phoneticPr fontId="26" type="noConversion"/>
  </si>
  <si>
    <t>생      계      비</t>
    <phoneticPr fontId="26" type="noConversion"/>
  </si>
  <si>
    <t>전    입    금</t>
    <phoneticPr fontId="26" type="noConversion"/>
  </si>
  <si>
    <t>사   업   비</t>
    <phoneticPr fontId="26" type="noConversion"/>
  </si>
  <si>
    <t>비지정   후원금</t>
    <phoneticPr fontId="26" type="noConversion"/>
  </si>
  <si>
    <t>시설장비유지비</t>
    <phoneticPr fontId="26" type="noConversion"/>
  </si>
  <si>
    <t>지정      후원금</t>
    <phoneticPr fontId="26" type="noConversion"/>
  </si>
  <si>
    <t>자 산   취 득 비</t>
    <phoneticPr fontId="26" type="noConversion"/>
  </si>
  <si>
    <t>소계</t>
    <phoneticPr fontId="6" type="noConversion"/>
  </si>
  <si>
    <t>후원금  수입</t>
    <phoneticPr fontId="26" type="noConversion"/>
  </si>
  <si>
    <t>시      설      비</t>
    <phoneticPr fontId="26" type="noConversion"/>
  </si>
  <si>
    <t>시군구보조금</t>
    <phoneticPr fontId="26" type="noConversion"/>
  </si>
  <si>
    <t>재산조성비</t>
    <phoneticPr fontId="26" type="noConversion"/>
  </si>
  <si>
    <t>시도보조금</t>
    <phoneticPr fontId="26" type="noConversion"/>
  </si>
  <si>
    <t>운      영      비</t>
    <phoneticPr fontId="26" type="noConversion"/>
  </si>
  <si>
    <t>국고보조금</t>
    <phoneticPr fontId="26" type="noConversion"/>
  </si>
  <si>
    <t>업 무   추 진 비</t>
    <phoneticPr fontId="26" type="noConversion"/>
  </si>
  <si>
    <t>소계</t>
    <phoneticPr fontId="6" type="noConversion"/>
  </si>
  <si>
    <t>보조금  수입</t>
    <phoneticPr fontId="26" type="noConversion"/>
  </si>
  <si>
    <t>인      건      비</t>
    <phoneticPr fontId="26" type="noConversion"/>
  </si>
  <si>
    <t>입소비용   수입</t>
    <phoneticPr fontId="26" type="noConversion"/>
  </si>
  <si>
    <t>사   무   비</t>
    <phoneticPr fontId="26" type="noConversion"/>
  </si>
  <si>
    <t>입소비용수입</t>
    <phoneticPr fontId="26" type="noConversion"/>
  </si>
  <si>
    <t>합        계</t>
    <phoneticPr fontId="26" type="noConversion"/>
  </si>
  <si>
    <t>증감</t>
    <phoneticPr fontId="26" type="noConversion"/>
  </si>
  <si>
    <t>구        분</t>
    <phoneticPr fontId="26" type="noConversion"/>
  </si>
  <si>
    <t>세       출</t>
    <phoneticPr fontId="26" type="noConversion"/>
  </si>
  <si>
    <t>세       입</t>
    <phoneticPr fontId="26" type="noConversion"/>
  </si>
  <si>
    <t>(단위:원)</t>
    <phoneticPr fontId="26" type="noConversion"/>
  </si>
  <si>
    <t>2015년
1차 추경 예산</t>
    <phoneticPr fontId="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</si>
  <si>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</si>
  <si>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</si>
  <si>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</si>
  <si>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</si>
  <si>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</si>
  <si>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</si>
  <si>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</si>
  <si>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</si>
  <si>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</si>
  <si>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</si>
  <si>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</si>
  <si>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</si>
  <si>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</si>
  <si>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</si>
  <si>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</si>
  <si>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</si>
  <si>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</si>
  <si>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</si>
  <si>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</si>
  <si>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</si>
  <si>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</si>
  <si>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</si>
  <si>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</si>
  <si>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</si>
  <si>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</si>
  <si>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</si>
  <si>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</si>
  <si>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</si>
  <si>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</si>
  <si>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</si>
  <si>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</si>
  <si>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</si>
  <si>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</si>
  <si>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* 예금이자 및 체크카드 환급금 증가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</si>
  <si>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</si>
  <si>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</si>
  <si>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</si>
  <si>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</si>
  <si>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</si>
  <si>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</si>
  <si>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</si>
  <si>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</si>
  <si>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</si>
  <si>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</si>
  <si>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</si>
  <si>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회의비</t>
    <phoneticPr fontId="6" type="noConversion"/>
  </si>
  <si>
    <t>운영비</t>
    <phoneticPr fontId="6" type="noConversion"/>
  </si>
  <si>
    <t>여비</t>
    <phoneticPr fontId="6" type="noConversion"/>
  </si>
  <si>
    <t>수용비 및
수수료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</si>
  <si>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</si>
  <si>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</si>
  <si>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</si>
  <si>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</si>
  <si>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</si>
  <si>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</si>
  <si>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</si>
  <si>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</si>
  <si>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</si>
  <si>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</si>
  <si>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수용기관
경비</t>
    <phoneticPr fontId="6" type="noConversion"/>
  </si>
  <si>
    <t>* 생필품 구입비 증액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</si>
  <si>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</si>
  <si>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</si>
  <si>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</si>
  <si>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</si>
  <si>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</si>
  <si>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</si>
  <si>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변동없음</t>
    <phoneticPr fontId="6" type="noConversion"/>
  </si>
  <si>
    <t>후원</t>
    <phoneticPr fontId="6" type="noConversion"/>
  </si>
  <si>
    <t>2015년
2차 추경 예산</t>
    <phoneticPr fontId="6" type="noConversion"/>
  </si>
  <si>
    <t>2015년
1차추가경정
예산(A)
(단위:천원)</t>
    <phoneticPr fontId="6" type="noConversion"/>
  </si>
  <si>
    <t>2015년 2차 추가경정 예산액(단위:천원)</t>
    <phoneticPr fontId="6" type="noConversion"/>
  </si>
  <si>
    <t>예비비</t>
    <phoneticPr fontId="6" type="noConversion"/>
  </si>
  <si>
    <t>※ 예비비</t>
    <phoneticPr fontId="6" type="noConversion"/>
  </si>
  <si>
    <t>소계:</t>
    <phoneticPr fontId="6" type="noConversion"/>
  </si>
  <si>
    <t>1.보조금 예금이자</t>
    <phoneticPr fontId="6" type="noConversion"/>
  </si>
  <si>
    <t>원</t>
    <phoneticPr fontId="6" type="noConversion"/>
  </si>
  <si>
    <t>잡지출</t>
    <phoneticPr fontId="6" type="noConversion"/>
  </si>
  <si>
    <t>※ 잡지출</t>
    <phoneticPr fontId="6" type="noConversion"/>
  </si>
  <si>
    <t>회</t>
    <phoneticPr fontId="6" type="noConversion"/>
  </si>
  <si>
    <t>* 건강,장기요양보험부담금</t>
    <phoneticPr fontId="6" type="noConversion"/>
  </si>
  <si>
    <t>일용잡급</t>
    <phoneticPr fontId="6" type="noConversion"/>
  </si>
  <si>
    <t>※ 일용잡급</t>
    <phoneticPr fontId="6" type="noConversion"/>
  </si>
  <si>
    <t>* 일용잡급(입소비용)</t>
    <phoneticPr fontId="6" type="noConversion"/>
  </si>
  <si>
    <t>2015년
1차추가경정
예산액(A)
(단위:천원)</t>
    <phoneticPr fontId="6" type="noConversion"/>
  </si>
  <si>
    <t>2015년  2차추가경정 예산액(단위:천원)</t>
    <phoneticPr fontId="6" type="noConversion"/>
  </si>
  <si>
    <t>2015년 2차 추경 세입명세서</t>
    <phoneticPr fontId="6" type="noConversion"/>
  </si>
  <si>
    <t>2015년 2차 추경 세출명세서</t>
    <phoneticPr fontId="6" type="noConversion"/>
  </si>
  <si>
    <t>* 지정 후원금</t>
    <phoneticPr fontId="6" type="noConversion"/>
  </si>
  <si>
    <t>원</t>
    <phoneticPr fontId="6" type="noConversion"/>
  </si>
  <si>
    <t xml:space="preserve">* </t>
    <phoneticPr fontId="6" type="noConversion"/>
  </si>
  <si>
    <t>8. 주민세</t>
    <phoneticPr fontId="6" type="noConversion"/>
  </si>
  <si>
    <t>회</t>
    <phoneticPr fontId="6" type="noConversion"/>
  </si>
  <si>
    <t>3. 아파트관리비(보조)</t>
    <phoneticPr fontId="6" type="noConversion"/>
  </si>
  <si>
    <t>4. 전화료 인터넷 요금(입소)</t>
    <phoneticPr fontId="6" type="noConversion"/>
  </si>
  <si>
    <t>5. 아파트관리비(입소)</t>
    <phoneticPr fontId="6" type="noConversion"/>
  </si>
  <si>
    <t>2. 전화료 인터넷 요금(보조)</t>
    <phoneticPr fontId="6" type="noConversion"/>
  </si>
  <si>
    <t>후원</t>
    <phoneticPr fontId="6" type="noConversion"/>
  </si>
  <si>
    <t>34기타 수용비 및 수수료</t>
    <phoneticPr fontId="6" type="noConversion"/>
  </si>
  <si>
    <t>원</t>
    <phoneticPr fontId="6" type="noConversion"/>
  </si>
  <si>
    <t>* 세입예산증가</t>
    <phoneticPr fontId="6" type="noConversion"/>
  </si>
  <si>
    <t>* 2015년 환경개선사업비 예산 감소</t>
    <phoneticPr fontId="6" type="noConversion"/>
  </si>
  <si>
    <t>* 여름캠프 지정후원금 증가</t>
    <phoneticPr fontId="6" type="noConversion"/>
  </si>
  <si>
    <t>* 정기후원자 감소</t>
    <phoneticPr fontId="6" type="noConversion"/>
  </si>
  <si>
    <t>* 변동없음</t>
  </si>
  <si>
    <t>* 보험료 조정으로 감소</t>
    <phoneticPr fontId="6" type="noConversion"/>
  </si>
  <si>
    <t>* 직장방문 경비 감액</t>
    <phoneticPr fontId="6" type="noConversion"/>
  </si>
  <si>
    <t>* 직원교육 및 출장여비 감액</t>
    <phoneticPr fontId="6" type="noConversion"/>
  </si>
  <si>
    <t>* 사무용품 구입비 및 소규모수선비 증액</t>
    <phoneticPr fontId="6" type="noConversion"/>
  </si>
  <si>
    <t>* 후원차량관련(모닝) 보험료 삭제</t>
    <phoneticPr fontId="6" type="noConversion"/>
  </si>
  <si>
    <t>* 후원차량관련(모닝) 유류비 삭제</t>
    <phoneticPr fontId="6" type="noConversion"/>
  </si>
  <si>
    <t>* 직원 외부교육 감액</t>
    <phoneticPr fontId="6" type="noConversion"/>
  </si>
  <si>
    <t>* 실내사이클 구입 640천원/청소기, 가구 구입 689천원</t>
    <phoneticPr fontId="6" type="noConversion"/>
  </si>
  <si>
    <t>* 주방 싱크대 교체비용 감소</t>
    <phoneticPr fontId="6" type="noConversion"/>
  </si>
  <si>
    <t>* 생계비 감액</t>
    <phoneticPr fontId="6" type="noConversion"/>
  </si>
  <si>
    <t>* 반환예정금</t>
    <phoneticPr fontId="6" type="noConversion"/>
  </si>
  <si>
    <t>□ 2015년도 2차 추경 세 입 · 세 출 총  괄  표</t>
    <phoneticPr fontId="26" type="noConversion"/>
  </si>
  <si>
    <t>* 일상생활지원프로그램 250천원/자치회의 80천원/여가활동2,560/문화생활이용 40천원/등산활동80천원/기타60천원</t>
    <phoneticPr fontId="6" type="noConversion"/>
  </si>
  <si>
    <t>* 공공요금 증액</t>
    <phoneticPr fontId="6" type="noConversion"/>
  </si>
  <si>
    <t>6. 아파트관리비(후원)</t>
    <phoneticPr fontId="6" type="noConversion"/>
  </si>
  <si>
    <t>후원</t>
    <phoneticPr fontId="6" type="noConversion"/>
  </si>
  <si>
    <t>* 파견근로자 급여 편성 증가</t>
    <phoneticPr fontId="6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</si>
</sst>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);\(#,##0\)"/>
  </numFmts>
  <fonts count="4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0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5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176" fontId="12" fillId="0" borderId="31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9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2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2" fillId="0" borderId="3" xfId="11" applyBorder="1" applyAlignment="1">
      <alignment horizontal="center" vertical="center"/>
    </xf>
    <xf numFmtId="181" fontId="33" fillId="0" borderId="17" xfId="12" applyNumberFormat="1" applyFont="1" applyBorder="1">
      <alignment vertical="center"/>
    </xf>
    <xf numFmtId="41" fontId="33" fillId="0" borderId="19" xfId="12" applyFont="1" applyBorder="1">
      <alignment vertical="center"/>
    </xf>
    <xf numFmtId="0" fontId="34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2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3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3" fillId="0" borderId="11" xfId="12" applyNumberFormat="1" applyFont="1" applyBorder="1" applyAlignment="1">
      <alignment vertical="center"/>
    </xf>
    <xf numFmtId="41" fontId="33" fillId="0" borderId="10" xfId="12" applyFont="1" applyBorder="1" applyAlignment="1">
      <alignment vertical="center"/>
    </xf>
    <xf numFmtId="0" fontId="34" fillId="0" borderId="10" xfId="11" applyFont="1" applyBorder="1" applyAlignment="1">
      <alignment horizontal="center" vertical="center"/>
    </xf>
    <xf numFmtId="181" fontId="33" fillId="0" borderId="36" xfId="12" applyNumberFormat="1" applyFont="1" applyBorder="1" applyAlignment="1">
      <alignment vertical="center"/>
    </xf>
    <xf numFmtId="181" fontId="35" fillId="0" borderId="11" xfId="12" applyNumberFormat="1" applyFont="1" applyBorder="1" applyAlignment="1">
      <alignment vertical="center"/>
    </xf>
    <xf numFmtId="41" fontId="35" fillId="0" borderId="10" xfId="12" applyFont="1" applyBorder="1" applyAlignment="1">
      <alignment vertical="center"/>
    </xf>
    <xf numFmtId="181" fontId="35" fillId="0" borderId="36" xfId="12" applyNumberFormat="1" applyFont="1" applyBorder="1" applyAlignment="1">
      <alignment vertical="center"/>
    </xf>
    <xf numFmtId="0" fontId="27" fillId="0" borderId="0" xfId="11" applyFont="1" applyAlignment="1">
      <alignment horizontal="right"/>
    </xf>
    <xf numFmtId="0" fontId="25" fillId="0" borderId="0" xfId="11" applyFo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7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41" fontId="0" fillId="0" borderId="63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188" fontId="0" fillId="0" borderId="66" xfId="0" applyNumberFormat="1" applyFill="1" applyBorder="1" applyAlignment="1">
      <alignment vertical="center"/>
    </xf>
    <xf numFmtId="189" fontId="0" fillId="0" borderId="67" xfId="0" applyNumberFormat="1" applyFill="1" applyBorder="1" applyAlignment="1">
      <alignment vertical="center"/>
    </xf>
    <xf numFmtId="190" fontId="0" fillId="0" borderId="68" xfId="0" applyNumberFormat="1" applyFill="1" applyBorder="1" applyAlignment="1">
      <alignment vertical="center"/>
    </xf>
    <xf numFmtId="191" fontId="0" fillId="0" borderId="68" xfId="0" applyNumberFormat="1" applyFill="1" applyBorder="1" applyAlignment="1">
      <alignment vertical="center"/>
    </xf>
    <xf numFmtId="188" fontId="0" fillId="0" borderId="6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1" xfId="0" applyFont="1" applyFill="1" applyBorder="1" applyAlignment="1">
      <alignment vertical="center" wrapText="1"/>
    </xf>
    <xf numFmtId="0" fontId="0" fillId="0" borderId="7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4" xfId="0" applyFill="1" applyBorder="1" applyAlignment="1">
      <alignment vertical="center" wrapText="1"/>
    </xf>
    <xf numFmtId="0" fontId="0" fillId="0" borderId="5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5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3" xfId="0" applyFill="1" applyBorder="1" applyAlignment="1">
      <alignment horizontal="center" vertical="center"/>
    </xf>
    <xf numFmtId="41" fontId="0" fillId="0" borderId="76" xfId="2" applyFont="1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8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9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41" fontId="0" fillId="0" borderId="59" xfId="2" applyFont="1" applyFill="1" applyBorder="1" applyAlignment="1">
      <alignment vertical="center"/>
    </xf>
    <xf numFmtId="41" fontId="0" fillId="0" borderId="79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1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9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92" fontId="7" fillId="0" borderId="0" xfId="0" applyNumberFormat="1" applyFont="1" applyFill="1" applyAlignment="1">
      <alignment vertical="center"/>
    </xf>
    <xf numFmtId="192" fontId="39" fillId="0" borderId="0" xfId="3" applyNumberFormat="1" applyFont="1" applyFill="1" applyAlignment="1">
      <alignment vertical="center"/>
    </xf>
    <xf numFmtId="0" fontId="31" fillId="0" borderId="36" xfId="3" applyFont="1" applyFill="1" applyBorder="1" applyAlignment="1">
      <alignment vertical="center"/>
    </xf>
    <xf numFmtId="0" fontId="31" fillId="0" borderId="13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vertical="center"/>
    </xf>
    <xf numFmtId="0" fontId="7" fillId="0" borderId="59" xfId="3" applyFont="1" applyFill="1" applyBorder="1" applyAlignment="1">
      <alignment horizontal="center" vertical="center" wrapText="1"/>
    </xf>
    <xf numFmtId="176" fontId="30" fillId="0" borderId="13" xfId="3" applyNumberFormat="1" applyFont="1" applyFill="1" applyBorder="1" applyAlignment="1">
      <alignment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8" fontId="7" fillId="0" borderId="10" xfId="3" applyNumberFormat="1" applyFont="1" applyFill="1" applyBorder="1" applyAlignment="1">
      <alignment vertical="center"/>
    </xf>
    <xf numFmtId="9" fontId="7" fillId="0" borderId="10" xfId="1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37" xfId="3" applyNumberFormat="1" applyFont="1" applyFill="1" applyBorder="1" applyAlignment="1">
      <alignment vertical="center"/>
    </xf>
    <xf numFmtId="0" fontId="7" fillId="0" borderId="42" xfId="3" applyFont="1" applyFill="1" applyBorder="1" applyAlignment="1">
      <alignment horizontal="center" vertical="center" wrapText="1"/>
    </xf>
    <xf numFmtId="176" fontId="30" fillId="0" borderId="5" xfId="3" applyNumberFormat="1" applyFont="1" applyFill="1" applyBorder="1" applyAlignment="1">
      <alignment vertical="center"/>
    </xf>
    <xf numFmtId="178" fontId="12" fillId="0" borderId="0" xfId="1" applyNumberFormat="1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9" xfId="11" applyBorder="1" applyAlignment="1">
      <alignment horizontal="center" vertical="center"/>
    </xf>
    <xf numFmtId="0" fontId="36" fillId="0" borderId="16" xfId="11" applyFont="1" applyBorder="1" applyAlignment="1">
      <alignment horizontal="center" vertical="center"/>
    </xf>
    <xf numFmtId="0" fontId="36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" xfId="11" applyFont="1" applyBorder="1" applyAlignment="1">
      <alignment horizontal="center" vertical="center" wrapText="1"/>
    </xf>
    <xf numFmtId="0" fontId="28" fillId="0" borderId="56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3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4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topLeftCell="B7" zoomScale="85" zoomScaleNormal="85" workbookViewId="0">
      <selection activeCell="J19" sqref="J19"/>
    </sheetView>
  </sheetViews>
  <sheetFormatPr defaultRowHeight="16.5"/>
  <cols>
    <col min="1" max="1" width="1.44140625" style="384" customWidth="1"/>
    <col min="2" max="2" width="11.5546875" style="384" bestFit="1" customWidth="1"/>
    <col min="3" max="3" width="13.33203125" style="384" bestFit="1" customWidth="1"/>
    <col min="4" max="5" width="18" style="384" bestFit="1" customWidth="1"/>
    <col min="6" max="6" width="16" style="384" bestFit="1" customWidth="1"/>
    <col min="7" max="7" width="9.6640625" style="384" bestFit="1" customWidth="1"/>
    <col min="8" max="8" width="13.33203125" style="384" bestFit="1" customWidth="1"/>
    <col min="9" max="10" width="18" style="384" bestFit="1" customWidth="1"/>
    <col min="11" max="11" width="16" style="384" bestFit="1" customWidth="1"/>
    <col min="12" max="16384" width="8.88671875" style="384"/>
  </cols>
  <sheetData>
    <row r="1" spans="2:11" ht="9.9499999999999993" customHeight="1"/>
    <row r="2" spans="2:11" ht="26.25">
      <c r="B2" s="405" t="s">
        <v>487</v>
      </c>
      <c r="K2" s="404" t="s">
        <v>369</v>
      </c>
    </row>
    <row r="3" spans="2:11" ht="9.9499999999999993" customHeight="1" thickBot="1"/>
    <row r="4" spans="2:11" ht="30" customHeight="1">
      <c r="B4" s="543" t="s">
        <v>368</v>
      </c>
      <c r="C4" s="544"/>
      <c r="D4" s="544"/>
      <c r="E4" s="544"/>
      <c r="F4" s="545"/>
      <c r="G4" s="543" t="s">
        <v>367</v>
      </c>
      <c r="H4" s="544"/>
      <c r="I4" s="544"/>
      <c r="J4" s="544"/>
      <c r="K4" s="546"/>
    </row>
    <row r="5" spans="2:11" ht="16.5" customHeight="1">
      <c r="B5" s="547" t="s">
        <v>366</v>
      </c>
      <c r="C5" s="548"/>
      <c r="D5" s="551" t="s">
        <v>370</v>
      </c>
      <c r="E5" s="551" t="s">
        <v>440</v>
      </c>
      <c r="F5" s="553" t="s">
        <v>365</v>
      </c>
      <c r="G5" s="547" t="s">
        <v>366</v>
      </c>
      <c r="H5" s="548"/>
      <c r="I5" s="555" t="str">
        <f>D5</f>
        <v>2015년
1차 추경 예산</v>
      </c>
      <c r="J5" s="555" t="str">
        <f>E5</f>
        <v>2015년
2차 추경 예산</v>
      </c>
      <c r="K5" s="557" t="s">
        <v>365</v>
      </c>
    </row>
    <row r="6" spans="2:11" ht="22.5" customHeight="1" thickBot="1">
      <c r="B6" s="549"/>
      <c r="C6" s="550"/>
      <c r="D6" s="552"/>
      <c r="E6" s="552"/>
      <c r="F6" s="554"/>
      <c r="G6" s="549"/>
      <c r="H6" s="550"/>
      <c r="I6" s="556"/>
      <c r="J6" s="556"/>
      <c r="K6" s="558"/>
    </row>
    <row r="7" spans="2:11" ht="24.95" customHeight="1" thickTop="1">
      <c r="B7" s="540" t="s">
        <v>364</v>
      </c>
      <c r="C7" s="541"/>
      <c r="D7" s="402">
        <f>SUM(D8:D22)/2</f>
        <v>62379476</v>
      </c>
      <c r="E7" s="402">
        <f>SUM(E8:E22)/2</f>
        <v>61249476</v>
      </c>
      <c r="F7" s="403">
        <f>SUM(F8:F22)/2</f>
        <v>-1130000</v>
      </c>
      <c r="G7" s="540" t="s">
        <v>364</v>
      </c>
      <c r="H7" s="541"/>
      <c r="I7" s="402">
        <f>SUM(I8:I28)/2</f>
        <v>62379476</v>
      </c>
      <c r="J7" s="402">
        <f>SUM(J8:J28)/2</f>
        <v>61249476</v>
      </c>
      <c r="K7" s="401">
        <f>SUM(K8:K28)/2</f>
        <v>-1130000</v>
      </c>
    </row>
    <row r="8" spans="2:11" ht="24.95" customHeight="1">
      <c r="B8" s="537" t="s">
        <v>363</v>
      </c>
      <c r="C8" s="399" t="s">
        <v>358</v>
      </c>
      <c r="D8" s="398">
        <f>D9</f>
        <v>7200000</v>
      </c>
      <c r="E8" s="398">
        <f>E9</f>
        <v>7200000</v>
      </c>
      <c r="F8" s="400">
        <f>F9</f>
        <v>0</v>
      </c>
      <c r="G8" s="535" t="s">
        <v>362</v>
      </c>
      <c r="H8" s="399" t="s">
        <v>358</v>
      </c>
      <c r="I8" s="398">
        <f>SUM(I9:I11)</f>
        <v>42894300</v>
      </c>
      <c r="J8" s="398">
        <f>SUM(J9:J11)</f>
        <v>43688300</v>
      </c>
      <c r="K8" s="397">
        <f>SUM(K9:K11)</f>
        <v>794000</v>
      </c>
    </row>
    <row r="9" spans="2:11" ht="24.95" customHeight="1">
      <c r="B9" s="538"/>
      <c r="C9" s="393" t="s">
        <v>361</v>
      </c>
      <c r="D9" s="392">
        <v>7200000</v>
      </c>
      <c r="E9" s="392">
        <f>세입!AB5</f>
        <v>7200000</v>
      </c>
      <c r="F9" s="394">
        <f>E9-D9</f>
        <v>0</v>
      </c>
      <c r="G9" s="542"/>
      <c r="H9" s="393" t="s">
        <v>360</v>
      </c>
      <c r="I9" s="392">
        <v>35985100</v>
      </c>
      <c r="J9" s="392">
        <f>세출!AC6</f>
        <v>36370460</v>
      </c>
      <c r="K9" s="391">
        <f>J9-I9</f>
        <v>385360</v>
      </c>
    </row>
    <row r="10" spans="2:11" ht="24.95" customHeight="1">
      <c r="B10" s="537" t="s">
        <v>359</v>
      </c>
      <c r="C10" s="390" t="s">
        <v>358</v>
      </c>
      <c r="D10" s="389">
        <f>SUM(D11:D13)</f>
        <v>51325000</v>
      </c>
      <c r="E10" s="389">
        <f>SUM(E11:E13)</f>
        <v>50320000</v>
      </c>
      <c r="F10" s="395">
        <f>SUM(F11:F13)</f>
        <v>-1005000</v>
      </c>
      <c r="G10" s="542"/>
      <c r="H10" s="393" t="s">
        <v>357</v>
      </c>
      <c r="I10" s="392">
        <v>90000</v>
      </c>
      <c r="J10" s="392">
        <f>세출!AC51</f>
        <v>40000</v>
      </c>
      <c r="K10" s="391">
        <f>J10-I10</f>
        <v>-50000</v>
      </c>
    </row>
    <row r="11" spans="2:11" ht="24.95" customHeight="1">
      <c r="B11" s="542"/>
      <c r="C11" s="396" t="s">
        <v>356</v>
      </c>
      <c r="D11" s="392">
        <v>0</v>
      </c>
      <c r="E11" s="392">
        <v>0</v>
      </c>
      <c r="F11" s="394">
        <f>E11-D11</f>
        <v>0</v>
      </c>
      <c r="G11" s="538"/>
      <c r="H11" s="393" t="s">
        <v>355</v>
      </c>
      <c r="I11" s="392">
        <v>6819200</v>
      </c>
      <c r="J11" s="392">
        <f>세출!AC60</f>
        <v>7277840</v>
      </c>
      <c r="K11" s="391">
        <f>J11-I11</f>
        <v>458640</v>
      </c>
    </row>
    <row r="12" spans="2:11" ht="24.95" customHeight="1">
      <c r="B12" s="542"/>
      <c r="C12" s="396" t="s">
        <v>354</v>
      </c>
      <c r="D12" s="392">
        <v>51325000</v>
      </c>
      <c r="E12" s="392">
        <f>세입!AB9</f>
        <v>50320000</v>
      </c>
      <c r="F12" s="394">
        <f>E12-D12</f>
        <v>-1005000</v>
      </c>
      <c r="G12" s="537" t="s">
        <v>353</v>
      </c>
      <c r="H12" s="390" t="s">
        <v>349</v>
      </c>
      <c r="I12" s="389">
        <f>SUM(I13:I15)</f>
        <v>2870000</v>
      </c>
      <c r="J12" s="389">
        <f>SUM(J13:J15)</f>
        <v>2318980</v>
      </c>
      <c r="K12" s="388">
        <f>SUM(K13:K15)</f>
        <v>-551020</v>
      </c>
    </row>
    <row r="13" spans="2:11" ht="24.95" customHeight="1">
      <c r="B13" s="538"/>
      <c r="C13" s="396" t="s">
        <v>352</v>
      </c>
      <c r="D13" s="392">
        <v>0</v>
      </c>
      <c r="E13" s="392">
        <v>0</v>
      </c>
      <c r="F13" s="394">
        <f>E13-D13</f>
        <v>0</v>
      </c>
      <c r="G13" s="542"/>
      <c r="H13" s="393" t="s">
        <v>351</v>
      </c>
      <c r="I13" s="392">
        <v>0</v>
      </c>
      <c r="J13" s="392">
        <v>0</v>
      </c>
      <c r="K13" s="391">
        <f>J13-I13</f>
        <v>0</v>
      </c>
    </row>
    <row r="14" spans="2:11" ht="24.95" customHeight="1">
      <c r="B14" s="537" t="s">
        <v>350</v>
      </c>
      <c r="C14" s="390" t="s">
        <v>349</v>
      </c>
      <c r="D14" s="389">
        <f>SUM(D15:D16)</f>
        <v>1960000</v>
      </c>
      <c r="E14" s="389">
        <f>SUM(E15:E16)</f>
        <v>1820000</v>
      </c>
      <c r="F14" s="395">
        <f>SUM(F15:F16)</f>
        <v>-140000</v>
      </c>
      <c r="G14" s="542"/>
      <c r="H14" s="393" t="s">
        <v>348</v>
      </c>
      <c r="I14" s="392">
        <v>870000</v>
      </c>
      <c r="J14" s="392">
        <f>세출!AC99</f>
        <v>1328980</v>
      </c>
      <c r="K14" s="391">
        <f>J14-I14</f>
        <v>458980</v>
      </c>
    </row>
    <row r="15" spans="2:11" ht="24.95" customHeight="1">
      <c r="B15" s="542"/>
      <c r="C15" s="393" t="s">
        <v>347</v>
      </c>
      <c r="D15" s="392">
        <v>0</v>
      </c>
      <c r="E15" s="392">
        <f>세입!AB20</f>
        <v>200000</v>
      </c>
      <c r="F15" s="394">
        <f>E15-D15</f>
        <v>200000</v>
      </c>
      <c r="G15" s="538"/>
      <c r="H15" s="393" t="s">
        <v>346</v>
      </c>
      <c r="I15" s="392">
        <v>2000000</v>
      </c>
      <c r="J15" s="392">
        <f>세출!AC104</f>
        <v>990000</v>
      </c>
      <c r="K15" s="391">
        <f>J15-I15</f>
        <v>-1010000</v>
      </c>
    </row>
    <row r="16" spans="2:11" ht="24.95" customHeight="1">
      <c r="B16" s="538"/>
      <c r="C16" s="393" t="s">
        <v>345</v>
      </c>
      <c r="D16" s="392">
        <v>1960000</v>
      </c>
      <c r="E16" s="392">
        <f>세입!AB19</f>
        <v>1620000</v>
      </c>
      <c r="F16" s="394">
        <f>E16-D16</f>
        <v>-340000</v>
      </c>
      <c r="G16" s="537" t="s">
        <v>344</v>
      </c>
      <c r="H16" s="390" t="s">
        <v>326</v>
      </c>
      <c r="I16" s="389">
        <f>SUM(I17:I22)</f>
        <v>16478579</v>
      </c>
      <c r="J16" s="389">
        <f>SUM(J17:J22)</f>
        <v>15097599</v>
      </c>
      <c r="K16" s="388">
        <f>SUM(K17:K22)</f>
        <v>-1380980</v>
      </c>
    </row>
    <row r="17" spans="2:11" ht="24.95" customHeight="1">
      <c r="B17" s="537" t="s">
        <v>343</v>
      </c>
      <c r="C17" s="390" t="s">
        <v>326</v>
      </c>
      <c r="D17" s="389">
        <f>D18</f>
        <v>0</v>
      </c>
      <c r="E17" s="389">
        <f>E18</f>
        <v>0</v>
      </c>
      <c r="F17" s="395">
        <f>F18</f>
        <v>0</v>
      </c>
      <c r="G17" s="542"/>
      <c r="H17" s="393" t="s">
        <v>342</v>
      </c>
      <c r="I17" s="392">
        <v>11139609</v>
      </c>
      <c r="J17" s="392">
        <f>세출!AC109</f>
        <v>9836629</v>
      </c>
      <c r="K17" s="391">
        <f t="shared" ref="K17:K22" si="0">J17-I17</f>
        <v>-1302980</v>
      </c>
    </row>
    <row r="18" spans="2:11" ht="24.95" customHeight="1">
      <c r="B18" s="538"/>
      <c r="C18" s="393" t="s">
        <v>341</v>
      </c>
      <c r="D18" s="392">
        <v>0</v>
      </c>
      <c r="E18" s="392">
        <v>0</v>
      </c>
      <c r="F18" s="394">
        <f>E18-D18</f>
        <v>0</v>
      </c>
      <c r="G18" s="542"/>
      <c r="H18" s="393" t="s">
        <v>340</v>
      </c>
      <c r="I18" s="392">
        <v>1000000</v>
      </c>
      <c r="J18" s="392">
        <f>세출!AC116</f>
        <v>1200000</v>
      </c>
      <c r="K18" s="391">
        <f t="shared" si="0"/>
        <v>200000</v>
      </c>
    </row>
    <row r="19" spans="2:11" ht="24.95" customHeight="1">
      <c r="B19" s="537" t="s">
        <v>339</v>
      </c>
      <c r="C19" s="390" t="s">
        <v>326</v>
      </c>
      <c r="D19" s="389">
        <f>D20</f>
        <v>1874476</v>
      </c>
      <c r="E19" s="389">
        <f>E20</f>
        <v>1874476</v>
      </c>
      <c r="F19" s="395">
        <f>F20</f>
        <v>0</v>
      </c>
      <c r="G19" s="542"/>
      <c r="H19" s="393" t="s">
        <v>338</v>
      </c>
      <c r="I19" s="392">
        <v>600000</v>
      </c>
      <c r="J19" s="392">
        <f>세출!AC120</f>
        <v>600000</v>
      </c>
      <c r="K19" s="391">
        <f t="shared" si="0"/>
        <v>0</v>
      </c>
    </row>
    <row r="20" spans="2:11" ht="24.95" customHeight="1">
      <c r="B20" s="538"/>
      <c r="C20" s="393" t="s">
        <v>337</v>
      </c>
      <c r="D20" s="392">
        <v>1874476</v>
      </c>
      <c r="E20" s="392">
        <f>세입!AB21</f>
        <v>1874476</v>
      </c>
      <c r="F20" s="394">
        <f>E20-D20</f>
        <v>0</v>
      </c>
      <c r="G20" s="542"/>
      <c r="H20" s="393" t="s">
        <v>336</v>
      </c>
      <c r="I20" s="392">
        <v>310000</v>
      </c>
      <c r="J20" s="392">
        <f>세출!AC123</f>
        <v>310000</v>
      </c>
      <c r="K20" s="391">
        <f t="shared" si="0"/>
        <v>0</v>
      </c>
    </row>
    <row r="21" spans="2:11" ht="24.95" customHeight="1">
      <c r="B21" s="537" t="s">
        <v>335</v>
      </c>
      <c r="C21" s="390" t="s">
        <v>326</v>
      </c>
      <c r="D21" s="389">
        <f>D22</f>
        <v>20000</v>
      </c>
      <c r="E21" s="389">
        <f>E22</f>
        <v>35000</v>
      </c>
      <c r="F21" s="395">
        <f>F22</f>
        <v>15000</v>
      </c>
      <c r="G21" s="542"/>
      <c r="H21" s="393" t="s">
        <v>334</v>
      </c>
      <c r="I21" s="392">
        <v>80970</v>
      </c>
      <c r="J21" s="392">
        <f>세출!AC127</f>
        <v>80970</v>
      </c>
      <c r="K21" s="391">
        <f t="shared" si="0"/>
        <v>0</v>
      </c>
    </row>
    <row r="22" spans="2:11" ht="24.95" customHeight="1">
      <c r="B22" s="538"/>
      <c r="C22" s="393" t="s">
        <v>333</v>
      </c>
      <c r="D22" s="392">
        <v>20000</v>
      </c>
      <c r="E22" s="392">
        <f>세입!AB28</f>
        <v>35000</v>
      </c>
      <c r="F22" s="394">
        <f>E22-D22</f>
        <v>15000</v>
      </c>
      <c r="G22" s="538"/>
      <c r="H22" s="393" t="s">
        <v>332</v>
      </c>
      <c r="I22" s="392">
        <v>3348000</v>
      </c>
      <c r="J22" s="392">
        <f>세출!AC130</f>
        <v>3070000</v>
      </c>
      <c r="K22" s="391">
        <f t="shared" si="0"/>
        <v>-278000</v>
      </c>
    </row>
    <row r="23" spans="2:11" ht="24.95" customHeight="1">
      <c r="B23" s="529"/>
      <c r="C23" s="530"/>
      <c r="D23" s="530"/>
      <c r="E23" s="530"/>
      <c r="F23" s="530"/>
      <c r="G23" s="535" t="s">
        <v>331</v>
      </c>
      <c r="H23" s="390" t="s">
        <v>326</v>
      </c>
      <c r="I23" s="389">
        <f>I24</f>
        <v>136597</v>
      </c>
      <c r="J23" s="389">
        <f>J24</f>
        <v>136597</v>
      </c>
      <c r="K23" s="388">
        <f>K24</f>
        <v>0</v>
      </c>
    </row>
    <row r="24" spans="2:11" ht="24.95" customHeight="1">
      <c r="B24" s="531"/>
      <c r="C24" s="532"/>
      <c r="D24" s="532"/>
      <c r="E24" s="532"/>
      <c r="F24" s="532"/>
      <c r="G24" s="536"/>
      <c r="H24" s="393" t="s">
        <v>330</v>
      </c>
      <c r="I24" s="392">
        <v>136597</v>
      </c>
      <c r="J24" s="392">
        <f>세출!AC167</f>
        <v>136597</v>
      </c>
      <c r="K24" s="391">
        <f>J24-I24</f>
        <v>0</v>
      </c>
    </row>
    <row r="25" spans="2:11" ht="24.95" customHeight="1">
      <c r="B25" s="531"/>
      <c r="C25" s="532"/>
      <c r="D25" s="532"/>
      <c r="E25" s="532"/>
      <c r="F25" s="532"/>
      <c r="G25" s="537" t="s">
        <v>329</v>
      </c>
      <c r="H25" s="390" t="s">
        <v>326</v>
      </c>
      <c r="I25" s="389">
        <f>I26</f>
        <v>0</v>
      </c>
      <c r="J25" s="389">
        <f>J26</f>
        <v>0</v>
      </c>
      <c r="K25" s="388">
        <f>K26</f>
        <v>0</v>
      </c>
    </row>
    <row r="26" spans="2:11" ht="24.95" customHeight="1">
      <c r="B26" s="531"/>
      <c r="C26" s="532"/>
      <c r="D26" s="532"/>
      <c r="E26" s="532"/>
      <c r="F26" s="532"/>
      <c r="G26" s="538"/>
      <c r="H26" s="393" t="s">
        <v>328</v>
      </c>
      <c r="I26" s="392">
        <v>0</v>
      </c>
      <c r="J26" s="392">
        <f>세출!AC171</f>
        <v>0</v>
      </c>
      <c r="K26" s="391">
        <f>J26-I26</f>
        <v>0</v>
      </c>
    </row>
    <row r="27" spans="2:11" ht="24.95" customHeight="1">
      <c r="B27" s="531"/>
      <c r="C27" s="532"/>
      <c r="D27" s="532"/>
      <c r="E27" s="532"/>
      <c r="F27" s="532"/>
      <c r="G27" s="537" t="s">
        <v>327</v>
      </c>
      <c r="H27" s="390" t="s">
        <v>326</v>
      </c>
      <c r="I27" s="389">
        <f>I28</f>
        <v>0</v>
      </c>
      <c r="J27" s="389">
        <f>J28</f>
        <v>8000</v>
      </c>
      <c r="K27" s="388">
        <f>K28</f>
        <v>8000</v>
      </c>
    </row>
    <row r="28" spans="2:11" ht="24.95" customHeight="1" thickBot="1">
      <c r="B28" s="533"/>
      <c r="C28" s="534"/>
      <c r="D28" s="534"/>
      <c r="E28" s="534"/>
      <c r="F28" s="534"/>
      <c r="G28" s="539"/>
      <c r="H28" s="387" t="s">
        <v>325</v>
      </c>
      <c r="I28" s="386">
        <v>0</v>
      </c>
      <c r="J28" s="386">
        <f>세출!AC174</f>
        <v>8000</v>
      </c>
      <c r="K28" s="385">
        <f>J28-I28</f>
        <v>8000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9"/>
  <sheetViews>
    <sheetView zoomScale="85" zoomScaleNormal="85" zoomScaleSheetLayoutView="85" workbookViewId="0">
      <pane xSplit="3" ySplit="4" topLeftCell="J26" activePane="bottomRight" state="frozen"/>
      <selection pane="topRight" activeCell="D1" sqref="D1"/>
      <selection pane="bottomLeft" activeCell="A5" sqref="A5"/>
      <selection pane="bottomRight" activeCell="AB34" sqref="AB34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66" t="s">
        <v>255</v>
      </c>
      <c r="B1" s="566"/>
      <c r="C1" s="566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7" t="s">
        <v>65</v>
      </c>
      <c r="B2" s="568"/>
      <c r="C2" s="568"/>
      <c r="D2" s="569" t="s">
        <v>441</v>
      </c>
      <c r="E2" s="571" t="s">
        <v>442</v>
      </c>
      <c r="F2" s="572"/>
      <c r="G2" s="572"/>
      <c r="H2" s="572"/>
      <c r="I2" s="572"/>
      <c r="J2" s="572"/>
      <c r="K2" s="562" t="s">
        <v>23</v>
      </c>
      <c r="L2" s="562"/>
      <c r="M2" s="562" t="s">
        <v>55</v>
      </c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3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70"/>
      <c r="E3" s="302" t="s">
        <v>124</v>
      </c>
      <c r="F3" s="320" t="s">
        <v>270</v>
      </c>
      <c r="G3" s="302" t="s">
        <v>160</v>
      </c>
      <c r="H3" s="302" t="s">
        <v>114</v>
      </c>
      <c r="I3" s="302" t="s">
        <v>215</v>
      </c>
      <c r="J3" s="302" t="s">
        <v>116</v>
      </c>
      <c r="K3" s="182" t="s">
        <v>125</v>
      </c>
      <c r="L3" s="27" t="s">
        <v>4</v>
      </c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  <c r="Z3" s="564"/>
      <c r="AA3" s="564"/>
      <c r="AB3" s="564"/>
      <c r="AC3" s="565"/>
      <c r="AD3" s="9"/>
    </row>
    <row r="4" spans="1:31" s="3" customFormat="1" ht="19.5" customHeight="1">
      <c r="A4" s="573" t="s">
        <v>24</v>
      </c>
      <c r="B4" s="574"/>
      <c r="C4" s="575"/>
      <c r="D4" s="28">
        <v>62379</v>
      </c>
      <c r="E4" s="84">
        <f>(F4+G4+H4+I4+J4)</f>
        <v>61249.476000000002</v>
      </c>
      <c r="F4" s="28">
        <f>F5+F7+F16+F21+F28</f>
        <v>48147.597000000002</v>
      </c>
      <c r="G4" s="28">
        <f>G5+G7+G16+G21+G28+G14</f>
        <v>2320</v>
      </c>
      <c r="H4" s="28">
        <f>H5+H7+H16+H21+H28</f>
        <v>8517.92</v>
      </c>
      <c r="I4" s="28">
        <f>I5+I7+I16+I18+I21+I28</f>
        <v>2263.902</v>
      </c>
      <c r="J4" s="28">
        <f>J5+J7+J16+J21+J28</f>
        <v>5.7000000000000002E-2</v>
      </c>
      <c r="K4" s="29">
        <f>E4-D4</f>
        <v>-1129.5239999999976</v>
      </c>
      <c r="L4" s="45">
        <f>IF(D4=0,0,K4/D4)</f>
        <v>-1.8107440003847411E-2</v>
      </c>
      <c r="M4" s="30" t="s">
        <v>194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SUM(AB5,AB7,AB16,AB21,AB28,AB18)</f>
        <v>61249476</v>
      </c>
      <c r="AC4" s="33" t="s">
        <v>193</v>
      </c>
      <c r="AD4" s="9"/>
    </row>
    <row r="5" spans="1:31" ht="21" customHeight="1" thickBot="1">
      <c r="A5" s="41" t="s">
        <v>60</v>
      </c>
      <c r="B5" s="306" t="s">
        <v>60</v>
      </c>
      <c r="C5" s="301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228</v>
      </c>
      <c r="N5" s="179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07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229</v>
      </c>
      <c r="N6" s="60"/>
      <c r="O6" s="61"/>
      <c r="P6" s="61"/>
      <c r="Q6" s="304">
        <v>150000</v>
      </c>
      <c r="R6" s="304" t="s">
        <v>57</v>
      </c>
      <c r="S6" s="305" t="s">
        <v>58</v>
      </c>
      <c r="T6" s="304">
        <v>4</v>
      </c>
      <c r="U6" s="304" t="s">
        <v>56</v>
      </c>
      <c r="V6" s="305" t="s">
        <v>58</v>
      </c>
      <c r="W6" s="62">
        <v>12</v>
      </c>
      <c r="X6" s="231" t="s">
        <v>0</v>
      </c>
      <c r="Y6" s="231" t="s">
        <v>53</v>
      </c>
      <c r="Z6" s="231"/>
      <c r="AA6" s="304"/>
      <c r="AB6" s="304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59" t="s">
        <v>17</v>
      </c>
      <c r="C7" s="560"/>
      <c r="D7" s="212">
        <v>51325</v>
      </c>
      <c r="E7" s="212">
        <f>E8+E14</f>
        <v>50320</v>
      </c>
      <c r="F7" s="212">
        <f t="shared" ref="F7:J8" si="0">F8</f>
        <v>48130</v>
      </c>
      <c r="G7" s="212">
        <f t="shared" si="0"/>
        <v>2190</v>
      </c>
      <c r="H7" s="212">
        <f t="shared" si="0"/>
        <v>0</v>
      </c>
      <c r="I7" s="212">
        <f t="shared" si="0"/>
        <v>0</v>
      </c>
      <c r="J7" s="212">
        <f t="shared" si="0"/>
        <v>0</v>
      </c>
      <c r="K7" s="213">
        <f>E7-D7</f>
        <v>-1005</v>
      </c>
      <c r="L7" s="214">
        <f>IF(D7=0,0,K7/D7)</f>
        <v>-1.9581100828056502E-2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50320000</v>
      </c>
      <c r="AC7" s="50" t="s">
        <v>25</v>
      </c>
      <c r="AD7" s="6"/>
    </row>
    <row r="8" spans="1:31" ht="21" customHeight="1" thickBot="1">
      <c r="A8" s="51"/>
      <c r="B8" s="196" t="s">
        <v>70</v>
      </c>
      <c r="C8" s="306" t="s">
        <v>68</v>
      </c>
      <c r="D8" s="43">
        <v>51325</v>
      </c>
      <c r="E8" s="43">
        <f>E9</f>
        <v>50320</v>
      </c>
      <c r="F8" s="43">
        <f t="shared" si="0"/>
        <v>48130</v>
      </c>
      <c r="G8" s="43">
        <f t="shared" si="0"/>
        <v>2190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4">
        <f>E8-D8</f>
        <v>-1005</v>
      </c>
      <c r="L8" s="45">
        <f>IF(D8=0,0,K8/D8)</f>
        <v>-1.9581100828056502E-2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50320000</v>
      </c>
      <c r="AC8" s="77" t="s">
        <v>67</v>
      </c>
    </row>
    <row r="9" spans="1:31" ht="21" customHeight="1" thickBot="1">
      <c r="A9" s="51"/>
      <c r="B9" s="307"/>
      <c r="C9" s="339" t="s">
        <v>267</v>
      </c>
      <c r="D9" s="43">
        <v>51325</v>
      </c>
      <c r="E9" s="43">
        <f>AB9/1000</f>
        <v>50320</v>
      </c>
      <c r="F9" s="43">
        <f>(AB10)/1000</f>
        <v>48130</v>
      </c>
      <c r="G9" s="43">
        <f>SUM(AB11+AB12)/1000</f>
        <v>2190</v>
      </c>
      <c r="H9" s="43">
        <v>0</v>
      </c>
      <c r="I9" s="43">
        <v>0</v>
      </c>
      <c r="J9" s="43">
        <v>0</v>
      </c>
      <c r="K9" s="44">
        <f>E9-D9</f>
        <v>-1005</v>
      </c>
      <c r="L9" s="45">
        <f>IF(D9=0,0,K9/D9)</f>
        <v>-1.9581100828056502E-2</v>
      </c>
      <c r="M9" s="180" t="s">
        <v>257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50320000</v>
      </c>
      <c r="AC9" s="104" t="s">
        <v>25</v>
      </c>
    </row>
    <row r="10" spans="1:31" ht="21" customHeight="1">
      <c r="A10" s="51"/>
      <c r="B10" s="307"/>
      <c r="C10" s="340" t="s">
        <v>268</v>
      </c>
      <c r="D10" s="54"/>
      <c r="E10" s="54"/>
      <c r="F10" s="54"/>
      <c r="G10" s="54"/>
      <c r="H10" s="54"/>
      <c r="I10" s="54"/>
      <c r="J10" s="54"/>
      <c r="K10" s="312"/>
      <c r="L10" s="37"/>
      <c r="M10" s="239" t="s">
        <v>258</v>
      </c>
      <c r="N10" s="237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40"/>
      <c r="AB10" s="241">
        <v>48130000</v>
      </c>
      <c r="AC10" s="242" t="s">
        <v>57</v>
      </c>
      <c r="AE10" s="2">
        <f>AB7+AB22+AB23+AB32+AB36</f>
        <v>50467597</v>
      </c>
    </row>
    <row r="11" spans="1:31" ht="21" customHeight="1">
      <c r="A11" s="51"/>
      <c r="B11" s="307"/>
      <c r="C11" s="307"/>
      <c r="D11" s="54"/>
      <c r="E11" s="54"/>
      <c r="F11" s="54"/>
      <c r="G11" s="54"/>
      <c r="H11" s="54"/>
      <c r="I11" s="54"/>
      <c r="J11" s="54"/>
      <c r="K11" s="312"/>
      <c r="L11" s="37"/>
      <c r="M11" s="239" t="s">
        <v>219</v>
      </c>
      <c r="N11" s="243"/>
      <c r="O11" s="244"/>
      <c r="P11" s="244"/>
      <c r="Q11" s="304"/>
      <c r="R11" s="304"/>
      <c r="S11" s="305"/>
      <c r="T11" s="304"/>
      <c r="U11" s="304"/>
      <c r="V11" s="305"/>
      <c r="W11" s="304"/>
      <c r="X11" s="304"/>
      <c r="Y11" s="304"/>
      <c r="Z11" s="304"/>
      <c r="AA11" s="84"/>
      <c r="AB11" s="84">
        <v>990000</v>
      </c>
      <c r="AC11" s="64" t="s">
        <v>57</v>
      </c>
    </row>
    <row r="12" spans="1:31" ht="21" customHeight="1">
      <c r="A12" s="51"/>
      <c r="B12" s="307"/>
      <c r="C12" s="307"/>
      <c r="D12" s="54"/>
      <c r="E12" s="54"/>
      <c r="F12" s="54"/>
      <c r="G12" s="54"/>
      <c r="H12" s="54"/>
      <c r="I12" s="54"/>
      <c r="J12" s="54"/>
      <c r="K12" s="312"/>
      <c r="L12" s="37"/>
      <c r="M12" s="239" t="s">
        <v>220</v>
      </c>
      <c r="N12" s="237"/>
      <c r="O12" s="238"/>
      <c r="P12" s="238"/>
      <c r="Q12" s="324">
        <v>100000</v>
      </c>
      <c r="R12" s="324" t="s">
        <v>57</v>
      </c>
      <c r="S12" s="325" t="s">
        <v>58</v>
      </c>
      <c r="T12" s="324">
        <v>1</v>
      </c>
      <c r="U12" s="324" t="s">
        <v>56</v>
      </c>
      <c r="V12" s="325" t="s">
        <v>58</v>
      </c>
      <c r="W12" s="324">
        <v>12</v>
      </c>
      <c r="X12" s="324" t="s">
        <v>0</v>
      </c>
      <c r="Y12" s="324" t="s">
        <v>53</v>
      </c>
      <c r="Z12" s="324"/>
      <c r="AA12" s="84"/>
      <c r="AB12" s="84">
        <f>SUM(Q12*T12*W12)</f>
        <v>1200000</v>
      </c>
      <c r="AC12" s="64" t="s">
        <v>57</v>
      </c>
      <c r="AE12" s="2">
        <f>AB24+AB33+AB5+AB25</f>
        <v>8512920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3"/>
      <c r="L13" s="308"/>
      <c r="M13" s="309"/>
      <c r="N13" s="310"/>
      <c r="O13" s="311"/>
      <c r="P13" s="311"/>
      <c r="Q13" s="337"/>
      <c r="R13" s="337"/>
      <c r="S13" s="338"/>
      <c r="T13" s="337"/>
      <c r="U13" s="337"/>
      <c r="V13" s="338"/>
      <c r="W13" s="337"/>
      <c r="X13" s="337"/>
      <c r="Y13" s="337"/>
      <c r="Z13" s="337"/>
      <c r="AA13" s="84"/>
      <c r="AB13" s="84"/>
      <c r="AC13" s="64"/>
    </row>
    <row r="14" spans="1:31" ht="21" customHeight="1" thickBot="1">
      <c r="A14" s="51"/>
      <c r="B14" s="307"/>
      <c r="C14" s="339" t="s">
        <v>269</v>
      </c>
      <c r="D14" s="54">
        <v>0</v>
      </c>
      <c r="E14" s="43">
        <f>AB14/1000</f>
        <v>0</v>
      </c>
      <c r="F14" s="54"/>
      <c r="G14" s="54">
        <f>SUM(AB14)/1000</f>
        <v>0</v>
      </c>
      <c r="H14" s="43">
        <v>0</v>
      </c>
      <c r="I14" s="43">
        <v>0</v>
      </c>
      <c r="J14" s="43">
        <v>0</v>
      </c>
      <c r="K14" s="44">
        <f>E14-D14</f>
        <v>0</v>
      </c>
      <c r="L14" s="45">
        <f>IF(D14=0,0,K14/D14)</f>
        <v>0</v>
      </c>
      <c r="M14" s="180" t="s">
        <v>303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0</v>
      </c>
      <c r="AC14" s="104" t="s">
        <v>25</v>
      </c>
      <c r="AE14" s="2">
        <f>AB19+AB27+AB38+AB20+AB34</f>
        <v>2263902</v>
      </c>
    </row>
    <row r="15" spans="1:31" ht="21" customHeight="1">
      <c r="A15" s="51"/>
      <c r="B15" s="307"/>
      <c r="C15" s="66" t="s">
        <v>268</v>
      </c>
      <c r="D15" s="54"/>
      <c r="E15" s="54"/>
      <c r="F15" s="54"/>
      <c r="G15" s="54"/>
      <c r="H15" s="54"/>
      <c r="I15" s="54"/>
      <c r="J15" s="54"/>
      <c r="K15" s="55"/>
      <c r="L15" s="37"/>
      <c r="M15" s="239" t="s">
        <v>227</v>
      </c>
      <c r="N15" s="243"/>
      <c r="O15" s="244"/>
      <c r="P15" s="244"/>
      <c r="Q15" s="337"/>
      <c r="R15" s="337"/>
      <c r="S15" s="338"/>
      <c r="T15" s="337"/>
      <c r="U15" s="337"/>
      <c r="V15" s="338"/>
      <c r="W15" s="337"/>
      <c r="X15" s="337"/>
      <c r="Y15" s="337"/>
      <c r="Z15" s="337"/>
      <c r="AA15" s="84"/>
      <c r="AB15" s="84">
        <v>0</v>
      </c>
      <c r="AC15" s="64" t="s">
        <v>57</v>
      </c>
    </row>
    <row r="16" spans="1:31" ht="21" customHeight="1" thickBot="1">
      <c r="A16" s="41" t="s">
        <v>76</v>
      </c>
      <c r="B16" s="306" t="s">
        <v>13</v>
      </c>
      <c r="C16" s="306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506">
        <f>AB25</f>
        <v>172075</v>
      </c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05"/>
      <c r="N17" s="305"/>
      <c r="O17" s="304"/>
      <c r="P17" s="304"/>
      <c r="Q17" s="85"/>
      <c r="R17" s="86"/>
      <c r="S17" s="245"/>
      <c r="T17" s="91"/>
      <c r="U17" s="246"/>
      <c r="V17" s="247"/>
      <c r="W17" s="231"/>
      <c r="X17" s="231"/>
      <c r="Y17" s="231"/>
      <c r="Z17" s="304"/>
      <c r="AA17" s="84"/>
      <c r="AB17" s="84"/>
      <c r="AC17" s="64" t="s">
        <v>271</v>
      </c>
      <c r="AD17" s="23"/>
      <c r="AE17" s="24"/>
    </row>
    <row r="18" spans="1:31" s="4" customFormat="1" ht="21" customHeight="1" thickBot="1">
      <c r="A18" s="41" t="s">
        <v>215</v>
      </c>
      <c r="B18" s="307" t="s">
        <v>215</v>
      </c>
      <c r="C18" s="307" t="s">
        <v>216</v>
      </c>
      <c r="D18" s="54">
        <v>1960</v>
      </c>
      <c r="E18" s="54">
        <f>I18</f>
        <v>1820</v>
      </c>
      <c r="F18" s="54"/>
      <c r="G18" s="54"/>
      <c r="H18" s="54"/>
      <c r="I18" s="54">
        <f>AB18/1000</f>
        <v>1820</v>
      </c>
      <c r="J18" s="54"/>
      <c r="K18" s="44">
        <f>E18-D18</f>
        <v>-140</v>
      </c>
      <c r="L18" s="45">
        <f>IF(D18=0,0,K18/D18)</f>
        <v>-7.1428571428571425E-2</v>
      </c>
      <c r="M18" s="46" t="s">
        <v>212</v>
      </c>
      <c r="N18" s="283"/>
      <c r="O18" s="217"/>
      <c r="P18" s="217"/>
      <c r="Q18" s="85"/>
      <c r="R18" s="86"/>
      <c r="S18" s="245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1820000</v>
      </c>
      <c r="AC18" s="115" t="s">
        <v>25</v>
      </c>
      <c r="AD18" s="281"/>
      <c r="AE18" s="282"/>
    </row>
    <row r="19" spans="1:31" ht="21" customHeight="1">
      <c r="A19" s="51"/>
      <c r="B19" s="307"/>
      <c r="C19" s="307" t="s">
        <v>215</v>
      </c>
      <c r="D19" s="54"/>
      <c r="E19" s="54"/>
      <c r="F19" s="54"/>
      <c r="G19" s="54"/>
      <c r="H19" s="54"/>
      <c r="I19" s="54"/>
      <c r="J19" s="54"/>
      <c r="K19" s="55"/>
      <c r="L19" s="35"/>
      <c r="M19" s="305" t="s">
        <v>214</v>
      </c>
      <c r="N19" s="218"/>
      <c r="O19" s="217"/>
      <c r="P19" s="217"/>
      <c r="Q19" s="85"/>
      <c r="R19" s="86"/>
      <c r="S19" s="245"/>
      <c r="T19" s="91"/>
      <c r="U19" s="246"/>
      <c r="V19" s="247"/>
      <c r="W19" s="231"/>
      <c r="X19" s="231"/>
      <c r="Y19" s="231"/>
      <c r="Z19" s="304"/>
      <c r="AA19" s="84"/>
      <c r="AB19" s="84">
        <v>1620000</v>
      </c>
      <c r="AC19" s="64" t="s">
        <v>211</v>
      </c>
      <c r="AD19" s="23"/>
      <c r="AE19" s="24"/>
    </row>
    <row r="20" spans="1:31" s="4" customFormat="1" ht="21" customHeight="1">
      <c r="A20" s="51"/>
      <c r="B20" s="307"/>
      <c r="C20" s="307"/>
      <c r="D20" s="54"/>
      <c r="E20" s="54"/>
      <c r="F20" s="54"/>
      <c r="G20" s="54"/>
      <c r="H20" s="54"/>
      <c r="I20" s="54"/>
      <c r="J20" s="54"/>
      <c r="K20" s="55"/>
      <c r="L20" s="87"/>
      <c r="M20" s="523" t="s">
        <v>459</v>
      </c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116">
        <v>200000</v>
      </c>
      <c r="AC20" s="64" t="s">
        <v>460</v>
      </c>
      <c r="AD20" s="7"/>
    </row>
    <row r="21" spans="1:31" ht="21" customHeight="1" thickBot="1">
      <c r="A21" s="41" t="s">
        <v>14</v>
      </c>
      <c r="B21" s="306" t="s">
        <v>14</v>
      </c>
      <c r="C21" s="306" t="s">
        <v>77</v>
      </c>
      <c r="D21" s="43">
        <v>10874</v>
      </c>
      <c r="E21" s="43">
        <f>SUM(F21:J21)</f>
        <v>1874.4760000000001</v>
      </c>
      <c r="F21" s="43">
        <f>AB23/1000</f>
        <v>6.5970000000000004</v>
      </c>
      <c r="G21" s="43">
        <f>ROUND(SUM(AB22),-3)/1000</f>
        <v>130</v>
      </c>
      <c r="H21" s="43">
        <f>(AB24+AB25)/1000</f>
        <v>1299.92</v>
      </c>
      <c r="I21" s="43">
        <f>AB27/1000</f>
        <v>437.90199999999999</v>
      </c>
      <c r="J21" s="43">
        <f>AB26/1000</f>
        <v>5.7000000000000002E-2</v>
      </c>
      <c r="K21" s="44">
        <f>E21-D21</f>
        <v>-8999.5239999999994</v>
      </c>
      <c r="L21" s="45">
        <f>IF(D21=0,0,K21/D21)</f>
        <v>-0.82761853963582854</v>
      </c>
      <c r="M21" s="46" t="s">
        <v>213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SUM(AB22:AB27)</f>
        <v>1874476</v>
      </c>
      <c r="AC21" s="115" t="s">
        <v>25</v>
      </c>
    </row>
    <row r="22" spans="1:31" ht="21" customHeight="1">
      <c r="A22" s="51"/>
      <c r="B22" s="307"/>
      <c r="C22" s="307" t="s">
        <v>221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272</v>
      </c>
      <c r="N22" s="305"/>
      <c r="O22" s="304"/>
      <c r="P22" s="304"/>
      <c r="Q22" s="304"/>
      <c r="R22" s="304"/>
      <c r="S22" s="304"/>
      <c r="T22" s="304"/>
      <c r="U22" s="60"/>
      <c r="V22" s="60"/>
      <c r="W22" s="60"/>
      <c r="X22" s="304"/>
      <c r="Y22" s="304"/>
      <c r="Z22" s="304"/>
      <c r="AA22" s="84"/>
      <c r="AB22" s="84">
        <v>130000</v>
      </c>
      <c r="AC22" s="64" t="s">
        <v>159</v>
      </c>
    </row>
    <row r="23" spans="1:31" ht="21" customHeight="1">
      <c r="A23" s="51"/>
      <c r="B23" s="307"/>
      <c r="C23" s="307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302</v>
      </c>
      <c r="N23" s="305"/>
      <c r="O23" s="304"/>
      <c r="P23" s="304"/>
      <c r="Q23" s="304"/>
      <c r="R23" s="36"/>
      <c r="S23" s="304"/>
      <c r="T23" s="304"/>
      <c r="U23" s="304"/>
      <c r="V23" s="304"/>
      <c r="W23" s="304"/>
      <c r="X23" s="304"/>
      <c r="Y23" s="304"/>
      <c r="Z23" s="304"/>
      <c r="AA23" s="304"/>
      <c r="AB23" s="304">
        <v>6597</v>
      </c>
      <c r="AC23" s="64" t="s">
        <v>159</v>
      </c>
    </row>
    <row r="24" spans="1:31" ht="21" customHeight="1">
      <c r="A24" s="51"/>
      <c r="B24" s="307"/>
      <c r="C24" s="307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291</v>
      </c>
      <c r="N24" s="342"/>
      <c r="O24" s="341"/>
      <c r="P24" s="341"/>
      <c r="Q24" s="341"/>
      <c r="R24" s="36"/>
      <c r="S24" s="341"/>
      <c r="T24" s="341"/>
      <c r="U24" s="341"/>
      <c r="V24" s="341"/>
      <c r="W24" s="341"/>
      <c r="X24" s="341"/>
      <c r="Y24" s="341"/>
      <c r="Z24" s="341"/>
      <c r="AA24" s="341"/>
      <c r="AB24" s="341">
        <v>1127845</v>
      </c>
      <c r="AC24" s="64" t="s">
        <v>57</v>
      </c>
    </row>
    <row r="25" spans="1:31" ht="21" customHeight="1">
      <c r="A25" s="51"/>
      <c r="B25" s="340"/>
      <c r="C25" s="340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294</v>
      </c>
      <c r="N25" s="372"/>
      <c r="O25" s="371"/>
      <c r="P25" s="371"/>
      <c r="Q25" s="371"/>
      <c r="R25" s="36"/>
      <c r="S25" s="371"/>
      <c r="T25" s="371"/>
      <c r="U25" s="371"/>
      <c r="V25" s="371"/>
      <c r="W25" s="371"/>
      <c r="X25" s="371"/>
      <c r="Y25" s="371"/>
      <c r="Z25" s="371"/>
      <c r="AA25" s="371"/>
      <c r="AB25" s="371">
        <v>172075</v>
      </c>
      <c r="AC25" s="64" t="s">
        <v>295</v>
      </c>
    </row>
    <row r="26" spans="1:31" ht="21" customHeight="1">
      <c r="A26" s="51"/>
      <c r="B26" s="307"/>
      <c r="C26" s="307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296</v>
      </c>
      <c r="N26" s="342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>
        <v>57</v>
      </c>
      <c r="AC26" s="64" t="s">
        <v>57</v>
      </c>
    </row>
    <row r="27" spans="1:31" ht="21" customHeight="1">
      <c r="A27" s="51"/>
      <c r="B27" s="307"/>
      <c r="C27" s="307"/>
      <c r="D27" s="54"/>
      <c r="E27" s="54"/>
      <c r="F27" s="54"/>
      <c r="G27" s="54"/>
      <c r="H27" s="54"/>
      <c r="I27" s="54"/>
      <c r="J27" s="54"/>
      <c r="K27" s="55"/>
      <c r="L27" s="87"/>
      <c r="M27" s="83" t="s">
        <v>297</v>
      </c>
      <c r="N27" s="342"/>
      <c r="O27" s="341"/>
      <c r="P27" s="341"/>
      <c r="Q27" s="341"/>
      <c r="R27" s="36"/>
      <c r="S27" s="341"/>
      <c r="T27" s="341"/>
      <c r="U27" s="341"/>
      <c r="V27" s="341"/>
      <c r="W27" s="341"/>
      <c r="X27" s="341"/>
      <c r="Y27" s="341"/>
      <c r="Z27" s="341"/>
      <c r="AA27" s="341"/>
      <c r="AB27" s="341">
        <v>437902</v>
      </c>
      <c r="AC27" s="64" t="s">
        <v>57</v>
      </c>
    </row>
    <row r="28" spans="1:31" ht="21" customHeight="1">
      <c r="A28" s="41" t="s">
        <v>78</v>
      </c>
      <c r="B28" s="108" t="s">
        <v>16</v>
      </c>
      <c r="C28" s="108" t="s">
        <v>79</v>
      </c>
      <c r="D28" s="43">
        <v>20</v>
      </c>
      <c r="E28" s="43">
        <f t="shared" ref="E28:J28" si="1">E35+E29+E31</f>
        <v>35</v>
      </c>
      <c r="F28" s="43">
        <f t="shared" si="1"/>
        <v>11</v>
      </c>
      <c r="G28" s="43">
        <f t="shared" si="1"/>
        <v>0</v>
      </c>
      <c r="H28" s="43">
        <f t="shared" si="1"/>
        <v>18</v>
      </c>
      <c r="I28" s="43">
        <f t="shared" si="1"/>
        <v>6</v>
      </c>
      <c r="J28" s="43">
        <f t="shared" si="1"/>
        <v>0</v>
      </c>
      <c r="K28" s="44">
        <f>E28-D28</f>
        <v>15</v>
      </c>
      <c r="L28" s="45">
        <f>IF(D28=0,0,K28/D28)</f>
        <v>0.75</v>
      </c>
      <c r="M28" s="67" t="s">
        <v>80</v>
      </c>
      <c r="N28" s="69"/>
      <c r="O28" s="48"/>
      <c r="P28" s="48"/>
      <c r="Q28" s="48"/>
      <c r="R28" s="48"/>
      <c r="S28" s="48"/>
      <c r="T28" s="48"/>
      <c r="U28" s="48" t="s">
        <v>117</v>
      </c>
      <c r="V28" s="48"/>
      <c r="W28" s="48"/>
      <c r="X28" s="48"/>
      <c r="Y28" s="48"/>
      <c r="Z28" s="48"/>
      <c r="AA28" s="49"/>
      <c r="AB28" s="49">
        <f>AB29+AB35+AB31</f>
        <v>35000</v>
      </c>
      <c r="AC28" s="50" t="s">
        <v>25</v>
      </c>
    </row>
    <row r="29" spans="1:31" ht="21" customHeight="1">
      <c r="A29" s="51"/>
      <c r="B29" s="120"/>
      <c r="C29" s="108" t="s">
        <v>122</v>
      </c>
      <c r="D29" s="43">
        <v>0</v>
      </c>
      <c r="E29" s="43">
        <f>SUM(F29:J29)</f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4">
        <f>E29-D29</f>
        <v>0</v>
      </c>
      <c r="L29" s="45">
        <f>IF(D29=0,0,K29/D29)</f>
        <v>0</v>
      </c>
      <c r="M29" s="121" t="s">
        <v>82</v>
      </c>
      <c r="N29" s="222"/>
      <c r="O29" s="221"/>
      <c r="P29" s="221"/>
      <c r="Q29" s="221"/>
      <c r="R29" s="221"/>
      <c r="S29" s="221"/>
      <c r="T29" s="221"/>
      <c r="U29" s="221" t="s">
        <v>118</v>
      </c>
      <c r="V29" s="221"/>
      <c r="W29" s="221"/>
      <c r="X29" s="221"/>
      <c r="Y29" s="221"/>
      <c r="Z29" s="221"/>
      <c r="AA29" s="118"/>
      <c r="AB29" s="118">
        <v>0</v>
      </c>
      <c r="AC29" s="119" t="s">
        <v>81</v>
      </c>
    </row>
    <row r="30" spans="1:31" s="12" customFormat="1" ht="19.5" customHeight="1">
      <c r="A30" s="70"/>
      <c r="B30" s="122"/>
      <c r="C30" s="66" t="s">
        <v>83</v>
      </c>
      <c r="D30" s="78"/>
      <c r="E30" s="78"/>
      <c r="F30" s="78"/>
      <c r="G30" s="78"/>
      <c r="H30" s="78"/>
      <c r="I30" s="78"/>
      <c r="J30" s="78"/>
      <c r="K30" s="79"/>
      <c r="L30" s="105"/>
      <c r="M30" s="88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90"/>
      <c r="AD30" s="6"/>
    </row>
    <row r="31" spans="1:31" ht="21" customHeight="1">
      <c r="A31" s="51"/>
      <c r="B31" s="120"/>
      <c r="C31" s="108" t="s">
        <v>279</v>
      </c>
      <c r="D31" s="43">
        <v>6</v>
      </c>
      <c r="E31" s="43">
        <f>SUM(F31:J31)</f>
        <v>21</v>
      </c>
      <c r="F31" s="43">
        <f>AB32/1000</f>
        <v>3</v>
      </c>
      <c r="G31" s="43">
        <v>0</v>
      </c>
      <c r="H31" s="43">
        <f>AB33/1000</f>
        <v>13</v>
      </c>
      <c r="I31" s="43">
        <f>AB34/1000</f>
        <v>5</v>
      </c>
      <c r="J31" s="43">
        <v>0</v>
      </c>
      <c r="K31" s="44">
        <f>E31-D31</f>
        <v>15</v>
      </c>
      <c r="L31" s="45">
        <f>IF(D31=0,0,K31/D31)</f>
        <v>2.5</v>
      </c>
      <c r="M31" s="121" t="s">
        <v>259</v>
      </c>
      <c r="N31" s="222"/>
      <c r="O31" s="221"/>
      <c r="P31" s="221"/>
      <c r="Q31" s="221"/>
      <c r="R31" s="221"/>
      <c r="S31" s="221"/>
      <c r="T31" s="221"/>
      <c r="U31" s="221" t="s">
        <v>118</v>
      </c>
      <c r="V31" s="221"/>
      <c r="W31" s="221"/>
      <c r="X31" s="221"/>
      <c r="Y31" s="221"/>
      <c r="Z31" s="221"/>
      <c r="AA31" s="118"/>
      <c r="AB31" s="118">
        <f>AB32+AB33+AB34</f>
        <v>21000</v>
      </c>
      <c r="AC31" s="119" t="s">
        <v>57</v>
      </c>
    </row>
    <row r="32" spans="1:31" ht="21" customHeight="1">
      <c r="A32" s="51"/>
      <c r="B32" s="120"/>
      <c r="C32" s="343" t="s">
        <v>280</v>
      </c>
      <c r="D32" s="54"/>
      <c r="E32" s="54"/>
      <c r="F32" s="54"/>
      <c r="G32" s="54"/>
      <c r="H32" s="54"/>
      <c r="I32" s="54"/>
      <c r="J32" s="54"/>
      <c r="K32" s="55"/>
      <c r="L32" s="37"/>
      <c r="M32" s="258" t="s">
        <v>261</v>
      </c>
      <c r="N32" s="338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84"/>
      <c r="AB32" s="84">
        <v>3000</v>
      </c>
      <c r="AC32" s="64" t="s">
        <v>25</v>
      </c>
    </row>
    <row r="33" spans="1:30" ht="21" customHeight="1">
      <c r="A33" s="51"/>
      <c r="B33" s="120"/>
      <c r="C33" s="343"/>
      <c r="D33" s="54"/>
      <c r="E33" s="54"/>
      <c r="F33" s="54"/>
      <c r="G33" s="54"/>
      <c r="H33" s="54"/>
      <c r="I33" s="54"/>
      <c r="J33" s="54"/>
      <c r="K33" s="55"/>
      <c r="L33" s="37"/>
      <c r="M33" s="83" t="s">
        <v>262</v>
      </c>
      <c r="N33" s="338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84"/>
      <c r="AB33" s="84">
        <v>13000</v>
      </c>
      <c r="AC33" s="64" t="s">
        <v>25</v>
      </c>
    </row>
    <row r="34" spans="1:30" s="12" customFormat="1" ht="19.5" customHeight="1">
      <c r="A34" s="70"/>
      <c r="B34" s="122"/>
      <c r="C34" s="66"/>
      <c r="D34" s="78"/>
      <c r="E34" s="78"/>
      <c r="F34" s="78"/>
      <c r="G34" s="78"/>
      <c r="H34" s="78"/>
      <c r="I34" s="78"/>
      <c r="J34" s="78"/>
      <c r="K34" s="79"/>
      <c r="L34" s="105"/>
      <c r="M34" s="88" t="s">
        <v>263</v>
      </c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>
        <v>5000</v>
      </c>
      <c r="AC34" s="64" t="s">
        <v>25</v>
      </c>
      <c r="AD34" s="6"/>
    </row>
    <row r="35" spans="1:30" ht="21" customHeight="1">
      <c r="A35" s="51"/>
      <c r="B35" s="307"/>
      <c r="C35" s="307" t="s">
        <v>121</v>
      </c>
      <c r="D35" s="54">
        <v>14</v>
      </c>
      <c r="E35" s="43">
        <f>SUM(F35:J35)</f>
        <v>14</v>
      </c>
      <c r="F35" s="43">
        <f>AB36/1000</f>
        <v>8</v>
      </c>
      <c r="G35" s="43">
        <v>0</v>
      </c>
      <c r="H35" s="43">
        <f>AB37/1000</f>
        <v>5</v>
      </c>
      <c r="I35" s="43">
        <f>AB38/1000</f>
        <v>1</v>
      </c>
      <c r="J35" s="43">
        <v>0</v>
      </c>
      <c r="K35" s="55">
        <f>E35-D35</f>
        <v>0</v>
      </c>
      <c r="L35" s="45">
        <f>IF(D35=0,0,K35/D35)</f>
        <v>0</v>
      </c>
      <c r="M35" s="123" t="s">
        <v>84</v>
      </c>
      <c r="N35" s="218"/>
      <c r="O35" s="217"/>
      <c r="P35" s="217"/>
      <c r="Q35" s="217"/>
      <c r="R35" s="217"/>
      <c r="S35" s="217"/>
      <c r="T35" s="217"/>
      <c r="U35" s="217" t="s">
        <v>118</v>
      </c>
      <c r="V35" s="217"/>
      <c r="W35" s="217"/>
      <c r="X35" s="217"/>
      <c r="Y35" s="217"/>
      <c r="Z35" s="217"/>
      <c r="AA35" s="58"/>
      <c r="AB35" s="58">
        <f>AB36+AB37+AB38</f>
        <v>14000</v>
      </c>
      <c r="AC35" s="119" t="s">
        <v>25</v>
      </c>
    </row>
    <row r="36" spans="1:30" ht="21" customHeight="1">
      <c r="A36" s="51"/>
      <c r="B36" s="335"/>
      <c r="C36" s="335" t="s">
        <v>260</v>
      </c>
      <c r="D36" s="54"/>
      <c r="E36" s="54"/>
      <c r="F36" s="54"/>
      <c r="G36" s="54"/>
      <c r="H36" s="54"/>
      <c r="I36" s="54"/>
      <c r="J36" s="54"/>
      <c r="K36" s="55"/>
      <c r="L36" s="37"/>
      <c r="M36" s="258" t="s">
        <v>264</v>
      </c>
      <c r="N36" s="338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84"/>
      <c r="AB36" s="84">
        <v>8000</v>
      </c>
      <c r="AC36" s="64" t="s">
        <v>25</v>
      </c>
    </row>
    <row r="37" spans="1:30" ht="21" customHeight="1">
      <c r="A37" s="51"/>
      <c r="B37" s="335"/>
      <c r="C37" s="335"/>
      <c r="D37" s="54"/>
      <c r="E37" s="54"/>
      <c r="F37" s="54"/>
      <c r="G37" s="54"/>
      <c r="H37" s="54"/>
      <c r="I37" s="54"/>
      <c r="J37" s="54"/>
      <c r="K37" s="55"/>
      <c r="L37" s="37"/>
      <c r="M37" s="83" t="s">
        <v>265</v>
      </c>
      <c r="N37" s="338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84"/>
      <c r="AB37" s="84">
        <v>5000</v>
      </c>
      <c r="AC37" s="64" t="s">
        <v>25</v>
      </c>
    </row>
    <row r="38" spans="1:30" s="12" customFormat="1" ht="19.5" customHeight="1" thickBot="1">
      <c r="A38" s="316"/>
      <c r="B38" s="125"/>
      <c r="C38" s="126"/>
      <c r="D38" s="127"/>
      <c r="E38" s="127"/>
      <c r="F38" s="127"/>
      <c r="G38" s="127"/>
      <c r="H38" s="127"/>
      <c r="I38" s="127"/>
      <c r="J38" s="127"/>
      <c r="K38" s="128"/>
      <c r="L38" s="129"/>
      <c r="M38" s="80" t="s">
        <v>266</v>
      </c>
      <c r="N38" s="82"/>
      <c r="O38" s="82"/>
      <c r="P38" s="82"/>
      <c r="Q38" s="82"/>
      <c r="R38" s="82"/>
      <c r="S38" s="82"/>
      <c r="T38" s="82"/>
      <c r="U38" s="561"/>
      <c r="V38" s="561"/>
      <c r="W38" s="82"/>
      <c r="X38" s="82"/>
      <c r="Y38" s="82"/>
      <c r="Z38" s="82"/>
      <c r="AA38" s="82"/>
      <c r="AB38" s="82">
        <v>1000</v>
      </c>
      <c r="AC38" s="344" t="s">
        <v>25</v>
      </c>
      <c r="AD38" s="6"/>
    </row>
    <row r="49" spans="30:30" ht="19.5" customHeight="1">
      <c r="AD49" s="6" t="s">
        <v>64</v>
      </c>
    </row>
  </sheetData>
  <mergeCells count="9">
    <mergeCell ref="B7:C7"/>
    <mergeCell ref="U38:V38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&amp;R장애인공동생활가정 몬띠의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77"/>
  <sheetViews>
    <sheetView tabSelected="1" zoomScale="85" zoomScaleNormal="85" zoomScaleSheetLayoutView="75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AC112" sqref="AC112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1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66" t="s">
        <v>256</v>
      </c>
      <c r="B1" s="566"/>
      <c r="C1" s="566"/>
      <c r="D1" s="130"/>
      <c r="E1" s="130"/>
      <c r="F1" s="130"/>
      <c r="G1" s="130"/>
      <c r="H1" s="130"/>
      <c r="I1" s="130"/>
      <c r="J1" s="130"/>
      <c r="K1" s="130"/>
      <c r="L1" s="194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7" t="s">
        <v>22</v>
      </c>
      <c r="B2" s="568"/>
      <c r="C2" s="568"/>
      <c r="D2" s="569" t="s">
        <v>455</v>
      </c>
      <c r="E2" s="571" t="s">
        <v>456</v>
      </c>
      <c r="F2" s="572"/>
      <c r="G2" s="572"/>
      <c r="H2" s="572"/>
      <c r="I2" s="572"/>
      <c r="J2" s="572"/>
      <c r="K2" s="562" t="s">
        <v>23</v>
      </c>
      <c r="L2" s="562"/>
      <c r="M2" s="589" t="s">
        <v>54</v>
      </c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1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70"/>
      <c r="E3" s="183" t="s">
        <v>124</v>
      </c>
      <c r="F3" s="300" t="s">
        <v>230</v>
      </c>
      <c r="G3" s="232" t="s">
        <v>160</v>
      </c>
      <c r="H3" s="183" t="s">
        <v>114</v>
      </c>
      <c r="I3" s="277" t="s">
        <v>215</v>
      </c>
      <c r="J3" s="183" t="s">
        <v>116</v>
      </c>
      <c r="K3" s="182" t="s">
        <v>125</v>
      </c>
      <c r="L3" s="131" t="s">
        <v>4</v>
      </c>
      <c r="M3" s="592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4"/>
    </row>
    <row r="4" spans="1:33" s="12" customFormat="1" ht="21" customHeight="1">
      <c r="A4" s="580" t="s">
        <v>32</v>
      </c>
      <c r="B4" s="581"/>
      <c r="C4" s="581"/>
      <c r="D4" s="191">
        <v>62379</v>
      </c>
      <c r="E4" s="191">
        <f>SUM(F4,G4,H4,J4,I4)</f>
        <v>61249.476000000002</v>
      </c>
      <c r="F4" s="191">
        <f>SUM(F5,F93,F107,F166)</f>
        <v>48147.597000000002</v>
      </c>
      <c r="G4" s="191">
        <f>SUM(G5,G93,G107,G166)</f>
        <v>2320</v>
      </c>
      <c r="H4" s="191">
        <f>SUM(H5,H93,H107,H166)</f>
        <v>8517.92</v>
      </c>
      <c r="I4" s="191">
        <f>SUM(I5,I93,I107,I166)</f>
        <v>2263.902</v>
      </c>
      <c r="J4" s="191">
        <f>SUM(J5,J93,J107,J166)</f>
        <v>5.7000000000000002E-2</v>
      </c>
      <c r="K4" s="190">
        <f>E4-D4</f>
        <v>-1129.5239999999976</v>
      </c>
      <c r="L4" s="192">
        <f>IF(D4=0,0,K4/D4)</f>
        <v>-1.8107440003847411E-2</v>
      </c>
      <c r="M4" s="346" t="s">
        <v>140</v>
      </c>
      <c r="N4" s="347"/>
      <c r="O4" s="347"/>
      <c r="P4" s="347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>
        <f>SUM(AC5,AC93,AC107,AC166,AC174)</f>
        <v>61249476</v>
      </c>
      <c r="AD4" s="349" t="s">
        <v>25</v>
      </c>
      <c r="AE4" s="2"/>
    </row>
    <row r="5" spans="1:33" s="12" customFormat="1" ht="21" customHeight="1">
      <c r="A5" s="136" t="s">
        <v>6</v>
      </c>
      <c r="B5" s="578" t="s">
        <v>7</v>
      </c>
      <c r="C5" s="579"/>
      <c r="D5" s="188">
        <v>42894</v>
      </c>
      <c r="E5" s="188">
        <f>SUM(E6,E51,E60)</f>
        <v>43688.3</v>
      </c>
      <c r="F5" s="188">
        <f>SUM(F6,F51,F60)</f>
        <v>39582.67</v>
      </c>
      <c r="G5" s="188">
        <f>SUM(G6,G51,G60)</f>
        <v>1200</v>
      </c>
      <c r="H5" s="188">
        <f>SUM(H6,H51,H60)</f>
        <v>2275.63</v>
      </c>
      <c r="I5" s="188">
        <f>SUM(I6,I51,I60)</f>
        <v>630</v>
      </c>
      <c r="J5" s="188">
        <v>0</v>
      </c>
      <c r="K5" s="132">
        <f>E5-D5</f>
        <v>794.30000000000291</v>
      </c>
      <c r="L5" s="193">
        <f>IF(D5=0,0,K5/D5)</f>
        <v>1.8517741409054947E-2</v>
      </c>
      <c r="M5" s="350" t="s">
        <v>139</v>
      </c>
      <c r="N5" s="350"/>
      <c r="O5" s="350"/>
      <c r="P5" s="350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>
        <f>SUM(AC6,AC51,AC60)</f>
        <v>43688300</v>
      </c>
      <c r="AD5" s="352" t="s">
        <v>25</v>
      </c>
      <c r="AE5" s="2"/>
    </row>
    <row r="6" spans="1:33" s="12" customFormat="1" ht="21" customHeight="1">
      <c r="A6" s="51"/>
      <c r="B6" s="42" t="s">
        <v>8</v>
      </c>
      <c r="C6" s="196" t="s">
        <v>5</v>
      </c>
      <c r="D6" s="195">
        <v>35985</v>
      </c>
      <c r="E6" s="195">
        <f>SUM(E7,E48,E11,E31,E35,E27)</f>
        <v>36370.46</v>
      </c>
      <c r="F6" s="195">
        <f>F7+F11+F31+F35</f>
        <v>34460.46</v>
      </c>
      <c r="G6" s="195">
        <f>SUM(G7,G11,G31,G35,G48)</f>
        <v>1200</v>
      </c>
      <c r="H6" s="195">
        <f>SUM(H7,H11,H31,H35,H27)</f>
        <v>710</v>
      </c>
      <c r="I6" s="195">
        <v>0</v>
      </c>
      <c r="J6" s="195">
        <f>SUM(J7,J11,J31,J35)</f>
        <v>0</v>
      </c>
      <c r="K6" s="197">
        <f>E6-D6</f>
        <v>385.45999999999913</v>
      </c>
      <c r="L6" s="198">
        <f>IF(D6=0,0,K6/D6)</f>
        <v>1.0711685424482399E-2</v>
      </c>
      <c r="M6" s="199" t="s">
        <v>138</v>
      </c>
      <c r="N6" s="199"/>
      <c r="O6" s="199"/>
      <c r="P6" s="199"/>
      <c r="Q6" s="200"/>
      <c r="R6" s="273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>
        <f>SUM(AC7,AC11,AC31,AC35,AC27,AC48)</f>
        <v>36370460</v>
      </c>
      <c r="AD6" s="201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22956</v>
      </c>
      <c r="E7" s="138">
        <f>SUM(F7:J7)</f>
        <v>22956</v>
      </c>
      <c r="F7" s="138">
        <f>AC7/1000</f>
        <v>22956</v>
      </c>
      <c r="G7" s="138">
        <v>0</v>
      </c>
      <c r="H7" s="138">
        <v>0</v>
      </c>
      <c r="I7" s="138"/>
      <c r="J7" s="138">
        <v>0</v>
      </c>
      <c r="K7" s="137">
        <f>E7-D7</f>
        <v>0</v>
      </c>
      <c r="L7" s="145">
        <f>IF(D7=0,0,K7/D7)</f>
        <v>0</v>
      </c>
      <c r="M7" s="236" t="s">
        <v>85</v>
      </c>
      <c r="N7" s="236"/>
      <c r="O7" s="222"/>
      <c r="P7" s="222"/>
      <c r="Q7" s="222"/>
      <c r="R7" s="222"/>
      <c r="S7" s="221"/>
      <c r="T7" s="221"/>
      <c r="U7" s="221"/>
      <c r="V7" s="235" t="s">
        <v>126</v>
      </c>
      <c r="W7" s="235"/>
      <c r="X7" s="235"/>
      <c r="Y7" s="235"/>
      <c r="Z7" s="235"/>
      <c r="AA7" s="235"/>
      <c r="AB7" s="202"/>
      <c r="AC7" s="202">
        <f>SUM(AC8:AC10)</f>
        <v>22956000</v>
      </c>
      <c r="AD7" s="201" t="s">
        <v>57</v>
      </c>
      <c r="AE7" s="1"/>
      <c r="AF7" s="363">
        <f>세입!AE10</f>
        <v>50467597</v>
      </c>
    </row>
    <row r="8" spans="1:33" s="12" customFormat="1" ht="21" customHeight="1">
      <c r="A8" s="51"/>
      <c r="B8" s="52"/>
      <c r="C8" s="52"/>
      <c r="D8" s="251"/>
      <c r="E8" s="251"/>
      <c r="F8" s="251"/>
      <c r="G8" s="251"/>
      <c r="H8" s="251"/>
      <c r="I8" s="251"/>
      <c r="J8" s="251"/>
      <c r="K8" s="133"/>
      <c r="L8" s="87"/>
      <c r="M8" s="85" t="s">
        <v>165</v>
      </c>
      <c r="N8" s="252" t="s">
        <v>281</v>
      </c>
      <c r="O8" s="233"/>
      <c r="P8" s="233"/>
      <c r="Q8" s="85">
        <v>1907000</v>
      </c>
      <c r="R8" s="85"/>
      <c r="S8" s="86" t="s">
        <v>161</v>
      </c>
      <c r="T8" s="86" t="s">
        <v>162</v>
      </c>
      <c r="U8" s="86">
        <v>1</v>
      </c>
      <c r="V8" s="86" t="s">
        <v>163</v>
      </c>
      <c r="W8" s="86" t="s">
        <v>162</v>
      </c>
      <c r="X8" s="253">
        <v>10</v>
      </c>
      <c r="Y8" s="86" t="s">
        <v>29</v>
      </c>
      <c r="Z8" s="86" t="s">
        <v>164</v>
      </c>
      <c r="AA8" s="333" t="s">
        <v>254</v>
      </c>
      <c r="AB8" s="84"/>
      <c r="AC8" s="84">
        <f t="shared" ref="AC8" si="0">Q8*U8*X8</f>
        <v>19070000</v>
      </c>
      <c r="AD8" s="64" t="s">
        <v>25</v>
      </c>
      <c r="AE8" s="1"/>
      <c r="AF8" s="14">
        <f>AC8+AC9+AC13+AC14+AC20+AC21+AC24+AC32+AC36+AC37+AC39+AC40+AC42+AC43+AC45+AC46+AC66+AC67+AC71+AC73+AC78+AC79+AC80+AC81+AC91+AC105+AC110+AC117+AC124+AC128+AC167+AC175+AC72</f>
        <v>50467597</v>
      </c>
      <c r="AG8" s="363">
        <f>AF7-AF8</f>
        <v>0</v>
      </c>
    </row>
    <row r="9" spans="1:33" s="12" customFormat="1" ht="21" customHeight="1">
      <c r="A9" s="51"/>
      <c r="B9" s="340"/>
      <c r="C9" s="340"/>
      <c r="D9" s="251"/>
      <c r="E9" s="251"/>
      <c r="F9" s="251"/>
      <c r="G9" s="251"/>
      <c r="H9" s="251"/>
      <c r="I9" s="251"/>
      <c r="J9" s="251"/>
      <c r="K9" s="133"/>
      <c r="L9" s="87"/>
      <c r="M9" s="85"/>
      <c r="N9" s="252" t="s">
        <v>282</v>
      </c>
      <c r="O9" s="345"/>
      <c r="P9" s="345"/>
      <c r="Q9" s="85">
        <v>1943000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3">
        <v>2</v>
      </c>
      <c r="Y9" s="86" t="s">
        <v>29</v>
      </c>
      <c r="Z9" s="86" t="s">
        <v>27</v>
      </c>
      <c r="AA9" s="345" t="s">
        <v>273</v>
      </c>
      <c r="AB9" s="84"/>
      <c r="AC9" s="84">
        <f t="shared" ref="AC9" si="1">Q9*U9*X9</f>
        <v>3886000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2"/>
      <c r="O10" s="233"/>
      <c r="P10" s="233"/>
      <c r="Q10" s="85"/>
      <c r="R10" s="85"/>
      <c r="S10" s="86"/>
      <c r="T10" s="86"/>
      <c r="U10" s="86"/>
      <c r="V10" s="86"/>
      <c r="W10" s="86"/>
      <c r="X10" s="253"/>
      <c r="Y10" s="86"/>
      <c r="Z10" s="86"/>
      <c r="AA10" s="333"/>
      <c r="AB10" s="84"/>
      <c r="AC10" s="84"/>
      <c r="AD10" s="64"/>
      <c r="AE10" s="1"/>
      <c r="AF10" s="363">
        <f>세입!AE12</f>
        <v>8512920</v>
      </c>
    </row>
    <row r="11" spans="1:33" s="12" customFormat="1" ht="21" customHeight="1">
      <c r="A11" s="51"/>
      <c r="B11" s="52"/>
      <c r="C11" s="42" t="s">
        <v>34</v>
      </c>
      <c r="D11" s="138">
        <v>7605</v>
      </c>
      <c r="E11" s="138">
        <f>SUM(F11:J11)</f>
        <v>7605.4</v>
      </c>
      <c r="F11" s="138">
        <f>SUM(명절휴가비,AC16,AC19)/1000</f>
        <v>6405.4</v>
      </c>
      <c r="G11" s="138">
        <f>SUM(AC23)/1000</f>
        <v>1200</v>
      </c>
      <c r="H11" s="138">
        <v>0</v>
      </c>
      <c r="I11" s="138">
        <v>0</v>
      </c>
      <c r="J11" s="138">
        <f>0</f>
        <v>0</v>
      </c>
      <c r="K11" s="137">
        <f>E11-D11</f>
        <v>0.3999999999996362</v>
      </c>
      <c r="L11" s="145">
        <f>IF(D11=0,0,K11/D11)</f>
        <v>5.2596975673850911E-5</v>
      </c>
      <c r="M11" s="121" t="s">
        <v>35</v>
      </c>
      <c r="N11" s="199"/>
      <c r="O11" s="117"/>
      <c r="P11" s="117"/>
      <c r="Q11" s="117"/>
      <c r="R11" s="222"/>
      <c r="S11" s="110"/>
      <c r="T11" s="110"/>
      <c r="U11" s="110"/>
      <c r="V11" s="200" t="s">
        <v>126</v>
      </c>
      <c r="W11" s="200"/>
      <c r="X11" s="200"/>
      <c r="Y11" s="200"/>
      <c r="Z11" s="200"/>
      <c r="AA11" s="200"/>
      <c r="AB11" s="202"/>
      <c r="AC11" s="202">
        <f>SUM(명절휴가비,연장근로수당,AC16,AC23)</f>
        <v>7605400</v>
      </c>
      <c r="AD11" s="201" t="s">
        <v>57</v>
      </c>
      <c r="AE11" s="1"/>
      <c r="AF11" s="363">
        <f>AC53+AC68+AC74+AC75+AC100+AC101+AC111+AC121+AC125+AC134+AC135+AC139+AC142+AC148+AC149+AC151+AC152+AC58+AC157+AC160+AC92+AC145+AC114+AC129+AC153+AC85+AC82+AC83+AC84+AC88+AC163+AC164+AC27</f>
        <v>8512920</v>
      </c>
      <c r="AG11" s="363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2" t="s">
        <v>253</v>
      </c>
      <c r="N12" s="151"/>
      <c r="O12" s="151"/>
      <c r="P12" s="151"/>
      <c r="Q12" s="151"/>
      <c r="R12" s="276"/>
      <c r="S12" s="150"/>
      <c r="T12" s="150"/>
      <c r="U12" s="150"/>
      <c r="V12" s="159" t="s">
        <v>72</v>
      </c>
      <c r="W12" s="159"/>
      <c r="X12" s="159"/>
      <c r="Y12" s="159"/>
      <c r="Z12" s="159"/>
      <c r="AA12" s="159"/>
      <c r="AB12" s="89" t="s">
        <v>90</v>
      </c>
      <c r="AC12" s="89">
        <f>SUM(AC13:AC14)</f>
        <v>2288400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58" t="s">
        <v>203</v>
      </c>
      <c r="N13" s="271" t="str">
        <f>N8</f>
        <v>3호</v>
      </c>
      <c r="O13" s="151"/>
      <c r="P13" s="151"/>
      <c r="Q13" s="85">
        <f>Q8</f>
        <v>1907000</v>
      </c>
      <c r="R13" s="85"/>
      <c r="S13" s="86" t="s">
        <v>161</v>
      </c>
      <c r="T13" s="86" t="s">
        <v>162</v>
      </c>
      <c r="U13" s="254">
        <v>1</v>
      </c>
      <c r="V13" s="86" t="s">
        <v>162</v>
      </c>
      <c r="W13" s="255">
        <v>0.6</v>
      </c>
      <c r="X13" s="256">
        <v>1</v>
      </c>
      <c r="Y13" s="257" t="s">
        <v>166</v>
      </c>
      <c r="Z13" s="86" t="s">
        <v>164</v>
      </c>
      <c r="AA13" s="333" t="s">
        <v>254</v>
      </c>
      <c r="AB13" s="84"/>
      <c r="AC13" s="84">
        <f t="shared" ref="AC13" si="2">Q13*U13*W13*X13</f>
        <v>1144200</v>
      </c>
      <c r="AD13" s="64" t="s">
        <v>161</v>
      </c>
      <c r="AE13" s="18"/>
      <c r="AF13" s="363">
        <f>세입!AE14</f>
        <v>2263902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25" t="s">
        <v>249</v>
      </c>
      <c r="N14" s="271" t="str">
        <f>N8</f>
        <v>3호</v>
      </c>
      <c r="O14" s="151"/>
      <c r="P14" s="151"/>
      <c r="Q14" s="85">
        <f>Q8</f>
        <v>1907000</v>
      </c>
      <c r="R14" s="85"/>
      <c r="S14" s="86" t="s">
        <v>161</v>
      </c>
      <c r="T14" s="86" t="s">
        <v>162</v>
      </c>
      <c r="U14" s="254">
        <v>1</v>
      </c>
      <c r="V14" s="86" t="s">
        <v>162</v>
      </c>
      <c r="W14" s="255">
        <v>0.6</v>
      </c>
      <c r="X14" s="256">
        <v>1</v>
      </c>
      <c r="Y14" s="257" t="s">
        <v>29</v>
      </c>
      <c r="Z14" s="86" t="s">
        <v>164</v>
      </c>
      <c r="AA14" s="333" t="s">
        <v>254</v>
      </c>
      <c r="AB14" s="84"/>
      <c r="AC14" s="84">
        <f>Q14*U14*W14*X14</f>
        <v>1144200</v>
      </c>
      <c r="AD14" s="64" t="s">
        <v>161</v>
      </c>
      <c r="AE14" s="18"/>
      <c r="AF14" s="14">
        <f>AC113+AC118+AC62+AC112+AC150+AC69+AC122+AC76</f>
        <v>2263902</v>
      </c>
      <c r="AG14" s="363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67"/>
      <c r="N15" s="271"/>
      <c r="O15" s="267"/>
      <c r="P15" s="267"/>
      <c r="Q15" s="85"/>
      <c r="R15" s="85"/>
      <c r="S15" s="86"/>
      <c r="T15" s="86"/>
      <c r="U15" s="254"/>
      <c r="V15" s="86"/>
      <c r="W15" s="255"/>
      <c r="X15" s="256"/>
      <c r="Y15" s="257"/>
      <c r="Z15" s="86"/>
      <c r="AA15" s="266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3" t="s">
        <v>201</v>
      </c>
      <c r="N16" s="271"/>
      <c r="O16" s="267"/>
      <c r="P16" s="267"/>
      <c r="Q16" s="85"/>
      <c r="R16" s="85"/>
      <c r="S16" s="86"/>
      <c r="T16" s="86"/>
      <c r="U16" s="254"/>
      <c r="V16" s="262" t="s">
        <v>72</v>
      </c>
      <c r="W16" s="262"/>
      <c r="X16" s="262"/>
      <c r="Y16" s="262"/>
      <c r="Z16" s="262"/>
      <c r="AA16" s="262"/>
      <c r="AB16" s="89" t="s">
        <v>62</v>
      </c>
      <c r="AC16" s="89">
        <f>SUM(AC17:AC17)</f>
        <v>0</v>
      </c>
      <c r="AD16" s="90" t="s">
        <v>57</v>
      </c>
      <c r="AE16" s="18"/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299" t="s">
        <v>226</v>
      </c>
      <c r="N17" s="271"/>
      <c r="O17" s="267"/>
      <c r="P17" s="267"/>
      <c r="Q17" s="85">
        <v>0</v>
      </c>
      <c r="R17" s="85"/>
      <c r="S17" s="86" t="s">
        <v>204</v>
      </c>
      <c r="T17" s="86"/>
      <c r="U17" s="254"/>
      <c r="V17" s="86"/>
      <c r="W17" s="255"/>
      <c r="X17" s="256">
        <v>12</v>
      </c>
      <c r="Y17" s="257" t="s">
        <v>205</v>
      </c>
      <c r="Z17" s="86"/>
      <c r="AA17" s="266"/>
      <c r="AB17" s="84"/>
      <c r="AC17" s="84">
        <f>Q17*X17</f>
        <v>0</v>
      </c>
      <c r="AD17" s="64" t="s">
        <v>206</v>
      </c>
      <c r="AE17" s="18"/>
    </row>
    <row r="18" spans="1:33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6"/>
      <c r="N18" s="151"/>
      <c r="O18" s="151"/>
      <c r="P18" s="151"/>
      <c r="Q18" s="151"/>
      <c r="R18" s="276"/>
      <c r="S18" s="150"/>
      <c r="T18" s="150"/>
      <c r="U18" s="150"/>
      <c r="V18" s="150"/>
      <c r="W18" s="150"/>
      <c r="X18" s="150"/>
      <c r="Y18" s="150"/>
      <c r="Z18" s="150"/>
      <c r="AA18" s="150"/>
      <c r="AB18" s="84"/>
      <c r="AC18" s="84"/>
      <c r="AD18" s="64"/>
      <c r="AE18" s="18"/>
      <c r="AF18" s="505"/>
      <c r="AG18" s="505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18" t="s">
        <v>231</v>
      </c>
      <c r="N19" s="151"/>
      <c r="O19" s="151"/>
      <c r="P19" s="151"/>
      <c r="Q19" s="151"/>
      <c r="R19" s="276"/>
      <c r="S19" s="150"/>
      <c r="T19" s="150"/>
      <c r="U19" s="150"/>
      <c r="V19" s="159" t="s">
        <v>72</v>
      </c>
      <c r="W19" s="159"/>
      <c r="X19" s="159"/>
      <c r="Y19" s="159"/>
      <c r="Z19" s="159"/>
      <c r="AA19" s="159"/>
      <c r="AB19" s="89" t="s">
        <v>90</v>
      </c>
      <c r="AC19" s="89">
        <f>SUM(AC20:AC21)</f>
        <v>4117000</v>
      </c>
      <c r="AD19" s="90" t="s">
        <v>57</v>
      </c>
      <c r="AE19" s="18"/>
      <c r="AF19" s="505"/>
      <c r="AG19" s="505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6"/>
      <c r="N20" s="271" t="str">
        <f>N8</f>
        <v>3호</v>
      </c>
      <c r="O20" s="233"/>
      <c r="P20" s="233"/>
      <c r="Q20" s="85">
        <f>Q8</f>
        <v>1907000</v>
      </c>
      <c r="R20" s="86" t="s">
        <v>57</v>
      </c>
      <c r="S20" s="86" t="s">
        <v>58</v>
      </c>
      <c r="T20" s="245">
        <v>25</v>
      </c>
      <c r="U20" s="91" t="s">
        <v>58</v>
      </c>
      <c r="V20" s="246">
        <f>X8</f>
        <v>10</v>
      </c>
      <c r="W20" s="247">
        <v>1.5</v>
      </c>
      <c r="X20" s="231" t="s">
        <v>73</v>
      </c>
      <c r="Y20" s="231">
        <v>209</v>
      </c>
      <c r="Z20" s="231" t="s">
        <v>53</v>
      </c>
      <c r="AA20" s="333" t="s">
        <v>254</v>
      </c>
      <c r="AB20" s="84"/>
      <c r="AC20" s="84">
        <f>ROUNDDOWN((Q20*W20/Y20),-1)*25*V20</f>
        <v>3420000</v>
      </c>
      <c r="AD20" s="64" t="s">
        <v>57</v>
      </c>
      <c r="AE20" s="18"/>
      <c r="AF20" s="505"/>
      <c r="AG20" s="505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6"/>
      <c r="N21" s="271">
        <v>4</v>
      </c>
      <c r="O21" s="217"/>
      <c r="P21" s="217"/>
      <c r="Q21" s="85">
        <f>Q9</f>
        <v>1943000</v>
      </c>
      <c r="R21" s="86" t="s">
        <v>57</v>
      </c>
      <c r="S21" s="86" t="s">
        <v>58</v>
      </c>
      <c r="T21" s="245">
        <v>25</v>
      </c>
      <c r="U21" s="91" t="s">
        <v>58</v>
      </c>
      <c r="V21" s="246">
        <f>X9</f>
        <v>2</v>
      </c>
      <c r="W21" s="247">
        <v>1.5</v>
      </c>
      <c r="X21" s="231" t="s">
        <v>73</v>
      </c>
      <c r="Y21" s="231">
        <v>209</v>
      </c>
      <c r="Z21" s="231" t="s">
        <v>53</v>
      </c>
      <c r="AA21" s="333" t="s">
        <v>254</v>
      </c>
      <c r="AB21" s="84"/>
      <c r="AC21" s="84">
        <f>ROUNDDOWN((Q21*W21/Y21),-1)*25*V21</f>
        <v>697000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6"/>
      <c r="N22" s="56"/>
      <c r="O22" s="56"/>
      <c r="P22" s="56"/>
      <c r="Q22" s="85"/>
      <c r="R22" s="276"/>
      <c r="S22" s="57"/>
      <c r="T22" s="245"/>
      <c r="U22" s="91"/>
      <c r="V22" s="246"/>
      <c r="W22" s="247"/>
      <c r="X22" s="231"/>
      <c r="Y22" s="57"/>
      <c r="Z22" s="57"/>
      <c r="AA22" s="57"/>
      <c r="AB22" s="84"/>
      <c r="AC22" s="84"/>
      <c r="AD22" s="64"/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3" t="s">
        <v>202</v>
      </c>
      <c r="N23" s="56"/>
      <c r="O23" s="56"/>
      <c r="P23" s="56"/>
      <c r="Q23" s="56"/>
      <c r="R23" s="276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SUM(AC24)</f>
        <v>1200000</v>
      </c>
      <c r="AD23" s="90" t="s">
        <v>92</v>
      </c>
      <c r="AE23" s="18"/>
    </row>
    <row r="24" spans="1:33" s="12" customFormat="1" ht="21" customHeight="1">
      <c r="A24" s="51"/>
      <c r="B24" s="317"/>
      <c r="C24" s="317"/>
      <c r="D24" s="133"/>
      <c r="E24" s="133"/>
      <c r="F24" s="133"/>
      <c r="G24" s="133"/>
      <c r="H24" s="133"/>
      <c r="I24" s="133"/>
      <c r="J24" s="133"/>
      <c r="K24" s="133"/>
      <c r="L24" s="87"/>
      <c r="M24" s="319"/>
      <c r="N24" s="319"/>
      <c r="O24" s="319"/>
      <c r="P24" s="319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3">
        <v>12</v>
      </c>
      <c r="Y24" s="86" t="s">
        <v>29</v>
      </c>
      <c r="Z24" s="86" t="s">
        <v>53</v>
      </c>
      <c r="AA24" s="333" t="s">
        <v>254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3" s="12" customFormat="1" ht="21" customHeight="1">
      <c r="A25" s="51"/>
      <c r="B25" s="340"/>
      <c r="C25" s="340"/>
      <c r="D25" s="133"/>
      <c r="E25" s="133"/>
      <c r="F25" s="133"/>
      <c r="G25" s="133"/>
      <c r="H25" s="133"/>
      <c r="I25" s="133"/>
      <c r="J25" s="133"/>
      <c r="K25" s="133"/>
      <c r="L25" s="87"/>
      <c r="M25" s="504"/>
      <c r="N25" s="504"/>
      <c r="O25" s="504"/>
      <c r="P25" s="504"/>
      <c r="Q25" s="85"/>
      <c r="R25" s="85"/>
      <c r="S25" s="86"/>
      <c r="T25" s="86"/>
      <c r="U25" s="86"/>
      <c r="V25" s="86"/>
      <c r="W25" s="86"/>
      <c r="X25" s="253"/>
      <c r="Y25" s="86"/>
      <c r="Z25" s="86"/>
      <c r="AA25" s="503"/>
      <c r="AB25" s="84"/>
      <c r="AC25" s="84"/>
      <c r="AD25" s="64"/>
      <c r="AE25" s="18"/>
    </row>
    <row r="26" spans="1:33" s="12" customFormat="1" ht="21" customHeight="1">
      <c r="A26" s="51"/>
      <c r="B26" s="340"/>
      <c r="C26" s="340"/>
      <c r="D26" s="133"/>
      <c r="E26" s="133"/>
      <c r="F26" s="133"/>
      <c r="G26" s="133"/>
      <c r="H26" s="133"/>
      <c r="I26" s="133"/>
      <c r="J26" s="133"/>
      <c r="K26" s="133"/>
      <c r="L26" s="87"/>
      <c r="M26" s="504"/>
      <c r="N26" s="504"/>
      <c r="O26" s="504"/>
      <c r="P26" s="504"/>
      <c r="Q26" s="85"/>
      <c r="R26" s="85"/>
      <c r="S26" s="86"/>
      <c r="T26" s="86"/>
      <c r="U26" s="86"/>
      <c r="V26" s="86"/>
      <c r="W26" s="86"/>
      <c r="X26" s="253"/>
      <c r="Y26" s="86"/>
      <c r="Z26" s="86"/>
      <c r="AA26" s="503"/>
      <c r="AB26" s="84"/>
      <c r="AC26" s="84"/>
      <c r="AD26" s="64"/>
      <c r="AE26" s="18"/>
    </row>
    <row r="27" spans="1:33" s="12" customFormat="1" ht="21" customHeight="1">
      <c r="A27" s="51"/>
      <c r="B27" s="340"/>
      <c r="C27" s="339" t="s">
        <v>452</v>
      </c>
      <c r="D27" s="138">
        <v>0</v>
      </c>
      <c r="E27" s="138">
        <f>SUM(F27:J27)</f>
        <v>710</v>
      </c>
      <c r="F27" s="138"/>
      <c r="G27" s="138">
        <v>0</v>
      </c>
      <c r="H27" s="138">
        <f>AC27/1000</f>
        <v>710</v>
      </c>
      <c r="I27" s="138">
        <v>0</v>
      </c>
      <c r="J27" s="138"/>
      <c r="K27" s="137">
        <f>E27-D27</f>
        <v>710</v>
      </c>
      <c r="L27" s="145">
        <f>IF(D27=0,0,K27/D27)</f>
        <v>0</v>
      </c>
      <c r="M27" s="121" t="s">
        <v>453</v>
      </c>
      <c r="N27" s="502"/>
      <c r="O27" s="222"/>
      <c r="P27" s="222"/>
      <c r="Q27" s="222"/>
      <c r="R27" s="222"/>
      <c r="S27" s="221"/>
      <c r="T27" s="221"/>
      <c r="U27" s="221"/>
      <c r="V27" s="501" t="s">
        <v>72</v>
      </c>
      <c r="W27" s="501"/>
      <c r="X27" s="501"/>
      <c r="Y27" s="501"/>
      <c r="Z27" s="501"/>
      <c r="AA27" s="501"/>
      <c r="AB27" s="202" t="s">
        <v>62</v>
      </c>
      <c r="AC27" s="202">
        <f>AC28+AC29</f>
        <v>710000</v>
      </c>
      <c r="AD27" s="201" t="s">
        <v>57</v>
      </c>
      <c r="AE27" s="18"/>
    </row>
    <row r="28" spans="1:33" s="12" customFormat="1" ht="21" customHeight="1">
      <c r="A28" s="51"/>
      <c r="B28" s="340"/>
      <c r="C28" s="340"/>
      <c r="D28" s="133"/>
      <c r="E28" s="133"/>
      <c r="F28" s="133"/>
      <c r="G28" s="133"/>
      <c r="H28" s="133"/>
      <c r="I28" s="133"/>
      <c r="J28" s="133"/>
      <c r="K28" s="139"/>
      <c r="L28" s="87"/>
      <c r="M28" s="504" t="s">
        <v>454</v>
      </c>
      <c r="N28" s="504"/>
      <c r="O28" s="504"/>
      <c r="P28" s="504"/>
      <c r="Q28" s="503">
        <v>200000</v>
      </c>
      <c r="R28" s="503"/>
      <c r="S28" s="231" t="s">
        <v>57</v>
      </c>
      <c r="T28" s="86" t="s">
        <v>58</v>
      </c>
      <c r="U28" s="94">
        <v>4</v>
      </c>
      <c r="V28" s="91" t="s">
        <v>0</v>
      </c>
      <c r="W28" s="503"/>
      <c r="X28" s="503"/>
      <c r="Y28" s="503"/>
      <c r="Z28" s="503" t="s">
        <v>53</v>
      </c>
      <c r="AA28" s="503" t="s">
        <v>110</v>
      </c>
      <c r="AB28" s="84"/>
      <c r="AC28" s="84">
        <v>600000</v>
      </c>
      <c r="AD28" s="64" t="s">
        <v>57</v>
      </c>
      <c r="AE28" s="18"/>
    </row>
    <row r="29" spans="1:33" s="12" customFormat="1" ht="21" customHeight="1">
      <c r="A29" s="51"/>
      <c r="B29" s="52"/>
      <c r="C29" s="340"/>
      <c r="D29" s="133"/>
      <c r="E29" s="133"/>
      <c r="F29" s="133"/>
      <c r="G29" s="133"/>
      <c r="H29" s="133"/>
      <c r="I29" s="133"/>
      <c r="J29" s="133"/>
      <c r="K29" s="139"/>
      <c r="L29" s="87"/>
      <c r="M29" s="504"/>
      <c r="N29" s="504"/>
      <c r="O29" s="504"/>
      <c r="P29" s="504"/>
      <c r="Q29" s="503">
        <v>110000</v>
      </c>
      <c r="R29" s="503"/>
      <c r="S29" s="231" t="s">
        <v>57</v>
      </c>
      <c r="T29" s="86" t="s">
        <v>58</v>
      </c>
      <c r="U29" s="94">
        <v>1</v>
      </c>
      <c r="V29" s="91" t="s">
        <v>0</v>
      </c>
      <c r="W29" s="503"/>
      <c r="X29" s="503"/>
      <c r="Y29" s="503"/>
      <c r="Z29" s="503" t="s">
        <v>53</v>
      </c>
      <c r="AA29" s="503" t="s">
        <v>110</v>
      </c>
      <c r="AB29" s="84"/>
      <c r="AC29" s="84">
        <f>Q29*U29</f>
        <v>110000</v>
      </c>
      <c r="AD29" s="64" t="s">
        <v>57</v>
      </c>
      <c r="AE29" s="18"/>
    </row>
    <row r="30" spans="1:33" s="12" customFormat="1" ht="21" customHeight="1">
      <c r="A30" s="51"/>
      <c r="B30" s="52"/>
      <c r="C30" s="340"/>
      <c r="D30" s="133"/>
      <c r="E30" s="133"/>
      <c r="F30" s="133"/>
      <c r="G30" s="133"/>
      <c r="H30" s="133"/>
      <c r="I30" s="133"/>
      <c r="J30" s="133"/>
      <c r="K30" s="139"/>
      <c r="L30" s="87"/>
      <c r="M30" s="218"/>
      <c r="N30" s="218"/>
      <c r="O30" s="218"/>
      <c r="P30" s="218"/>
      <c r="Q30" s="218"/>
      <c r="R30" s="218"/>
      <c r="S30" s="217"/>
      <c r="T30" s="217"/>
      <c r="U30" s="217"/>
      <c r="V30" s="217"/>
      <c r="W30" s="217"/>
      <c r="X30" s="217"/>
      <c r="Y30" s="217"/>
      <c r="Z30" s="217"/>
      <c r="AA30" s="217"/>
      <c r="AB30" s="58"/>
      <c r="AC30" s="58"/>
      <c r="AD30" s="40"/>
      <c r="AE30" s="18"/>
    </row>
    <row r="31" spans="1:33" s="12" customFormat="1" ht="21" customHeight="1">
      <c r="A31" s="51"/>
      <c r="B31" s="52"/>
      <c r="C31" s="42" t="s">
        <v>9</v>
      </c>
      <c r="D31" s="138">
        <v>2547</v>
      </c>
      <c r="E31" s="138">
        <f>SUM(F31:J31)</f>
        <v>2546.7800000000002</v>
      </c>
      <c r="F31" s="138">
        <f>AC32/1000</f>
        <v>2546.7800000000002</v>
      </c>
      <c r="G31" s="138">
        <v>0</v>
      </c>
      <c r="H31" s="138">
        <v>0</v>
      </c>
      <c r="I31" s="138">
        <v>0</v>
      </c>
      <c r="J31" s="138">
        <f>AC33/1000</f>
        <v>0</v>
      </c>
      <c r="K31" s="137">
        <f>E31-D31</f>
        <v>-0.21999999999979991</v>
      </c>
      <c r="L31" s="145">
        <f>IF(D31=0,0,K31/D31)</f>
        <v>-8.6376128778877076E-5</v>
      </c>
      <c r="M31" s="121" t="s">
        <v>36</v>
      </c>
      <c r="N31" s="199"/>
      <c r="O31" s="185"/>
      <c r="P31" s="117"/>
      <c r="Q31" s="117"/>
      <c r="R31" s="222"/>
      <c r="S31" s="110"/>
      <c r="T31" s="110"/>
      <c r="U31" s="110"/>
      <c r="V31" s="264" t="s">
        <v>195</v>
      </c>
      <c r="W31" s="264"/>
      <c r="X31" s="264"/>
      <c r="Y31" s="264"/>
      <c r="Z31" s="264"/>
      <c r="AA31" s="264"/>
      <c r="AB31" s="202" t="s">
        <v>196</v>
      </c>
      <c r="AC31" s="202">
        <f>AC32+AC33</f>
        <v>2546780</v>
      </c>
      <c r="AD31" s="201" t="s">
        <v>197</v>
      </c>
      <c r="AE31" s="2"/>
    </row>
    <row r="32" spans="1:33" s="12" customFormat="1" ht="21" customHeight="1">
      <c r="A32" s="51"/>
      <c r="B32" s="52"/>
      <c r="C32" s="52"/>
      <c r="D32" s="133"/>
      <c r="E32" s="133"/>
      <c r="F32" s="133"/>
      <c r="G32" s="133"/>
      <c r="H32" s="133"/>
      <c r="I32" s="133"/>
      <c r="J32" s="133"/>
      <c r="K32" s="139"/>
      <c r="L32" s="87"/>
      <c r="M32" s="267" t="s">
        <v>207</v>
      </c>
      <c r="N32" s="56"/>
      <c r="O32" s="56"/>
      <c r="P32" s="56"/>
      <c r="Q32" s="173">
        <f>AC7+명절휴가비+AC16+AC23+AC19</f>
        <v>30561400</v>
      </c>
      <c r="R32" s="275"/>
      <c r="S32" s="111" t="s">
        <v>57</v>
      </c>
      <c r="T32" s="111" t="s">
        <v>73</v>
      </c>
      <c r="U32" s="94">
        <v>12</v>
      </c>
      <c r="V32" s="91" t="s">
        <v>0</v>
      </c>
      <c r="W32" s="150"/>
      <c r="X32" s="150"/>
      <c r="Y32" s="150"/>
      <c r="Z32" s="150" t="s">
        <v>74</v>
      </c>
      <c r="AA32" s="333" t="s">
        <v>254</v>
      </c>
      <c r="AB32" s="84"/>
      <c r="AC32" s="84">
        <v>2546780</v>
      </c>
      <c r="AD32" s="64" t="s">
        <v>67</v>
      </c>
      <c r="AE32" s="2"/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9"/>
      <c r="L33" s="87"/>
      <c r="M33" s="267"/>
      <c r="N33" s="267"/>
      <c r="O33" s="267"/>
      <c r="P33" s="267"/>
      <c r="Q33" s="266"/>
      <c r="R33" s="275"/>
      <c r="S33" s="231"/>
      <c r="T33" s="231"/>
      <c r="U33" s="94"/>
      <c r="V33" s="91"/>
      <c r="W33" s="266"/>
      <c r="X33" s="266"/>
      <c r="Y33" s="266"/>
      <c r="Z33" s="266"/>
      <c r="AA33" s="266"/>
      <c r="AB33" s="84"/>
      <c r="AC33" s="84"/>
      <c r="AD33" s="64"/>
      <c r="AE33" s="2"/>
    </row>
    <row r="34" spans="1:31" s="12" customFormat="1" ht="21" customHeight="1">
      <c r="A34" s="51"/>
      <c r="B34" s="52"/>
      <c r="C34" s="52"/>
      <c r="D34" s="133"/>
      <c r="E34" s="133"/>
      <c r="F34" s="133"/>
      <c r="G34" s="133"/>
      <c r="H34" s="133"/>
      <c r="I34" s="133"/>
      <c r="J34" s="133"/>
      <c r="K34" s="139"/>
      <c r="L34" s="87"/>
      <c r="M34" s="38"/>
      <c r="N34" s="38"/>
      <c r="O34" s="38"/>
      <c r="P34" s="38"/>
      <c r="Q34" s="38"/>
      <c r="R34" s="218"/>
      <c r="S34" s="39"/>
      <c r="T34" s="39"/>
      <c r="U34" s="39"/>
      <c r="V34" s="39"/>
      <c r="W34" s="39"/>
      <c r="X34" s="39"/>
      <c r="Y34" s="39"/>
      <c r="Z34" s="39"/>
      <c r="AA34" s="39"/>
      <c r="AB34" s="58"/>
      <c r="AC34" s="58"/>
      <c r="AD34" s="40"/>
      <c r="AE34" s="2"/>
    </row>
    <row r="35" spans="1:31" s="12" customFormat="1" ht="21" customHeight="1">
      <c r="A35" s="51"/>
      <c r="B35" s="52"/>
      <c r="C35" s="147" t="s">
        <v>94</v>
      </c>
      <c r="D35" s="138">
        <v>2877</v>
      </c>
      <c r="E35" s="138">
        <f>SUM(F35:J35)</f>
        <v>2552.2800000000002</v>
      </c>
      <c r="F35" s="138">
        <f>AC35/1000</f>
        <v>2552.2800000000002</v>
      </c>
      <c r="G35" s="138">
        <v>0</v>
      </c>
      <c r="H35" s="138">
        <v>0</v>
      </c>
      <c r="I35" s="138">
        <v>0</v>
      </c>
      <c r="J35" s="138">
        <v>0</v>
      </c>
      <c r="K35" s="148">
        <f>E35-D35</f>
        <v>-324.7199999999998</v>
      </c>
      <c r="L35" s="145">
        <f>IF(D35=0,0,K35/D35)</f>
        <v>-0.11286757038581849</v>
      </c>
      <c r="M35" s="121" t="s">
        <v>37</v>
      </c>
      <c r="N35" s="199"/>
      <c r="O35" s="117"/>
      <c r="P35" s="117"/>
      <c r="Q35" s="117"/>
      <c r="R35" s="222"/>
      <c r="S35" s="110"/>
      <c r="T35" s="110"/>
      <c r="U35" s="110"/>
      <c r="V35" s="200" t="s">
        <v>126</v>
      </c>
      <c r="W35" s="200"/>
      <c r="X35" s="200"/>
      <c r="Y35" s="288" t="s">
        <v>217</v>
      </c>
      <c r="Z35" s="200"/>
      <c r="AA35" s="200"/>
      <c r="AB35" s="202"/>
      <c r="AC35" s="202">
        <f>SUM(AC36:AC46)</f>
        <v>2552280</v>
      </c>
      <c r="AD35" s="201" t="s">
        <v>25</v>
      </c>
    </row>
    <row r="36" spans="1:31" s="12" customFormat="1" ht="21" customHeight="1">
      <c r="A36" s="51"/>
      <c r="B36" s="52"/>
      <c r="C36" s="293"/>
      <c r="D36" s="251"/>
      <c r="E36" s="251"/>
      <c r="F36" s="251"/>
      <c r="G36" s="251"/>
      <c r="H36" s="251"/>
      <c r="I36" s="251"/>
      <c r="J36" s="251"/>
      <c r="K36" s="294"/>
      <c r="L36" s="87"/>
      <c r="M36" s="290" t="s">
        <v>168</v>
      </c>
      <c r="N36" s="218"/>
      <c r="O36" s="218"/>
      <c r="P36" s="218"/>
      <c r="Q36" s="289">
        <v>100480</v>
      </c>
      <c r="R36" s="289"/>
      <c r="S36" s="231" t="s">
        <v>57</v>
      </c>
      <c r="T36" s="231" t="s">
        <v>26</v>
      </c>
      <c r="U36" s="521">
        <v>6</v>
      </c>
      <c r="V36" s="86" t="s">
        <v>450</v>
      </c>
      <c r="W36" s="287"/>
      <c r="X36" s="295"/>
      <c r="Y36" s="93"/>
      <c r="Z36" s="231" t="s">
        <v>53</v>
      </c>
      <c r="AA36" s="333" t="s">
        <v>254</v>
      </c>
      <c r="AB36" s="84"/>
      <c r="AC36" s="84">
        <f>Q36*U36</f>
        <v>602880</v>
      </c>
      <c r="AD36" s="64" t="s">
        <v>57</v>
      </c>
    </row>
    <row r="37" spans="1:31" s="12" customFormat="1" ht="21" customHeight="1">
      <c r="A37" s="51"/>
      <c r="B37" s="52"/>
      <c r="C37" s="52"/>
      <c r="D37" s="133"/>
      <c r="E37" s="133"/>
      <c r="F37" s="133"/>
      <c r="G37" s="133"/>
      <c r="H37" s="133"/>
      <c r="I37" s="133"/>
      <c r="J37" s="133"/>
      <c r="K37" s="133"/>
      <c r="L37" s="87"/>
      <c r="M37" s="299"/>
      <c r="N37" s="151"/>
      <c r="O37" s="151"/>
      <c r="P37" s="151"/>
      <c r="Q37" s="298">
        <v>98230</v>
      </c>
      <c r="R37" s="289"/>
      <c r="S37" s="231" t="s">
        <v>57</v>
      </c>
      <c r="T37" s="231" t="s">
        <v>26</v>
      </c>
      <c r="U37" s="521">
        <v>6</v>
      </c>
      <c r="V37" s="86" t="s">
        <v>450</v>
      </c>
      <c r="W37" s="287"/>
      <c r="X37" s="295"/>
      <c r="Y37" s="93"/>
      <c r="Z37" s="216" t="s">
        <v>53</v>
      </c>
      <c r="AA37" s="333" t="s">
        <v>254</v>
      </c>
      <c r="AB37" s="84"/>
      <c r="AC37" s="84">
        <f>Q37*U37</f>
        <v>589380</v>
      </c>
      <c r="AD37" s="64" t="s">
        <v>67</v>
      </c>
      <c r="AE37" s="2"/>
    </row>
    <row r="38" spans="1:31" s="12" customFormat="1" ht="21" customHeight="1">
      <c r="A38" s="51"/>
      <c r="B38" s="340"/>
      <c r="C38" s="340"/>
      <c r="D38" s="133"/>
      <c r="E38" s="133"/>
      <c r="F38" s="133"/>
      <c r="G38" s="133"/>
      <c r="H38" s="133"/>
      <c r="I38" s="133"/>
      <c r="J38" s="133"/>
      <c r="K38" s="133"/>
      <c r="L38" s="87"/>
      <c r="M38" s="504"/>
      <c r="N38" s="504"/>
      <c r="O38" s="504"/>
      <c r="P38" s="504"/>
      <c r="Q38" s="503"/>
      <c r="R38" s="503"/>
      <c r="S38" s="231"/>
      <c r="T38" s="231"/>
      <c r="U38" s="521"/>
      <c r="V38" s="86"/>
      <c r="W38" s="287"/>
      <c r="X38" s="295"/>
      <c r="Y38" s="93"/>
      <c r="Z38" s="231"/>
      <c r="AA38" s="503"/>
      <c r="AB38" s="84"/>
      <c r="AC38" s="84"/>
      <c r="AD38" s="64"/>
      <c r="AE38" s="2"/>
    </row>
    <row r="39" spans="1:31" s="12" customFormat="1" ht="21" customHeight="1">
      <c r="A39" s="51"/>
      <c r="B39" s="340"/>
      <c r="C39" s="340"/>
      <c r="D39" s="133"/>
      <c r="E39" s="133"/>
      <c r="F39" s="133"/>
      <c r="G39" s="133"/>
      <c r="H39" s="133"/>
      <c r="I39" s="133"/>
      <c r="J39" s="133"/>
      <c r="K39" s="133"/>
      <c r="L39" s="87"/>
      <c r="M39" s="504" t="s">
        <v>451</v>
      </c>
      <c r="N39" s="504"/>
      <c r="O39" s="504"/>
      <c r="P39" s="504"/>
      <c r="Q39" s="503">
        <v>72210</v>
      </c>
      <c r="R39" s="503"/>
      <c r="S39" s="231" t="s">
        <v>57</v>
      </c>
      <c r="T39" s="231" t="s">
        <v>26</v>
      </c>
      <c r="U39" s="521">
        <v>11</v>
      </c>
      <c r="V39" s="86" t="s">
        <v>450</v>
      </c>
      <c r="W39" s="287"/>
      <c r="X39" s="295"/>
      <c r="Y39" s="93"/>
      <c r="Z39" s="231" t="s">
        <v>53</v>
      </c>
      <c r="AA39" s="503" t="s">
        <v>97</v>
      </c>
      <c r="AB39" s="84"/>
      <c r="AC39" s="84">
        <f>Q39*U39</f>
        <v>794310</v>
      </c>
      <c r="AD39" s="64" t="s">
        <v>57</v>
      </c>
      <c r="AE39" s="2"/>
    </row>
    <row r="40" spans="1:31" s="12" customFormat="1" ht="21" customHeight="1">
      <c r="A40" s="51"/>
      <c r="B40" s="340"/>
      <c r="C40" s="340"/>
      <c r="D40" s="133"/>
      <c r="E40" s="133"/>
      <c r="F40" s="133"/>
      <c r="G40" s="133"/>
      <c r="H40" s="133"/>
      <c r="I40" s="133"/>
      <c r="J40" s="133"/>
      <c r="K40" s="133"/>
      <c r="L40" s="87"/>
      <c r="M40" s="504"/>
      <c r="N40" s="504"/>
      <c r="O40" s="504"/>
      <c r="P40" s="504"/>
      <c r="Q40" s="503">
        <v>78310</v>
      </c>
      <c r="R40" s="503"/>
      <c r="S40" s="231" t="s">
        <v>57</v>
      </c>
      <c r="T40" s="231" t="s">
        <v>26</v>
      </c>
      <c r="U40" s="521">
        <v>1</v>
      </c>
      <c r="V40" s="86" t="s">
        <v>450</v>
      </c>
      <c r="W40" s="287"/>
      <c r="X40" s="295"/>
      <c r="Y40" s="93"/>
      <c r="Z40" s="231" t="s">
        <v>53</v>
      </c>
      <c r="AA40" s="503" t="s">
        <v>97</v>
      </c>
      <c r="AB40" s="84"/>
      <c r="AC40" s="84">
        <f>Q40*U40</f>
        <v>78310</v>
      </c>
      <c r="AD40" s="64" t="s">
        <v>57</v>
      </c>
      <c r="AE40" s="2"/>
    </row>
    <row r="41" spans="1:31" s="12" customFormat="1" ht="21" customHeight="1">
      <c r="A41" s="51"/>
      <c r="B41" s="52"/>
      <c r="C41" s="52"/>
      <c r="D41" s="133"/>
      <c r="E41" s="133"/>
      <c r="F41" s="133"/>
      <c r="G41" s="133"/>
      <c r="H41" s="133"/>
      <c r="I41" s="133"/>
      <c r="J41" s="133"/>
      <c r="K41" s="133"/>
      <c r="L41" s="87"/>
      <c r="M41" s="299"/>
      <c r="N41" s="290"/>
      <c r="O41" s="290"/>
      <c r="P41" s="290"/>
      <c r="Q41" s="298"/>
      <c r="R41" s="289"/>
      <c r="S41" s="231"/>
      <c r="T41" s="231"/>
      <c r="U41" s="521"/>
      <c r="V41" s="86"/>
      <c r="W41" s="287"/>
      <c r="X41" s="295"/>
      <c r="Y41" s="93"/>
      <c r="Z41" s="231"/>
      <c r="AA41" s="333"/>
      <c r="AB41" s="84"/>
      <c r="AC41" s="84"/>
      <c r="AD41" s="64"/>
      <c r="AE41" s="2"/>
    </row>
    <row r="42" spans="1:31" s="12" customFormat="1" ht="21" customHeight="1">
      <c r="A42" s="51"/>
      <c r="B42" s="52"/>
      <c r="C42" s="52"/>
      <c r="D42" s="133"/>
      <c r="E42" s="133"/>
      <c r="F42" s="133"/>
      <c r="G42" s="133"/>
      <c r="H42" s="133"/>
      <c r="I42" s="133"/>
      <c r="J42" s="133"/>
      <c r="K42" s="133"/>
      <c r="L42" s="87"/>
      <c r="M42" s="299" t="s">
        <v>167</v>
      </c>
      <c r="N42" s="151"/>
      <c r="O42" s="151"/>
      <c r="P42" s="151"/>
      <c r="Q42" s="298">
        <v>20090</v>
      </c>
      <c r="R42" s="289"/>
      <c r="S42" s="231" t="s">
        <v>57</v>
      </c>
      <c r="T42" s="231" t="s">
        <v>26</v>
      </c>
      <c r="U42" s="521">
        <v>11</v>
      </c>
      <c r="V42" s="86" t="s">
        <v>450</v>
      </c>
      <c r="W42" s="287"/>
      <c r="X42" s="295"/>
      <c r="Y42" s="93"/>
      <c r="Z42" s="231" t="s">
        <v>53</v>
      </c>
      <c r="AA42" s="503" t="s">
        <v>97</v>
      </c>
      <c r="AB42" s="84"/>
      <c r="AC42" s="84">
        <f>Q42*U42</f>
        <v>220990</v>
      </c>
      <c r="AD42" s="64" t="s">
        <v>57</v>
      </c>
      <c r="AE42" s="2"/>
    </row>
    <row r="43" spans="1:31" s="12" customFormat="1" ht="21" customHeight="1">
      <c r="A43" s="51"/>
      <c r="B43" s="340"/>
      <c r="C43" s="340"/>
      <c r="D43" s="133"/>
      <c r="E43" s="133"/>
      <c r="F43" s="133"/>
      <c r="G43" s="133"/>
      <c r="H43" s="133"/>
      <c r="I43" s="133"/>
      <c r="J43" s="133"/>
      <c r="K43" s="133"/>
      <c r="L43" s="87"/>
      <c r="M43" s="504"/>
      <c r="N43" s="504"/>
      <c r="O43" s="504"/>
      <c r="P43" s="504"/>
      <c r="Q43" s="503">
        <v>40090</v>
      </c>
      <c r="R43" s="503"/>
      <c r="S43" s="231" t="s">
        <v>57</v>
      </c>
      <c r="T43" s="231" t="s">
        <v>26</v>
      </c>
      <c r="U43" s="521">
        <v>1</v>
      </c>
      <c r="V43" s="86" t="s">
        <v>450</v>
      </c>
      <c r="W43" s="287"/>
      <c r="X43" s="295"/>
      <c r="Y43" s="93"/>
      <c r="Z43" s="231" t="s">
        <v>53</v>
      </c>
      <c r="AA43" s="503" t="s">
        <v>97</v>
      </c>
      <c r="AB43" s="84"/>
      <c r="AC43" s="84">
        <f>Q43*U43</f>
        <v>40090</v>
      </c>
      <c r="AD43" s="64" t="s">
        <v>57</v>
      </c>
      <c r="AE43" s="2"/>
    </row>
    <row r="44" spans="1:31" s="12" customFormat="1" ht="21" customHeight="1">
      <c r="A44" s="51"/>
      <c r="B44" s="340"/>
      <c r="C44" s="340"/>
      <c r="D44" s="133"/>
      <c r="E44" s="133"/>
      <c r="F44" s="133"/>
      <c r="G44" s="133"/>
      <c r="H44" s="133"/>
      <c r="I44" s="133"/>
      <c r="J44" s="133"/>
      <c r="K44" s="133"/>
      <c r="L44" s="87"/>
      <c r="M44" s="504"/>
      <c r="N44" s="504"/>
      <c r="O44" s="504"/>
      <c r="P44" s="504"/>
      <c r="Q44" s="503"/>
      <c r="R44" s="503"/>
      <c r="S44" s="231"/>
      <c r="T44" s="231"/>
      <c r="U44" s="521"/>
      <c r="V44" s="86"/>
      <c r="W44" s="287"/>
      <c r="X44" s="295"/>
      <c r="Y44" s="93"/>
      <c r="Z44" s="231"/>
      <c r="AA44" s="503"/>
      <c r="AB44" s="84"/>
      <c r="AC44" s="84"/>
      <c r="AD44" s="64"/>
      <c r="AE44" s="2"/>
    </row>
    <row r="45" spans="1:31" s="12" customFormat="1" ht="21" customHeight="1">
      <c r="A45" s="51"/>
      <c r="B45" s="52"/>
      <c r="C45" s="52"/>
      <c r="D45" s="133"/>
      <c r="E45" s="133"/>
      <c r="F45" s="133"/>
      <c r="G45" s="133"/>
      <c r="H45" s="133"/>
      <c r="I45" s="133"/>
      <c r="J45" s="133"/>
      <c r="K45" s="133"/>
      <c r="L45" s="87"/>
      <c r="M45" s="299" t="s">
        <v>223</v>
      </c>
      <c r="N45" s="299"/>
      <c r="O45" s="299"/>
      <c r="P45" s="299"/>
      <c r="Q45" s="298">
        <v>17420</v>
      </c>
      <c r="R45" s="298"/>
      <c r="S45" s="231" t="s">
        <v>57</v>
      </c>
      <c r="T45" s="231" t="s">
        <v>26</v>
      </c>
      <c r="U45" s="521">
        <v>11</v>
      </c>
      <c r="V45" s="86" t="s">
        <v>450</v>
      </c>
      <c r="W45" s="287"/>
      <c r="X45" s="295"/>
      <c r="Y45" s="93"/>
      <c r="Z45" s="231" t="s">
        <v>53</v>
      </c>
      <c r="AA45" s="503" t="s">
        <v>97</v>
      </c>
      <c r="AB45" s="84"/>
      <c r="AC45" s="84">
        <f>Q45*U45</f>
        <v>191620</v>
      </c>
      <c r="AD45" s="64" t="s">
        <v>57</v>
      </c>
      <c r="AE45" s="2"/>
    </row>
    <row r="46" spans="1:31" s="12" customFormat="1" ht="21" customHeight="1">
      <c r="A46" s="51"/>
      <c r="B46" s="340"/>
      <c r="C46" s="340"/>
      <c r="D46" s="133"/>
      <c r="E46" s="133"/>
      <c r="F46" s="133"/>
      <c r="G46" s="133"/>
      <c r="H46" s="133"/>
      <c r="I46" s="133"/>
      <c r="J46" s="133"/>
      <c r="K46" s="133"/>
      <c r="L46" s="87"/>
      <c r="M46" s="504"/>
      <c r="N46" s="504"/>
      <c r="O46" s="504"/>
      <c r="P46" s="504"/>
      <c r="Q46" s="503">
        <v>34700</v>
      </c>
      <c r="R46" s="503"/>
      <c r="S46" s="231" t="s">
        <v>57</v>
      </c>
      <c r="T46" s="231" t="s">
        <v>26</v>
      </c>
      <c r="U46" s="521">
        <v>1</v>
      </c>
      <c r="V46" s="86" t="s">
        <v>450</v>
      </c>
      <c r="W46" s="287"/>
      <c r="X46" s="295"/>
      <c r="Y46" s="93"/>
      <c r="Z46" s="231" t="s">
        <v>53</v>
      </c>
      <c r="AA46" s="503" t="s">
        <v>97</v>
      </c>
      <c r="AB46" s="84"/>
      <c r="AC46" s="84">
        <f>Q46*U46</f>
        <v>34700</v>
      </c>
      <c r="AD46" s="64" t="s">
        <v>57</v>
      </c>
      <c r="AE46" s="2"/>
    </row>
    <row r="47" spans="1:31" s="12" customFormat="1" ht="21" customHeight="1">
      <c r="A47" s="51"/>
      <c r="B47" s="52"/>
      <c r="C47" s="52"/>
      <c r="D47" s="133"/>
      <c r="E47" s="133"/>
      <c r="F47" s="133"/>
      <c r="G47" s="133"/>
      <c r="H47" s="133"/>
      <c r="I47" s="133"/>
      <c r="J47" s="133"/>
      <c r="K47" s="133"/>
      <c r="L47" s="87"/>
      <c r="M47" s="267"/>
      <c r="N47" s="267"/>
      <c r="O47" s="267"/>
      <c r="P47" s="267"/>
      <c r="Q47" s="266"/>
      <c r="R47" s="275"/>
      <c r="S47" s="231"/>
      <c r="T47" s="91"/>
      <c r="U47" s="95"/>
      <c r="V47" s="91"/>
      <c r="W47" s="96"/>
      <c r="X47" s="93"/>
      <c r="Y47" s="93"/>
      <c r="Z47" s="231"/>
      <c r="AA47" s="266"/>
      <c r="AB47" s="84"/>
      <c r="AC47" s="84"/>
      <c r="AD47" s="64"/>
      <c r="AE47" s="2"/>
    </row>
    <row r="48" spans="1:31" s="12" customFormat="1" ht="33" customHeight="1">
      <c r="A48" s="51"/>
      <c r="B48" s="52"/>
      <c r="C48" s="42" t="s">
        <v>200</v>
      </c>
      <c r="D48" s="137">
        <v>0</v>
      </c>
      <c r="E48" s="138">
        <f>SUM(F48:J48)</f>
        <v>0</v>
      </c>
      <c r="F48" s="137">
        <f>AC50</f>
        <v>0</v>
      </c>
      <c r="G48" s="137">
        <f>AC49/1000</f>
        <v>0</v>
      </c>
      <c r="H48" s="137">
        <f>AE50</f>
        <v>0</v>
      </c>
      <c r="I48" s="137">
        <f>AF50</f>
        <v>0</v>
      </c>
      <c r="J48" s="137">
        <f>AG50</f>
        <v>0</v>
      </c>
      <c r="K48" s="148">
        <f>E48-D48</f>
        <v>0</v>
      </c>
      <c r="L48" s="145">
        <f>IF(D48=0,0,K48/D48)</f>
        <v>0</v>
      </c>
      <c r="M48" s="121" t="s">
        <v>198</v>
      </c>
      <c r="N48" s="265"/>
      <c r="O48" s="187"/>
      <c r="P48" s="187"/>
      <c r="Q48" s="109"/>
      <c r="R48" s="109"/>
      <c r="S48" s="268"/>
      <c r="T48" s="269"/>
      <c r="U48" s="270"/>
      <c r="V48" s="264" t="s">
        <v>63</v>
      </c>
      <c r="W48" s="264"/>
      <c r="X48" s="264"/>
      <c r="Y48" s="264"/>
      <c r="Z48" s="264"/>
      <c r="AA48" s="264"/>
      <c r="AB48" s="202"/>
      <c r="AC48" s="202">
        <f>AC49</f>
        <v>0</v>
      </c>
      <c r="AD48" s="201" t="s">
        <v>25</v>
      </c>
      <c r="AE48" s="2"/>
    </row>
    <row r="49" spans="1:33" s="12" customFormat="1" ht="21" customHeight="1">
      <c r="A49" s="51"/>
      <c r="B49" s="52"/>
      <c r="C49" s="52"/>
      <c r="D49" s="133"/>
      <c r="E49" s="133"/>
      <c r="F49" s="133"/>
      <c r="G49" s="133"/>
      <c r="H49" s="133"/>
      <c r="I49" s="133"/>
      <c r="J49" s="133"/>
      <c r="K49" s="133"/>
      <c r="L49" s="87"/>
      <c r="M49" s="267" t="s">
        <v>199</v>
      </c>
      <c r="N49" s="267"/>
      <c r="O49" s="267"/>
      <c r="P49" s="267"/>
      <c r="Q49" s="266"/>
      <c r="R49" s="275"/>
      <c r="S49" s="231"/>
      <c r="T49" s="91"/>
      <c r="U49" s="95"/>
      <c r="V49" s="91"/>
      <c r="W49" s="96"/>
      <c r="X49" s="93"/>
      <c r="Y49" s="93"/>
      <c r="Z49" s="231"/>
      <c r="AA49" s="333" t="s">
        <v>254</v>
      </c>
      <c r="AB49" s="84"/>
      <c r="AC49" s="84">
        <v>0</v>
      </c>
      <c r="AD49" s="146" t="s">
        <v>25</v>
      </c>
      <c r="AE49" s="2"/>
    </row>
    <row r="50" spans="1:33" s="12" customFormat="1" ht="21" customHeight="1">
      <c r="A50" s="51"/>
      <c r="B50" s="66"/>
      <c r="C50" s="66"/>
      <c r="D50" s="135"/>
      <c r="E50" s="135"/>
      <c r="F50" s="135"/>
      <c r="G50" s="135"/>
      <c r="H50" s="135"/>
      <c r="I50" s="135"/>
      <c r="J50" s="135"/>
      <c r="K50" s="135"/>
      <c r="L50" s="105"/>
      <c r="M50" s="184"/>
      <c r="N50" s="98"/>
      <c r="O50" s="98"/>
      <c r="P50" s="98"/>
      <c r="Q50" s="97"/>
      <c r="R50" s="272"/>
      <c r="S50" s="107"/>
      <c r="T50" s="107"/>
      <c r="U50" s="107"/>
      <c r="V50" s="97"/>
      <c r="W50" s="107"/>
      <c r="X50" s="107"/>
      <c r="Y50" s="107"/>
      <c r="Z50" s="97"/>
      <c r="AA50" s="107"/>
      <c r="AB50" s="107"/>
      <c r="AC50" s="97"/>
      <c r="AD50" s="149"/>
      <c r="AE50" s="2"/>
    </row>
    <row r="51" spans="1:33" s="12" customFormat="1" ht="21" customHeight="1">
      <c r="A51" s="51"/>
      <c r="B51" s="52" t="s">
        <v>127</v>
      </c>
      <c r="C51" s="52" t="s">
        <v>5</v>
      </c>
      <c r="D51" s="133">
        <v>90</v>
      </c>
      <c r="E51" s="138">
        <f>SUM(F51:J51)</f>
        <v>40</v>
      </c>
      <c r="F51" s="133">
        <f>F52+F55+F57</f>
        <v>0</v>
      </c>
      <c r="G51" s="133">
        <f t="shared" ref="G51" si="4">SUM(G52,G55,G57)</f>
        <v>0</v>
      </c>
      <c r="H51" s="133">
        <f>H52+H55+H57</f>
        <v>40</v>
      </c>
      <c r="I51" s="133">
        <v>0</v>
      </c>
      <c r="J51" s="133">
        <f t="shared" ref="J51" si="5">SUM(J52,J55,J57)</f>
        <v>0</v>
      </c>
      <c r="K51" s="133">
        <f>E51-D51</f>
        <v>-50</v>
      </c>
      <c r="L51" s="87">
        <f>IF(D51=0,0,K51/D51)</f>
        <v>-0.55555555555555558</v>
      </c>
      <c r="M51" s="218" t="s">
        <v>135</v>
      </c>
      <c r="N51" s="38"/>
      <c r="O51" s="38"/>
      <c r="P51" s="38"/>
      <c r="Q51" s="39"/>
      <c r="R51" s="217"/>
      <c r="S51" s="39"/>
      <c r="T51" s="39"/>
      <c r="U51" s="39"/>
      <c r="V51" s="221"/>
      <c r="W51" s="221"/>
      <c r="X51" s="221"/>
      <c r="Y51" s="221"/>
      <c r="Z51" s="221"/>
      <c r="AA51" s="221"/>
      <c r="AB51" s="118"/>
      <c r="AC51" s="118">
        <f>SUM(AC52,AC55,AC57)</f>
        <v>40000</v>
      </c>
      <c r="AD51" s="119" t="s">
        <v>25</v>
      </c>
      <c r="AE51" s="5"/>
    </row>
    <row r="52" spans="1:33" s="12" customFormat="1" ht="21" customHeight="1">
      <c r="A52" s="51"/>
      <c r="B52" s="52" t="s">
        <v>134</v>
      </c>
      <c r="C52" s="42" t="s">
        <v>10</v>
      </c>
      <c r="D52" s="137">
        <v>50</v>
      </c>
      <c r="E52" s="138">
        <f>SUM(F52:J52)</f>
        <v>0</v>
      </c>
      <c r="F52" s="137"/>
      <c r="G52" s="137">
        <v>0</v>
      </c>
      <c r="H52" s="137">
        <f>AC52/1000</f>
        <v>0</v>
      </c>
      <c r="I52" s="137">
        <v>0</v>
      </c>
      <c r="J52" s="137">
        <v>0</v>
      </c>
      <c r="K52" s="137">
        <f>E52-D52</f>
        <v>-50</v>
      </c>
      <c r="L52" s="145">
        <f>IF(D52=0,0,K52/D52)</f>
        <v>-1</v>
      </c>
      <c r="M52" s="121" t="s">
        <v>38</v>
      </c>
      <c r="N52" s="181"/>
      <c r="O52" s="187"/>
      <c r="P52" s="187"/>
      <c r="Q52" s="187"/>
      <c r="R52" s="187"/>
      <c r="S52" s="109"/>
      <c r="T52" s="109"/>
      <c r="U52" s="109"/>
      <c r="V52" s="109"/>
      <c r="W52" s="109"/>
      <c r="X52" s="200" t="s">
        <v>137</v>
      </c>
      <c r="Y52" s="200"/>
      <c r="Z52" s="200"/>
      <c r="AA52" s="200"/>
      <c r="AB52" s="202"/>
      <c r="AC52" s="202">
        <f>AC53+AC54</f>
        <v>0</v>
      </c>
      <c r="AD52" s="201" t="s">
        <v>25</v>
      </c>
    </row>
    <row r="53" spans="1:33" s="12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88" t="s">
        <v>304</v>
      </c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 t="s">
        <v>276</v>
      </c>
      <c r="AB53" s="107"/>
      <c r="AC53" s="361">
        <v>0</v>
      </c>
      <c r="AD53" s="149" t="s">
        <v>274</v>
      </c>
    </row>
    <row r="54" spans="1:33" s="12" customFormat="1" ht="21" customHeight="1">
      <c r="A54" s="51"/>
      <c r="B54" s="52"/>
      <c r="C54" s="66"/>
      <c r="D54" s="135"/>
      <c r="E54" s="135"/>
      <c r="F54" s="135"/>
      <c r="G54" s="135"/>
      <c r="H54" s="135"/>
      <c r="I54" s="135"/>
      <c r="J54" s="135"/>
      <c r="K54" s="135"/>
      <c r="L54" s="105"/>
      <c r="M54" s="88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361"/>
      <c r="AD54" s="149"/>
      <c r="AE54" s="1"/>
    </row>
    <row r="55" spans="1:33" s="12" customFormat="1" ht="21" customHeight="1">
      <c r="A55" s="51"/>
      <c r="B55" s="52"/>
      <c r="C55" s="52" t="s">
        <v>11</v>
      </c>
      <c r="D55" s="133">
        <v>0</v>
      </c>
      <c r="E55" s="133">
        <f>AC55/1000</f>
        <v>0</v>
      </c>
      <c r="F55" s="133">
        <v>0</v>
      </c>
      <c r="G55" s="133">
        <v>0</v>
      </c>
      <c r="H55" s="133">
        <v>0</v>
      </c>
      <c r="I55" s="133">
        <v>0</v>
      </c>
      <c r="J55" s="133">
        <v>0</v>
      </c>
      <c r="K55" s="133">
        <f>E55-D55</f>
        <v>0</v>
      </c>
      <c r="L55" s="87">
        <f>IF(D55=0,0,K55/D55)</f>
        <v>0</v>
      </c>
      <c r="M55" s="121" t="s">
        <v>136</v>
      </c>
      <c r="N55" s="199"/>
      <c r="O55" s="38"/>
      <c r="P55" s="38"/>
      <c r="Q55" s="38"/>
      <c r="R55" s="218"/>
      <c r="S55" s="39"/>
      <c r="T55" s="39"/>
      <c r="U55" s="39"/>
      <c r="V55" s="39"/>
      <c r="W55" s="39"/>
      <c r="X55" s="200" t="s">
        <v>137</v>
      </c>
      <c r="Y55" s="200"/>
      <c r="Z55" s="200"/>
      <c r="AA55" s="200"/>
      <c r="AB55" s="202"/>
      <c r="AC55" s="202">
        <v>0</v>
      </c>
      <c r="AD55" s="201" t="s">
        <v>25</v>
      </c>
      <c r="AE55" s="1"/>
    </row>
    <row r="56" spans="1:33" s="12" customFormat="1" ht="21" customHeight="1">
      <c r="A56" s="51"/>
      <c r="B56" s="52"/>
      <c r="C56" s="66"/>
      <c r="D56" s="135"/>
      <c r="E56" s="135"/>
      <c r="F56" s="135"/>
      <c r="G56" s="135"/>
      <c r="H56" s="135"/>
      <c r="I56" s="135"/>
      <c r="J56" s="135"/>
      <c r="K56" s="135"/>
      <c r="L56" s="105"/>
      <c r="M56" s="184"/>
      <c r="N56" s="98"/>
      <c r="O56" s="98"/>
      <c r="P56" s="98"/>
      <c r="Q56" s="97"/>
      <c r="R56" s="272"/>
      <c r="S56" s="106"/>
      <c r="T56" s="106"/>
      <c r="U56" s="97"/>
      <c r="V56" s="98"/>
      <c r="W56" s="97"/>
      <c r="X56" s="97"/>
      <c r="Y56" s="97"/>
      <c r="Z56" s="97"/>
      <c r="AA56" s="97"/>
      <c r="AB56" s="97"/>
      <c r="AC56" s="97"/>
      <c r="AD56" s="90"/>
      <c r="AE56" s="1"/>
    </row>
    <row r="57" spans="1:33" s="12" customFormat="1" ht="21" customHeight="1">
      <c r="A57" s="51"/>
      <c r="B57" s="52"/>
      <c r="C57" s="52" t="s">
        <v>95</v>
      </c>
      <c r="D57" s="133">
        <v>40</v>
      </c>
      <c r="E57" s="138">
        <f>SUM(F57:J57)</f>
        <v>40</v>
      </c>
      <c r="F57" s="133">
        <v>0</v>
      </c>
      <c r="G57" s="133">
        <v>0</v>
      </c>
      <c r="H57" s="133">
        <f>AC58/1000</f>
        <v>40</v>
      </c>
      <c r="I57" s="133">
        <v>0</v>
      </c>
      <c r="J57" s="137">
        <v>0</v>
      </c>
      <c r="K57" s="297">
        <f>E57-D57</f>
        <v>0</v>
      </c>
      <c r="L57" s="87">
        <f>IF(D57=0,0,K57/D57)</f>
        <v>0</v>
      </c>
      <c r="M57" s="140" t="s">
        <v>39</v>
      </c>
      <c r="N57" s="38"/>
      <c r="O57" s="38"/>
      <c r="P57" s="38"/>
      <c r="Q57" s="38"/>
      <c r="R57" s="218"/>
      <c r="S57" s="39"/>
      <c r="T57" s="39"/>
      <c r="U57" s="39"/>
      <c r="V57" s="39"/>
      <c r="W57" s="39"/>
      <c r="X57" s="200" t="s">
        <v>137</v>
      </c>
      <c r="Y57" s="200"/>
      <c r="Z57" s="200"/>
      <c r="AA57" s="200"/>
      <c r="AB57" s="202"/>
      <c r="AC57" s="202">
        <f>AC58</f>
        <v>40000</v>
      </c>
      <c r="AD57" s="201" t="s">
        <v>25</v>
      </c>
      <c r="AE57" s="1"/>
    </row>
    <row r="58" spans="1:33" s="15" customFormat="1" ht="21" customHeight="1">
      <c r="A58" s="51"/>
      <c r="B58" s="52"/>
      <c r="C58" s="52"/>
      <c r="D58" s="133"/>
      <c r="E58" s="133"/>
      <c r="F58" s="133"/>
      <c r="G58" s="133"/>
      <c r="H58" s="133"/>
      <c r="I58" s="133"/>
      <c r="J58" s="133"/>
      <c r="K58" s="133"/>
      <c r="L58" s="87"/>
      <c r="M58" s="234" t="s">
        <v>169</v>
      </c>
      <c r="N58" s="56"/>
      <c r="O58" s="56"/>
      <c r="P58" s="56"/>
      <c r="Q58" s="57">
        <v>40000</v>
      </c>
      <c r="R58" s="275"/>
      <c r="S58" s="61" t="s">
        <v>25</v>
      </c>
      <c r="T58" s="61" t="s">
        <v>26</v>
      </c>
      <c r="U58" s="57">
        <v>1</v>
      </c>
      <c r="V58" s="249" t="s">
        <v>170</v>
      </c>
      <c r="W58" s="231"/>
      <c r="X58" s="57"/>
      <c r="Y58" s="57"/>
      <c r="Z58" s="57"/>
      <c r="AA58" s="57" t="s">
        <v>306</v>
      </c>
      <c r="AB58" s="57"/>
      <c r="AC58" s="57">
        <f>Q58*U58</f>
        <v>40000</v>
      </c>
      <c r="AD58" s="64" t="s">
        <v>25</v>
      </c>
      <c r="AE58" s="4"/>
    </row>
    <row r="59" spans="1:33" s="15" customFormat="1" ht="21" customHeight="1">
      <c r="A59" s="51"/>
      <c r="B59" s="52"/>
      <c r="C59" s="52"/>
      <c r="D59" s="133"/>
      <c r="E59" s="133"/>
      <c r="F59" s="133"/>
      <c r="G59" s="133"/>
      <c r="H59" s="133"/>
      <c r="I59" s="133"/>
      <c r="J59" s="133"/>
      <c r="K59" s="133"/>
      <c r="L59" s="87"/>
      <c r="M59" s="56"/>
      <c r="N59" s="56"/>
      <c r="O59" s="56"/>
      <c r="P59" s="56"/>
      <c r="Q59" s="57"/>
      <c r="R59" s="275"/>
      <c r="S59" s="61"/>
      <c r="T59" s="61"/>
      <c r="U59" s="57"/>
      <c r="V59" s="56"/>
      <c r="W59" s="57"/>
      <c r="X59" s="57"/>
      <c r="Y59" s="57"/>
      <c r="Z59" s="57"/>
      <c r="AA59" s="57"/>
      <c r="AB59" s="57"/>
      <c r="AC59" s="57"/>
      <c r="AD59" s="64"/>
      <c r="AE59" s="4"/>
    </row>
    <row r="60" spans="1:33" s="12" customFormat="1" ht="21" customHeight="1">
      <c r="A60" s="51"/>
      <c r="B60" s="42" t="s">
        <v>12</v>
      </c>
      <c r="C60" s="196" t="s">
        <v>5</v>
      </c>
      <c r="D60" s="197">
        <v>6819</v>
      </c>
      <c r="E60" s="197">
        <f t="shared" ref="E60:J60" si="6">SUM(E61,E65,E70,E77,E87,E90)</f>
        <v>7277.84</v>
      </c>
      <c r="F60" s="197">
        <f t="shared" si="6"/>
        <v>5122.21</v>
      </c>
      <c r="G60" s="197">
        <f t="shared" si="6"/>
        <v>0</v>
      </c>
      <c r="H60" s="197">
        <f t="shared" si="6"/>
        <v>1525.63</v>
      </c>
      <c r="I60" s="197">
        <f t="shared" si="6"/>
        <v>630</v>
      </c>
      <c r="J60" s="197">
        <f t="shared" si="6"/>
        <v>0</v>
      </c>
      <c r="K60" s="197">
        <f>E60-D60</f>
        <v>458.84000000000015</v>
      </c>
      <c r="L60" s="198">
        <f>IF(D60=0,0,K60/D60)</f>
        <v>6.7288458718287161E-2</v>
      </c>
      <c r="M60" s="199" t="s">
        <v>141</v>
      </c>
      <c r="N60" s="199"/>
      <c r="O60" s="199"/>
      <c r="P60" s="199"/>
      <c r="Q60" s="200"/>
      <c r="R60" s="273"/>
      <c r="S60" s="223"/>
      <c r="T60" s="200"/>
      <c r="U60" s="585"/>
      <c r="V60" s="586"/>
      <c r="W60" s="200"/>
      <c r="X60" s="200"/>
      <c r="Y60" s="200"/>
      <c r="Z60" s="200"/>
      <c r="AA60" s="200"/>
      <c r="AB60" s="200"/>
      <c r="AC60" s="200">
        <f>SUM(AC61,AC65,AC70,AC77,AC87,AC90)</f>
        <v>7277840</v>
      </c>
      <c r="AD60" s="201" t="s">
        <v>25</v>
      </c>
      <c r="AE60" s="1"/>
    </row>
    <row r="61" spans="1:33" s="12" customFormat="1" ht="21" customHeight="1">
      <c r="A61" s="51"/>
      <c r="B61" s="52"/>
      <c r="C61" s="52" t="s">
        <v>96</v>
      </c>
      <c r="D61" s="133">
        <v>60</v>
      </c>
      <c r="E61" s="138">
        <f>SUM(F61:J61)</f>
        <v>30</v>
      </c>
      <c r="F61" s="133">
        <v>0</v>
      </c>
      <c r="G61" s="133">
        <v>0</v>
      </c>
      <c r="H61" s="133">
        <v>0</v>
      </c>
      <c r="I61" s="133">
        <f>AC62/1000</f>
        <v>30</v>
      </c>
      <c r="J61" s="133">
        <v>0</v>
      </c>
      <c r="K61" s="133">
        <f>E61-D61</f>
        <v>-30</v>
      </c>
      <c r="L61" s="87">
        <f>IF(D61=0,0,K61/D61)</f>
        <v>-0.5</v>
      </c>
      <c r="M61" s="140" t="s">
        <v>41</v>
      </c>
      <c r="N61" s="38"/>
      <c r="O61" s="38"/>
      <c r="P61" s="38"/>
      <c r="Q61" s="38"/>
      <c r="R61" s="218"/>
      <c r="S61" s="39"/>
      <c r="T61" s="39"/>
      <c r="U61" s="39"/>
      <c r="V61" s="39"/>
      <c r="W61" s="39"/>
      <c r="X61" s="250" t="s">
        <v>137</v>
      </c>
      <c r="Y61" s="250"/>
      <c r="Z61" s="250"/>
      <c r="AA61" s="250"/>
      <c r="AB61" s="202"/>
      <c r="AC61" s="202">
        <f>AC62</f>
        <v>30000</v>
      </c>
      <c r="AD61" s="201" t="s">
        <v>25</v>
      </c>
      <c r="AE61" s="21"/>
      <c r="AF61" s="20"/>
      <c r="AG61" s="20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220" t="s">
        <v>142</v>
      </c>
      <c r="N62" s="56"/>
      <c r="O62" s="56"/>
      <c r="P62" s="56"/>
      <c r="Q62" s="57">
        <v>30000</v>
      </c>
      <c r="R62" s="275"/>
      <c r="S62" s="61" t="s">
        <v>25</v>
      </c>
      <c r="T62" s="61" t="s">
        <v>26</v>
      </c>
      <c r="U62" s="57">
        <v>1</v>
      </c>
      <c r="V62" s="61" t="s">
        <v>143</v>
      </c>
      <c r="W62" s="57" t="s">
        <v>26</v>
      </c>
      <c r="X62" s="57">
        <v>2</v>
      </c>
      <c r="Y62" s="219" t="s">
        <v>144</v>
      </c>
      <c r="Z62" s="57" t="s">
        <v>27</v>
      </c>
      <c r="AA62" s="383" t="s">
        <v>323</v>
      </c>
      <c r="AB62" s="57"/>
      <c r="AC62" s="57">
        <v>30000</v>
      </c>
      <c r="AD62" s="64" t="s">
        <v>67</v>
      </c>
      <c r="AE62" s="21"/>
      <c r="AF62" s="20"/>
      <c r="AG62" s="20"/>
    </row>
    <row r="63" spans="1:33" s="12" customFormat="1" ht="21" customHeight="1">
      <c r="A63" s="51"/>
      <c r="B63" s="340"/>
      <c r="C63" s="340"/>
      <c r="D63" s="133"/>
      <c r="E63" s="133"/>
      <c r="F63" s="133"/>
      <c r="G63" s="133"/>
      <c r="H63" s="133"/>
      <c r="I63" s="133"/>
      <c r="J63" s="133"/>
      <c r="K63" s="133"/>
      <c r="L63" s="87"/>
      <c r="M63" s="376"/>
      <c r="N63" s="376"/>
      <c r="O63" s="376"/>
      <c r="P63" s="376"/>
      <c r="Q63" s="375"/>
      <c r="R63" s="375"/>
      <c r="S63" s="61"/>
      <c r="T63" s="61"/>
      <c r="U63" s="375"/>
      <c r="V63" s="61"/>
      <c r="W63" s="375"/>
      <c r="X63" s="375"/>
      <c r="Y63" s="375"/>
      <c r="Z63" s="375"/>
      <c r="AA63" s="375"/>
      <c r="AB63" s="375"/>
      <c r="AC63" s="375"/>
      <c r="AD63" s="64"/>
      <c r="AE63" s="21"/>
      <c r="AF63" s="20"/>
      <c r="AG63" s="20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AD64" s="280"/>
      <c r="AE64" s="2"/>
    </row>
    <row r="65" spans="1:31" s="12" customFormat="1" ht="21" customHeight="1">
      <c r="A65" s="51"/>
      <c r="B65" s="52"/>
      <c r="C65" s="42" t="s">
        <v>42</v>
      </c>
      <c r="D65" s="137">
        <v>1900</v>
      </c>
      <c r="E65" s="138">
        <f>SUM(F65:J65)</f>
        <v>2799.64</v>
      </c>
      <c r="F65" s="137">
        <f>SUM(AC66+AC67)/1000</f>
        <v>1634.47</v>
      </c>
      <c r="G65" s="137">
        <v>0</v>
      </c>
      <c r="H65" s="137">
        <f>SUM(AC68)/1000</f>
        <v>915.17</v>
      </c>
      <c r="I65" s="137">
        <f>AC69/1000</f>
        <v>250</v>
      </c>
      <c r="J65" s="137">
        <v>0</v>
      </c>
      <c r="K65" s="137">
        <f>E65-D65</f>
        <v>899.63999999999987</v>
      </c>
      <c r="L65" s="145">
        <f>IF(D65=0,0,K65/D65)</f>
        <v>0.47349473684210519</v>
      </c>
      <c r="M65" s="121" t="s">
        <v>43</v>
      </c>
      <c r="N65" s="117"/>
      <c r="O65" s="117"/>
      <c r="P65" s="117"/>
      <c r="Q65" s="117"/>
      <c r="R65" s="222"/>
      <c r="S65" s="110"/>
      <c r="T65" s="110"/>
      <c r="U65" s="110"/>
      <c r="V65" s="110"/>
      <c r="W65" s="110"/>
      <c r="X65" s="250" t="s">
        <v>171</v>
      </c>
      <c r="Y65" s="200"/>
      <c r="Z65" s="200"/>
      <c r="AA65" s="200"/>
      <c r="AB65" s="202"/>
      <c r="AC65" s="202">
        <f>SUM(AC66:AC69)</f>
        <v>2799640</v>
      </c>
      <c r="AD65" s="201" t="s">
        <v>25</v>
      </c>
      <c r="AE65" s="1"/>
    </row>
    <row r="66" spans="1:31" s="12" customFormat="1" ht="21" customHeight="1">
      <c r="A66" s="51"/>
      <c r="B66" s="52"/>
      <c r="C66" s="52" t="s">
        <v>148</v>
      </c>
      <c r="D66" s="133"/>
      <c r="E66" s="133"/>
      <c r="F66" s="133"/>
      <c r="G66" s="133"/>
      <c r="H66" s="133"/>
      <c r="I66" s="133"/>
      <c r="J66" s="133"/>
      <c r="K66" s="133"/>
      <c r="L66" s="87"/>
      <c r="M66" s="187" t="s">
        <v>172</v>
      </c>
      <c r="N66" s="56"/>
      <c r="O66" s="56"/>
      <c r="P66" s="56"/>
      <c r="Q66" s="57"/>
      <c r="R66" s="275"/>
      <c r="S66" s="61"/>
      <c r="T66" s="57"/>
      <c r="U66" s="587"/>
      <c r="V66" s="588"/>
      <c r="W66" s="57"/>
      <c r="X66" s="109"/>
      <c r="Y66" s="109"/>
      <c r="Z66" s="109"/>
      <c r="AA66" s="109" t="s">
        <v>254</v>
      </c>
      <c r="AB66" s="109"/>
      <c r="AC66" s="109">
        <v>940000</v>
      </c>
      <c r="AD66" s="146" t="s">
        <v>25</v>
      </c>
      <c r="AE66" s="1"/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267" t="s">
        <v>209</v>
      </c>
      <c r="N67" s="249"/>
      <c r="O67" s="249"/>
      <c r="P67" s="249"/>
      <c r="Q67" s="248"/>
      <c r="R67" s="275"/>
      <c r="S67" s="61"/>
      <c r="T67" s="61"/>
      <c r="U67" s="248"/>
      <c r="V67" s="249"/>
      <c r="W67" s="248"/>
      <c r="X67" s="248"/>
      <c r="Y67" s="248"/>
      <c r="Z67" s="248"/>
      <c r="AA67" s="333" t="s">
        <v>254</v>
      </c>
      <c r="AB67" s="248"/>
      <c r="AC67" s="248">
        <v>694470</v>
      </c>
      <c r="AD67" s="64" t="s">
        <v>174</v>
      </c>
      <c r="AE67" s="2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267" t="s">
        <v>210</v>
      </c>
      <c r="N68" s="267"/>
      <c r="O68" s="267"/>
      <c r="P68" s="267"/>
      <c r="Q68" s="266"/>
      <c r="R68" s="275"/>
      <c r="S68" s="61"/>
      <c r="T68" s="61"/>
      <c r="U68" s="266"/>
      <c r="V68" s="267"/>
      <c r="W68" s="266"/>
      <c r="X68" s="266"/>
      <c r="Y68" s="266"/>
      <c r="Z68" s="266"/>
      <c r="AA68" s="298" t="s">
        <v>224</v>
      </c>
      <c r="AB68" s="266"/>
      <c r="AC68" s="266">
        <v>915170</v>
      </c>
      <c r="AD68" s="64" t="s">
        <v>206</v>
      </c>
      <c r="AE68" s="21"/>
    </row>
    <row r="69" spans="1:31" s="12" customFormat="1" ht="21" customHeight="1">
      <c r="A69" s="51"/>
      <c r="B69" s="52"/>
      <c r="C69" s="66"/>
      <c r="D69" s="135"/>
      <c r="E69" s="135"/>
      <c r="F69" s="135"/>
      <c r="G69" s="135"/>
      <c r="H69" s="135"/>
      <c r="I69" s="135"/>
      <c r="J69" s="135"/>
      <c r="K69" s="135"/>
      <c r="L69" s="105"/>
      <c r="M69" s="88" t="s">
        <v>469</v>
      </c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 t="s">
        <v>468</v>
      </c>
      <c r="AB69" s="156"/>
      <c r="AC69" s="157">
        <v>250000</v>
      </c>
      <c r="AD69" s="64" t="s">
        <v>57</v>
      </c>
      <c r="AE69" s="1"/>
    </row>
    <row r="70" spans="1:31" s="12" customFormat="1" ht="21" customHeight="1">
      <c r="A70" s="51"/>
      <c r="B70" s="52"/>
      <c r="C70" s="52" t="s">
        <v>40</v>
      </c>
      <c r="D70" s="133">
        <v>3752</v>
      </c>
      <c r="E70" s="138">
        <f>SUM(F70:J70)</f>
        <v>4044.54</v>
      </c>
      <c r="F70" s="133">
        <f>(AC73+AC71+AC72)/1000</f>
        <v>3202.54</v>
      </c>
      <c r="G70" s="133">
        <v>0</v>
      </c>
      <c r="H70" s="133">
        <f>(AC74+AC75)/1000</f>
        <v>492</v>
      </c>
      <c r="I70" s="133">
        <f>(AC76)/1000</f>
        <v>350</v>
      </c>
      <c r="J70" s="133">
        <v>0</v>
      </c>
      <c r="K70" s="133">
        <f>E70-D70</f>
        <v>292.53999999999996</v>
      </c>
      <c r="L70" s="87">
        <f>IF(D70=0,0,K70/D70)</f>
        <v>7.7969083155650307E-2</v>
      </c>
      <c r="M70" s="140" t="s">
        <v>44</v>
      </c>
      <c r="N70" s="38"/>
      <c r="O70" s="38"/>
      <c r="P70" s="38"/>
      <c r="Q70" s="38"/>
      <c r="R70" s="218"/>
      <c r="S70" s="39"/>
      <c r="T70" s="39"/>
      <c r="U70" s="39"/>
      <c r="V70" s="39"/>
      <c r="W70" s="39"/>
      <c r="X70" s="200" t="s">
        <v>137</v>
      </c>
      <c r="Y70" s="200"/>
      <c r="Z70" s="200"/>
      <c r="AA70" s="200"/>
      <c r="AB70" s="202"/>
      <c r="AC70" s="202">
        <f>SUM(AC71:AC76)</f>
        <v>4044540</v>
      </c>
      <c r="AD70" s="201" t="s">
        <v>25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187" t="s">
        <v>222</v>
      </c>
      <c r="N71" s="56"/>
      <c r="O71" s="56"/>
      <c r="P71" s="56"/>
      <c r="Q71" s="153">
        <v>55000</v>
      </c>
      <c r="R71" s="153"/>
      <c r="S71" s="154" t="s">
        <v>25</v>
      </c>
      <c r="T71" s="154" t="s">
        <v>26</v>
      </c>
      <c r="U71" s="153">
        <v>10</v>
      </c>
      <c r="V71" s="152" t="s">
        <v>29</v>
      </c>
      <c r="W71" s="153" t="s">
        <v>27</v>
      </c>
      <c r="X71" s="57"/>
      <c r="Y71" s="57"/>
      <c r="Z71" s="150"/>
      <c r="AA71" s="298" t="s">
        <v>225</v>
      </c>
      <c r="AB71" s="57"/>
      <c r="AC71" s="57">
        <f>ROUNDUP(Q71*U71,1)</f>
        <v>550000</v>
      </c>
      <c r="AD71" s="64" t="s">
        <v>25</v>
      </c>
      <c r="AE71" s="1"/>
    </row>
    <row r="72" spans="1:31" s="12" customFormat="1" ht="21" customHeight="1">
      <c r="A72" s="51"/>
      <c r="B72" s="340"/>
      <c r="C72" s="340"/>
      <c r="D72" s="133"/>
      <c r="E72" s="133"/>
      <c r="F72" s="133"/>
      <c r="G72" s="133"/>
      <c r="H72" s="133"/>
      <c r="I72" s="133"/>
      <c r="J72" s="133"/>
      <c r="K72" s="133"/>
      <c r="L72" s="87"/>
      <c r="M72" s="83" t="s">
        <v>467</v>
      </c>
      <c r="N72" s="525"/>
      <c r="O72" s="525"/>
      <c r="P72" s="525"/>
      <c r="Q72" s="524">
        <v>52540</v>
      </c>
      <c r="R72" s="524"/>
      <c r="S72" s="61" t="s">
        <v>57</v>
      </c>
      <c r="T72" s="61" t="s">
        <v>26</v>
      </c>
      <c r="U72" s="524">
        <v>1</v>
      </c>
      <c r="V72" s="525" t="s">
        <v>0</v>
      </c>
      <c r="W72" s="524" t="s">
        <v>27</v>
      </c>
      <c r="X72" s="524"/>
      <c r="Y72" s="524"/>
      <c r="Z72" s="524"/>
      <c r="AA72" s="524" t="s">
        <v>97</v>
      </c>
      <c r="AB72" s="524"/>
      <c r="AC72" s="524">
        <f>Q72*U72</f>
        <v>52540</v>
      </c>
      <c r="AD72" s="64" t="s">
        <v>57</v>
      </c>
      <c r="AE72" s="1"/>
    </row>
    <row r="73" spans="1:31" s="12" customFormat="1" ht="21" customHeight="1">
      <c r="A73" s="51"/>
      <c r="B73" s="52"/>
      <c r="C73" s="52"/>
      <c r="D73" s="133"/>
      <c r="E73" s="133"/>
      <c r="F73" s="133"/>
      <c r="G73" s="133"/>
      <c r="H73" s="133"/>
      <c r="I73" s="133"/>
      <c r="J73" s="133"/>
      <c r="K73" s="133"/>
      <c r="L73" s="87"/>
      <c r="M73" s="83" t="s">
        <v>464</v>
      </c>
      <c r="N73" s="178"/>
      <c r="O73" s="178"/>
      <c r="P73" s="178"/>
      <c r="Q73" s="219">
        <v>260000</v>
      </c>
      <c r="R73" s="275"/>
      <c r="S73" s="61" t="s">
        <v>57</v>
      </c>
      <c r="T73" s="61" t="s">
        <v>26</v>
      </c>
      <c r="U73" s="219">
        <v>10</v>
      </c>
      <c r="V73" s="220" t="s">
        <v>0</v>
      </c>
      <c r="W73" s="219" t="s">
        <v>27</v>
      </c>
      <c r="X73" s="219"/>
      <c r="Y73" s="219"/>
      <c r="Z73" s="219"/>
      <c r="AA73" s="298" t="s">
        <v>225</v>
      </c>
      <c r="AB73" s="219"/>
      <c r="AC73" s="219">
        <f>Q73*U73</f>
        <v>2600000</v>
      </c>
      <c r="AD73" s="64" t="s">
        <v>113</v>
      </c>
      <c r="AE73" s="1"/>
    </row>
    <row r="74" spans="1:31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M74" s="525" t="s">
        <v>465</v>
      </c>
      <c r="N74" s="292"/>
      <c r="O74" s="292"/>
      <c r="P74" s="292"/>
      <c r="Q74" s="153">
        <v>66000</v>
      </c>
      <c r="R74" s="153"/>
      <c r="S74" s="154" t="s">
        <v>25</v>
      </c>
      <c r="T74" s="154" t="s">
        <v>26</v>
      </c>
      <c r="U74" s="153">
        <v>2</v>
      </c>
      <c r="V74" s="152" t="s">
        <v>29</v>
      </c>
      <c r="W74" s="153" t="s">
        <v>27</v>
      </c>
      <c r="X74" s="291"/>
      <c r="Y74" s="291"/>
      <c r="Z74" s="291"/>
      <c r="AA74" s="298" t="s">
        <v>224</v>
      </c>
      <c r="AB74" s="291"/>
      <c r="AC74" s="291">
        <f>ROUNDUP(Q74*U74,1)</f>
        <v>132000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525" t="s">
        <v>466</v>
      </c>
      <c r="N75" s="292"/>
      <c r="O75" s="292"/>
      <c r="P75" s="292"/>
      <c r="Q75" s="291">
        <v>180000</v>
      </c>
      <c r="R75" s="291"/>
      <c r="S75" s="61" t="s">
        <v>57</v>
      </c>
      <c r="T75" s="61" t="s">
        <v>26</v>
      </c>
      <c r="U75" s="291">
        <v>2</v>
      </c>
      <c r="V75" s="292" t="s">
        <v>0</v>
      </c>
      <c r="W75" s="291" t="s">
        <v>27</v>
      </c>
      <c r="X75" s="291"/>
      <c r="Y75" s="291"/>
      <c r="Z75" s="291"/>
      <c r="AA75" s="298" t="s">
        <v>224</v>
      </c>
      <c r="AB75" s="291"/>
      <c r="AC75" s="291">
        <f>Q75*U75</f>
        <v>360000</v>
      </c>
      <c r="AD75" s="64" t="s">
        <v>57</v>
      </c>
      <c r="AE75" s="1"/>
    </row>
    <row r="76" spans="1:31" s="15" customFormat="1" ht="21" customHeight="1">
      <c r="A76" s="51"/>
      <c r="B76" s="52"/>
      <c r="C76" s="52"/>
      <c r="D76" s="133"/>
      <c r="E76" s="133"/>
      <c r="F76" s="133"/>
      <c r="G76" s="133"/>
      <c r="H76" s="133"/>
      <c r="I76" s="133"/>
      <c r="J76" s="133"/>
      <c r="K76" s="133"/>
      <c r="L76" s="87"/>
      <c r="M76" s="144" t="s">
        <v>490</v>
      </c>
      <c r="N76" s="56"/>
      <c r="O76" s="56"/>
      <c r="P76" s="56"/>
      <c r="Q76" s="57">
        <v>350000</v>
      </c>
      <c r="R76" s="275"/>
      <c r="S76" s="61" t="s">
        <v>57</v>
      </c>
      <c r="T76" s="61" t="s">
        <v>26</v>
      </c>
      <c r="U76" s="527">
        <v>1</v>
      </c>
      <c r="V76" s="528" t="s">
        <v>0</v>
      </c>
      <c r="W76" s="527" t="s">
        <v>27</v>
      </c>
      <c r="X76" s="527"/>
      <c r="Y76" s="527"/>
      <c r="Z76" s="527"/>
      <c r="AA76" s="527" t="s">
        <v>491</v>
      </c>
      <c r="AB76" s="527"/>
      <c r="AC76" s="527">
        <f>Q76*U76</f>
        <v>350000</v>
      </c>
      <c r="AD76" s="64" t="s">
        <v>57</v>
      </c>
      <c r="AE76" s="4"/>
    </row>
    <row r="77" spans="1:31" ht="21" customHeight="1">
      <c r="A77" s="51"/>
      <c r="B77" s="52"/>
      <c r="C77" s="42" t="s">
        <v>15</v>
      </c>
      <c r="D77" s="137">
        <v>617</v>
      </c>
      <c r="E77" s="138">
        <f>SUM(F77:J77)</f>
        <v>353.65999999999997</v>
      </c>
      <c r="F77" s="137">
        <f>(AC80+AC81+AC78+AC79)/1000</f>
        <v>285.2</v>
      </c>
      <c r="G77" s="137">
        <v>0</v>
      </c>
      <c r="H77" s="137">
        <f>(AC82+AC83+AC84+AC85+AC86)/1000</f>
        <v>68.459999999999994</v>
      </c>
      <c r="I77" s="137">
        <v>0</v>
      </c>
      <c r="J77" s="137">
        <v>0</v>
      </c>
      <c r="K77" s="224">
        <f>E77-D77</f>
        <v>-263.34000000000003</v>
      </c>
      <c r="L77" s="145">
        <f>IF(D77=0,0,K77/D77)</f>
        <v>-0.42680713128038905</v>
      </c>
      <c r="M77" s="121" t="s">
        <v>45</v>
      </c>
      <c r="N77" s="117"/>
      <c r="O77" s="117"/>
      <c r="P77" s="117"/>
      <c r="Q77" s="117"/>
      <c r="R77" s="222"/>
      <c r="S77" s="110"/>
      <c r="T77" s="110"/>
      <c r="U77" s="110"/>
      <c r="V77" s="110"/>
      <c r="W77" s="110"/>
      <c r="X77" s="200" t="s">
        <v>137</v>
      </c>
      <c r="Y77" s="200"/>
      <c r="Z77" s="200"/>
      <c r="AA77" s="200"/>
      <c r="AB77" s="202"/>
      <c r="AC77" s="202">
        <f>SUM(AC78:AC86)</f>
        <v>353660</v>
      </c>
      <c r="AD77" s="201" t="s">
        <v>25</v>
      </c>
    </row>
    <row r="78" spans="1:31" s="12" customFormat="1" ht="21" customHeight="1">
      <c r="A78" s="51"/>
      <c r="B78" s="52"/>
      <c r="C78" s="52"/>
      <c r="D78" s="133"/>
      <c r="E78" s="133"/>
      <c r="F78" s="133"/>
      <c r="G78" s="133"/>
      <c r="H78" s="133"/>
      <c r="I78" s="133"/>
      <c r="J78" s="133"/>
      <c r="K78" s="133"/>
      <c r="L78" s="87"/>
      <c r="M78" s="249" t="s">
        <v>175</v>
      </c>
      <c r="N78" s="158"/>
      <c r="O78" s="158"/>
      <c r="P78" s="158"/>
      <c r="Q78" s="153">
        <v>41400</v>
      </c>
      <c r="R78" s="153"/>
      <c r="S78" s="154" t="s">
        <v>25</v>
      </c>
      <c r="T78" s="154" t="s">
        <v>26</v>
      </c>
      <c r="U78" s="153">
        <v>1</v>
      </c>
      <c r="V78" s="152" t="s">
        <v>170</v>
      </c>
      <c r="W78" s="153" t="s">
        <v>27</v>
      </c>
      <c r="X78" s="57"/>
      <c r="Y78" s="57"/>
      <c r="Z78" s="56"/>
      <c r="AA78" s="334" t="s">
        <v>254</v>
      </c>
      <c r="AB78" s="57"/>
      <c r="AC78" s="57">
        <f>Q78*U78</f>
        <v>41400</v>
      </c>
      <c r="AD78" s="64" t="s">
        <v>174</v>
      </c>
      <c r="AE78" s="1"/>
    </row>
    <row r="79" spans="1:31" s="12" customFormat="1" ht="21" customHeight="1">
      <c r="A79" s="51"/>
      <c r="B79" s="52"/>
      <c r="C79" s="52"/>
      <c r="D79" s="133"/>
      <c r="E79" s="133"/>
      <c r="F79" s="133"/>
      <c r="G79" s="133"/>
      <c r="H79" s="133"/>
      <c r="I79" s="133"/>
      <c r="J79" s="133"/>
      <c r="K79" s="133"/>
      <c r="L79" s="87"/>
      <c r="M79" s="259" t="s">
        <v>176</v>
      </c>
      <c r="N79" s="34"/>
      <c r="O79" s="34"/>
      <c r="P79" s="34"/>
      <c r="Q79" s="153">
        <v>78800</v>
      </c>
      <c r="R79" s="153"/>
      <c r="S79" s="154" t="s">
        <v>25</v>
      </c>
      <c r="T79" s="154" t="s">
        <v>26</v>
      </c>
      <c r="U79" s="153">
        <v>1</v>
      </c>
      <c r="V79" s="152" t="s">
        <v>170</v>
      </c>
      <c r="W79" s="153" t="s">
        <v>27</v>
      </c>
      <c r="X79" s="248"/>
      <c r="Y79" s="248"/>
      <c r="Z79" s="249"/>
      <c r="AA79" s="334" t="s">
        <v>254</v>
      </c>
      <c r="AB79" s="248"/>
      <c r="AC79" s="248">
        <f>Q79*U79</f>
        <v>78800</v>
      </c>
      <c r="AD79" s="64" t="s">
        <v>174</v>
      </c>
      <c r="AE79" s="1"/>
    </row>
    <row r="80" spans="1:31" s="12" customFormat="1" ht="21" customHeight="1">
      <c r="A80" s="51"/>
      <c r="B80" s="52"/>
      <c r="C80" s="52"/>
      <c r="D80" s="133"/>
      <c r="E80" s="133"/>
      <c r="F80" s="133"/>
      <c r="G80" s="133"/>
      <c r="H80" s="133"/>
      <c r="I80" s="133"/>
      <c r="J80" s="133"/>
      <c r="K80" s="133"/>
      <c r="L80" s="87"/>
      <c r="M80" s="249" t="s">
        <v>177</v>
      </c>
      <c r="N80" s="34"/>
      <c r="O80" s="34"/>
      <c r="P80" s="34"/>
      <c r="Q80" s="153">
        <v>110000</v>
      </c>
      <c r="R80" s="153"/>
      <c r="S80" s="154" t="s">
        <v>25</v>
      </c>
      <c r="T80" s="154" t="s">
        <v>26</v>
      </c>
      <c r="U80" s="153">
        <v>1</v>
      </c>
      <c r="V80" s="152" t="s">
        <v>170</v>
      </c>
      <c r="W80" s="153" t="s">
        <v>27</v>
      </c>
      <c r="X80" s="57"/>
      <c r="Y80" s="57"/>
      <c r="Z80" s="56"/>
      <c r="AA80" s="334" t="s">
        <v>254</v>
      </c>
      <c r="AB80" s="57"/>
      <c r="AC80" s="248">
        <f t="shared" ref="AC80:AC82" si="7">Q80*U80</f>
        <v>110000</v>
      </c>
      <c r="AD80" s="64" t="s">
        <v>25</v>
      </c>
      <c r="AE80" s="1"/>
    </row>
    <row r="81" spans="1:31" s="12" customFormat="1" ht="21" customHeight="1">
      <c r="A81" s="51"/>
      <c r="B81" s="52"/>
      <c r="C81" s="52"/>
      <c r="D81" s="133"/>
      <c r="E81" s="133"/>
      <c r="F81" s="133"/>
      <c r="G81" s="133"/>
      <c r="H81" s="133"/>
      <c r="I81" s="133"/>
      <c r="J81" s="133"/>
      <c r="K81" s="133"/>
      <c r="L81" s="87"/>
      <c r="M81" s="249" t="s">
        <v>178</v>
      </c>
      <c r="N81" s="158"/>
      <c r="O81" s="158"/>
      <c r="P81" s="158"/>
      <c r="Q81" s="153">
        <v>55000</v>
      </c>
      <c r="R81" s="153"/>
      <c r="S81" s="154" t="s">
        <v>25</v>
      </c>
      <c r="T81" s="154" t="s">
        <v>26</v>
      </c>
      <c r="U81" s="153">
        <v>1</v>
      </c>
      <c r="V81" s="152" t="s">
        <v>170</v>
      </c>
      <c r="W81" s="153" t="s">
        <v>27</v>
      </c>
      <c r="X81" s="57"/>
      <c r="Y81" s="57"/>
      <c r="Z81" s="56"/>
      <c r="AA81" s="334" t="s">
        <v>254</v>
      </c>
      <c r="AB81" s="57"/>
      <c r="AC81" s="248">
        <f t="shared" si="7"/>
        <v>55000</v>
      </c>
      <c r="AD81" s="64" t="s">
        <v>25</v>
      </c>
      <c r="AE81" s="1"/>
    </row>
    <row r="82" spans="1:31" s="12" customFormat="1" ht="21" customHeight="1">
      <c r="A82" s="51"/>
      <c r="B82" s="52"/>
      <c r="C82" s="52"/>
      <c r="D82" s="133"/>
      <c r="E82" s="133"/>
      <c r="F82" s="133"/>
      <c r="G82" s="133"/>
      <c r="H82" s="133"/>
      <c r="I82" s="133"/>
      <c r="J82" s="133"/>
      <c r="K82" s="133"/>
      <c r="L82" s="87"/>
      <c r="M82" s="249" t="s">
        <v>179</v>
      </c>
      <c r="N82" s="34"/>
      <c r="O82" s="34"/>
      <c r="P82" s="34"/>
      <c r="Q82" s="153">
        <v>31900</v>
      </c>
      <c r="R82" s="153"/>
      <c r="S82" s="154" t="s">
        <v>25</v>
      </c>
      <c r="T82" s="154" t="s">
        <v>26</v>
      </c>
      <c r="U82" s="153">
        <v>1</v>
      </c>
      <c r="V82" s="152" t="s">
        <v>170</v>
      </c>
      <c r="W82" s="153" t="s">
        <v>27</v>
      </c>
      <c r="X82" s="57"/>
      <c r="Y82" s="57"/>
      <c r="Z82" s="56"/>
      <c r="AA82" s="334" t="s">
        <v>306</v>
      </c>
      <c r="AB82" s="57"/>
      <c r="AC82" s="248">
        <f t="shared" si="7"/>
        <v>31900</v>
      </c>
      <c r="AD82" s="64" t="s">
        <v>25</v>
      </c>
      <c r="AE82" s="1"/>
    </row>
    <row r="83" spans="1:31" s="12" customFormat="1" ht="21" customHeight="1">
      <c r="A83" s="51"/>
      <c r="B83" s="52"/>
      <c r="C83" s="52"/>
      <c r="D83" s="133"/>
      <c r="E83" s="133"/>
      <c r="F83" s="133"/>
      <c r="G83" s="133"/>
      <c r="H83" s="133"/>
      <c r="I83" s="133"/>
      <c r="J83" s="133"/>
      <c r="K83" s="133"/>
      <c r="L83" s="87"/>
      <c r="M83" s="290" t="s">
        <v>218</v>
      </c>
      <c r="N83" s="34"/>
      <c r="O83" s="34"/>
      <c r="P83" s="34"/>
      <c r="Q83" s="153">
        <v>21560</v>
      </c>
      <c r="R83" s="153"/>
      <c r="S83" s="154" t="s">
        <v>25</v>
      </c>
      <c r="T83" s="154" t="s">
        <v>26</v>
      </c>
      <c r="U83" s="153">
        <v>1</v>
      </c>
      <c r="V83" s="152" t="s">
        <v>75</v>
      </c>
      <c r="W83" s="153" t="s">
        <v>27</v>
      </c>
      <c r="X83" s="289"/>
      <c r="Y83" s="289"/>
      <c r="Z83" s="290"/>
      <c r="AA83" s="334" t="s">
        <v>306</v>
      </c>
      <c r="AB83" s="289"/>
      <c r="AC83" s="289">
        <f t="shared" ref="AC83" si="8">Q83*U83</f>
        <v>21560</v>
      </c>
      <c r="AD83" s="64" t="s">
        <v>67</v>
      </c>
      <c r="AE83" s="1"/>
    </row>
    <row r="84" spans="1:31" s="12" customFormat="1" ht="21" customHeight="1">
      <c r="A84" s="51"/>
      <c r="B84" s="340"/>
      <c r="C84" s="340"/>
      <c r="D84" s="133"/>
      <c r="E84" s="133"/>
      <c r="F84" s="133"/>
      <c r="G84" s="133"/>
      <c r="H84" s="133"/>
      <c r="I84" s="133"/>
      <c r="J84" s="133"/>
      <c r="K84" s="133"/>
      <c r="L84" s="87"/>
      <c r="M84" s="367" t="s">
        <v>292</v>
      </c>
      <c r="N84" s="158"/>
      <c r="O84" s="158"/>
      <c r="P84" s="158"/>
      <c r="Q84" s="362">
        <v>0</v>
      </c>
      <c r="R84" s="158"/>
      <c r="S84" s="154" t="s">
        <v>25</v>
      </c>
      <c r="T84" s="154" t="s">
        <v>26</v>
      </c>
      <c r="U84" s="153">
        <v>1</v>
      </c>
      <c r="V84" s="152" t="s">
        <v>75</v>
      </c>
      <c r="W84" s="231"/>
      <c r="X84" s="231" t="s">
        <v>73</v>
      </c>
      <c r="Y84" s="153">
        <v>3</v>
      </c>
      <c r="Z84" s="153" t="s">
        <v>27</v>
      </c>
      <c r="AA84" s="366" t="s">
        <v>312</v>
      </c>
      <c r="AB84" s="92"/>
      <c r="AC84" s="366">
        <f>Q84/Y84</f>
        <v>0</v>
      </c>
      <c r="AD84" s="64" t="s">
        <v>57</v>
      </c>
      <c r="AE84" s="1"/>
    </row>
    <row r="85" spans="1:31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151" t="s">
        <v>308</v>
      </c>
      <c r="N85" s="158"/>
      <c r="O85" s="158"/>
      <c r="P85" s="158"/>
      <c r="Q85" s="362">
        <v>10000</v>
      </c>
      <c r="R85" s="158"/>
      <c r="S85" s="154" t="s">
        <v>307</v>
      </c>
      <c r="T85" s="154" t="s">
        <v>26</v>
      </c>
      <c r="U85" s="153">
        <v>1</v>
      </c>
      <c r="V85" s="152" t="s">
        <v>309</v>
      </c>
      <c r="W85" s="231" t="s">
        <v>27</v>
      </c>
      <c r="X85" s="231"/>
      <c r="Y85" s="153"/>
      <c r="Z85" s="153"/>
      <c r="AA85" s="359" t="s">
        <v>305</v>
      </c>
      <c r="AB85" s="92"/>
      <c r="AC85" s="57">
        <v>10000</v>
      </c>
      <c r="AD85" s="64" t="s">
        <v>307</v>
      </c>
      <c r="AE85" s="1"/>
    </row>
    <row r="86" spans="1:31" s="12" customFormat="1" ht="21" customHeight="1">
      <c r="A86" s="51"/>
      <c r="B86" s="340"/>
      <c r="C86" s="340"/>
      <c r="D86" s="133"/>
      <c r="E86" s="133"/>
      <c r="F86" s="133"/>
      <c r="G86" s="133"/>
      <c r="H86" s="133"/>
      <c r="I86" s="133"/>
      <c r="J86" s="133"/>
      <c r="K86" s="133"/>
      <c r="L86" s="87"/>
      <c r="M86" s="523" t="s">
        <v>462</v>
      </c>
      <c r="N86" s="158"/>
      <c r="O86" s="158"/>
      <c r="P86" s="158"/>
      <c r="Q86" s="362">
        <v>5000</v>
      </c>
      <c r="R86" s="158"/>
      <c r="S86" s="154" t="s">
        <v>57</v>
      </c>
      <c r="T86" s="154" t="s">
        <v>26</v>
      </c>
      <c r="U86" s="153">
        <v>1</v>
      </c>
      <c r="V86" s="152" t="s">
        <v>75</v>
      </c>
      <c r="W86" s="231" t="s">
        <v>27</v>
      </c>
      <c r="X86" s="231"/>
      <c r="Y86" s="153"/>
      <c r="Z86" s="153"/>
      <c r="AA86" s="522" t="s">
        <v>110</v>
      </c>
      <c r="AB86" s="92"/>
      <c r="AC86" s="522">
        <f>Q86*U86</f>
        <v>5000</v>
      </c>
      <c r="AD86" s="64" t="s">
        <v>57</v>
      </c>
      <c r="AE86" s="1"/>
    </row>
    <row r="87" spans="1:31" s="12" customFormat="1" ht="21" customHeight="1">
      <c r="A87" s="51"/>
      <c r="B87" s="52"/>
      <c r="C87" s="42" t="s">
        <v>46</v>
      </c>
      <c r="D87" s="137">
        <v>240</v>
      </c>
      <c r="E87" s="138">
        <f>SUM(F87:J87)</f>
        <v>0</v>
      </c>
      <c r="F87" s="137">
        <v>0</v>
      </c>
      <c r="G87" s="137">
        <v>0</v>
      </c>
      <c r="H87" s="137">
        <f>AC88/1000</f>
        <v>0</v>
      </c>
      <c r="I87" s="137">
        <v>0</v>
      </c>
      <c r="J87" s="137">
        <v>0</v>
      </c>
      <c r="K87" s="137">
        <f>E87-D87</f>
        <v>-240</v>
      </c>
      <c r="L87" s="145">
        <f>IF(D87=0,0,K87/D87)</f>
        <v>-1</v>
      </c>
      <c r="M87" s="121" t="s">
        <v>47</v>
      </c>
      <c r="N87" s="117"/>
      <c r="O87" s="117"/>
      <c r="P87" s="117"/>
      <c r="Q87" s="117"/>
      <c r="R87" s="222"/>
      <c r="S87" s="110"/>
      <c r="T87" s="110"/>
      <c r="U87" s="110"/>
      <c r="V87" s="110"/>
      <c r="W87" s="110"/>
      <c r="X87" s="200" t="s">
        <v>137</v>
      </c>
      <c r="Y87" s="200"/>
      <c r="Z87" s="200"/>
      <c r="AA87" s="200"/>
      <c r="AB87" s="202"/>
      <c r="AC87" s="202">
        <f>SUM(AC88:AC88)</f>
        <v>0</v>
      </c>
      <c r="AD87" s="201" t="s">
        <v>25</v>
      </c>
      <c r="AE87" s="1"/>
    </row>
    <row r="88" spans="1:31" s="12" customFormat="1" ht="21" customHeight="1">
      <c r="A88" s="51"/>
      <c r="B88" s="52"/>
      <c r="C88" s="52"/>
      <c r="D88" s="133"/>
      <c r="E88" s="133"/>
      <c r="F88" s="133"/>
      <c r="G88" s="133"/>
      <c r="H88" s="133"/>
      <c r="I88" s="133"/>
      <c r="J88" s="133"/>
      <c r="K88" s="133"/>
      <c r="L88" s="87"/>
      <c r="M88" s="249" t="s">
        <v>180</v>
      </c>
      <c r="N88" s="56"/>
      <c r="O88" s="56"/>
      <c r="P88" s="56"/>
      <c r="Q88" s="153">
        <v>0</v>
      </c>
      <c r="R88" s="153"/>
      <c r="S88" s="154" t="s">
        <v>25</v>
      </c>
      <c r="T88" s="154" t="s">
        <v>26</v>
      </c>
      <c r="U88" s="153">
        <v>9</v>
      </c>
      <c r="V88" s="152" t="s">
        <v>173</v>
      </c>
      <c r="W88" s="153" t="s">
        <v>27</v>
      </c>
      <c r="X88" s="231" t="s">
        <v>73</v>
      </c>
      <c r="Y88" s="92">
        <v>3</v>
      </c>
      <c r="Z88" s="153" t="s">
        <v>27</v>
      </c>
      <c r="AA88" s="57" t="s">
        <v>306</v>
      </c>
      <c r="AB88" s="57"/>
      <c r="AC88" s="57">
        <f>Q88*U88/Y88</f>
        <v>0</v>
      </c>
      <c r="AD88" s="64" t="s">
        <v>25</v>
      </c>
      <c r="AE88" s="1"/>
    </row>
    <row r="89" spans="1:31" s="12" customFormat="1" ht="21" customHeight="1">
      <c r="A89" s="51"/>
      <c r="B89" s="52"/>
      <c r="C89" s="66"/>
      <c r="D89" s="135"/>
      <c r="E89" s="135"/>
      <c r="F89" s="135"/>
      <c r="G89" s="135"/>
      <c r="H89" s="135"/>
      <c r="I89" s="135"/>
      <c r="J89" s="135"/>
      <c r="K89" s="135"/>
      <c r="L89" s="105"/>
      <c r="M89" s="98"/>
      <c r="N89" s="98"/>
      <c r="O89" s="98"/>
      <c r="P89" s="98"/>
      <c r="Q89" s="97"/>
      <c r="R89" s="272"/>
      <c r="S89" s="106"/>
      <c r="T89" s="97"/>
      <c r="U89" s="583"/>
      <c r="V89" s="584"/>
      <c r="W89" s="97"/>
      <c r="X89" s="97"/>
      <c r="Y89" s="97"/>
      <c r="Z89" s="97"/>
      <c r="AA89" s="159"/>
      <c r="AB89" s="97"/>
      <c r="AC89" s="97"/>
      <c r="AD89" s="90"/>
      <c r="AE89" s="1"/>
    </row>
    <row r="90" spans="1:31" s="12" customFormat="1" ht="21" customHeight="1">
      <c r="A90" s="51"/>
      <c r="B90" s="52"/>
      <c r="C90" s="42" t="s">
        <v>98</v>
      </c>
      <c r="D90" s="137">
        <v>250</v>
      </c>
      <c r="E90" s="138">
        <f>SUM(F90:J90)</f>
        <v>50</v>
      </c>
      <c r="F90" s="137">
        <f>AC91/1000</f>
        <v>0</v>
      </c>
      <c r="G90" s="137">
        <v>0</v>
      </c>
      <c r="H90" s="137">
        <f>AC92/1000</f>
        <v>50</v>
      </c>
      <c r="I90" s="137">
        <v>0</v>
      </c>
      <c r="J90" s="137">
        <v>0</v>
      </c>
      <c r="K90" s="137">
        <f>E90-D90</f>
        <v>-200</v>
      </c>
      <c r="L90" s="145">
        <f>IF(D90=0,0,K90/D90)</f>
        <v>-0.8</v>
      </c>
      <c r="M90" s="140" t="s">
        <v>99</v>
      </c>
      <c r="N90" s="117"/>
      <c r="O90" s="117"/>
      <c r="P90" s="117"/>
      <c r="Q90" s="117"/>
      <c r="R90" s="222"/>
      <c r="S90" s="110"/>
      <c r="T90" s="110"/>
      <c r="U90" s="110"/>
      <c r="V90" s="110"/>
      <c r="W90" s="110"/>
      <c r="X90" s="200" t="s">
        <v>137</v>
      </c>
      <c r="Y90" s="200"/>
      <c r="Z90" s="200"/>
      <c r="AA90" s="200"/>
      <c r="AB90" s="202"/>
      <c r="AC90" s="202">
        <f>SUM(AC91:AC92)</f>
        <v>50000</v>
      </c>
      <c r="AD90" s="201" t="s">
        <v>25</v>
      </c>
      <c r="AE90" s="1"/>
    </row>
    <row r="91" spans="1:31" s="12" customFormat="1" ht="20.25" customHeight="1">
      <c r="A91" s="51"/>
      <c r="B91" s="52"/>
      <c r="C91" s="52"/>
      <c r="D91" s="133"/>
      <c r="E91" s="133"/>
      <c r="F91" s="133"/>
      <c r="G91" s="133"/>
      <c r="H91" s="133"/>
      <c r="I91" s="133"/>
      <c r="J91" s="133"/>
      <c r="K91" s="133"/>
      <c r="L91" s="87"/>
      <c r="M91" s="249" t="s">
        <v>181</v>
      </c>
      <c r="N91" s="151"/>
      <c r="O91" s="151"/>
      <c r="P91" s="151"/>
      <c r="Q91" s="141"/>
      <c r="R91" s="141"/>
      <c r="S91" s="150"/>
      <c r="T91" s="150"/>
      <c r="U91" s="150"/>
      <c r="V91" s="150"/>
      <c r="W91" s="150"/>
      <c r="X91" s="150"/>
      <c r="Y91" s="150"/>
      <c r="Z91" s="150"/>
      <c r="AA91" s="150" t="s">
        <v>278</v>
      </c>
      <c r="AB91" s="84"/>
      <c r="AC91" s="84">
        <v>0</v>
      </c>
      <c r="AD91" s="64" t="s">
        <v>174</v>
      </c>
      <c r="AE91" s="2"/>
    </row>
    <row r="92" spans="1:31" s="12" customFormat="1" ht="20.25" customHeight="1">
      <c r="A92" s="51"/>
      <c r="B92" s="52"/>
      <c r="C92" s="53"/>
      <c r="D92" s="133"/>
      <c r="E92" s="133"/>
      <c r="F92" s="133"/>
      <c r="G92" s="133"/>
      <c r="H92" s="133"/>
      <c r="I92" s="133"/>
      <c r="J92" s="133"/>
      <c r="K92" s="133"/>
      <c r="L92" s="87"/>
      <c r="M92" s="88"/>
      <c r="N92" s="263"/>
      <c r="O92" s="263"/>
      <c r="P92" s="263"/>
      <c r="Q92" s="107"/>
      <c r="R92" s="107"/>
      <c r="S92" s="262"/>
      <c r="T92" s="262"/>
      <c r="U92" s="262"/>
      <c r="V92" s="262"/>
      <c r="W92" s="262"/>
      <c r="X92" s="262"/>
      <c r="Y92" s="262"/>
      <c r="Z92" s="262"/>
      <c r="AA92" s="262" t="s">
        <v>305</v>
      </c>
      <c r="AB92" s="89"/>
      <c r="AC92" s="89">
        <v>50000</v>
      </c>
      <c r="AD92" s="90" t="s">
        <v>307</v>
      </c>
      <c r="AE92" s="2"/>
    </row>
    <row r="93" spans="1:31" s="12" customFormat="1" ht="21" customHeight="1">
      <c r="A93" s="136" t="s">
        <v>48</v>
      </c>
      <c r="B93" s="582" t="s">
        <v>21</v>
      </c>
      <c r="C93" s="582"/>
      <c r="D93" s="227">
        <v>2870</v>
      </c>
      <c r="E93" s="227">
        <f>E94</f>
        <v>2318.98</v>
      </c>
      <c r="F93" s="227">
        <f>F94</f>
        <v>0</v>
      </c>
      <c r="G93" s="227">
        <f>G94</f>
        <v>990</v>
      </c>
      <c r="H93" s="227">
        <f>H94</f>
        <v>1328.98</v>
      </c>
      <c r="I93" s="227">
        <v>0</v>
      </c>
      <c r="J93" s="227">
        <f t="shared" ref="J93" si="9">J94</f>
        <v>0</v>
      </c>
      <c r="K93" s="227">
        <f>E93-D93</f>
        <v>-551.02</v>
      </c>
      <c r="L93" s="193">
        <f>IF(D93=0,0,K93/D93)</f>
        <v>-0.19199303135888501</v>
      </c>
      <c r="M93" s="350" t="s">
        <v>145</v>
      </c>
      <c r="N93" s="350"/>
      <c r="O93" s="350"/>
      <c r="P93" s="350"/>
      <c r="Q93" s="351"/>
      <c r="R93" s="351"/>
      <c r="S93" s="351"/>
      <c r="T93" s="351"/>
      <c r="U93" s="351"/>
      <c r="V93" s="351"/>
      <c r="W93" s="351"/>
      <c r="X93" s="351"/>
      <c r="Y93" s="351"/>
      <c r="Z93" s="351"/>
      <c r="AA93" s="351"/>
      <c r="AB93" s="351"/>
      <c r="AC93" s="351">
        <f>AC94</f>
        <v>2318980</v>
      </c>
      <c r="AD93" s="352" t="s">
        <v>25</v>
      </c>
      <c r="AE93" s="2"/>
    </row>
    <row r="94" spans="1:31" s="12" customFormat="1" ht="21" customHeight="1">
      <c r="A94" s="226" t="s">
        <v>152</v>
      </c>
      <c r="B94" s="52" t="s">
        <v>18</v>
      </c>
      <c r="C94" s="52" t="s">
        <v>146</v>
      </c>
      <c r="D94" s="133">
        <v>2870</v>
      </c>
      <c r="E94" s="133">
        <f>SUM(E95,E99,E104)</f>
        <v>2318.98</v>
      </c>
      <c r="F94" s="133">
        <f>F95+F99+F104</f>
        <v>0</v>
      </c>
      <c r="G94" s="133">
        <f>SUM(G95,G99,G104)</f>
        <v>990</v>
      </c>
      <c r="H94" s="133">
        <f>SUM(H99,H104)</f>
        <v>1328.98</v>
      </c>
      <c r="I94" s="133">
        <v>0</v>
      </c>
      <c r="J94" s="133">
        <f t="shared" ref="J94" si="10">SUM(J95,J99,J104)</f>
        <v>0</v>
      </c>
      <c r="K94" s="133">
        <f>E94-D94</f>
        <v>-551.02</v>
      </c>
      <c r="L94" s="87">
        <f>IF(D94=0,0,K94/D94)</f>
        <v>-0.19199303135888501</v>
      </c>
      <c r="M94" s="222" t="s">
        <v>147</v>
      </c>
      <c r="N94" s="117"/>
      <c r="O94" s="117"/>
      <c r="P94" s="117"/>
      <c r="Q94" s="117"/>
      <c r="R94" s="222"/>
      <c r="S94" s="110"/>
      <c r="T94" s="110"/>
      <c r="U94" s="110"/>
      <c r="V94" s="110"/>
      <c r="W94" s="110"/>
      <c r="X94" s="110"/>
      <c r="Y94" s="110"/>
      <c r="Z94" s="110"/>
      <c r="AA94" s="110"/>
      <c r="AB94" s="118"/>
      <c r="AC94" s="118">
        <f>SUM(AC95,AC99,AC104)</f>
        <v>2318980</v>
      </c>
      <c r="AD94" s="119" t="s">
        <v>25</v>
      </c>
      <c r="AE94" s="1"/>
    </row>
    <row r="95" spans="1:31" s="12" customFormat="1" ht="21" customHeight="1">
      <c r="A95" s="51"/>
      <c r="B95" s="52"/>
      <c r="C95" s="42" t="s">
        <v>147</v>
      </c>
      <c r="D95" s="224">
        <v>0</v>
      </c>
      <c r="E95" s="138">
        <f>SUM(F95:J95)</f>
        <v>0</v>
      </c>
      <c r="F95" s="224">
        <f>ROUND(AC96/1000,0)</f>
        <v>0</v>
      </c>
      <c r="G95" s="224">
        <v>0</v>
      </c>
      <c r="H95" s="224">
        <v>0</v>
      </c>
      <c r="I95" s="224">
        <v>0</v>
      </c>
      <c r="J95" s="224">
        <v>0</v>
      </c>
      <c r="K95" s="224">
        <f>E95-D95</f>
        <v>0</v>
      </c>
      <c r="L95" s="225">
        <f>IF(D95=0,0,K95/D95)</f>
        <v>0</v>
      </c>
      <c r="M95" s="121" t="s">
        <v>49</v>
      </c>
      <c r="N95" s="222"/>
      <c r="O95" s="222"/>
      <c r="P95" s="222"/>
      <c r="Q95" s="222"/>
      <c r="R95" s="222"/>
      <c r="S95" s="221"/>
      <c r="T95" s="221"/>
      <c r="U95" s="221"/>
      <c r="V95" s="221"/>
      <c r="W95" s="221"/>
      <c r="X95" s="200" t="s">
        <v>137</v>
      </c>
      <c r="Y95" s="200"/>
      <c r="Z95" s="200"/>
      <c r="AA95" s="200"/>
      <c r="AB95" s="202"/>
      <c r="AC95" s="202">
        <f>SUM(AC96:AC96)</f>
        <v>0</v>
      </c>
      <c r="AD95" s="201" t="s">
        <v>25</v>
      </c>
      <c r="AE95" s="1"/>
    </row>
    <row r="96" spans="1:31" s="12" customFormat="1" ht="21" customHeight="1">
      <c r="A96" s="51"/>
      <c r="B96" s="52"/>
      <c r="C96" s="52"/>
      <c r="D96" s="133"/>
      <c r="E96" s="133"/>
      <c r="F96" s="133"/>
      <c r="G96" s="133"/>
      <c r="H96" s="133"/>
      <c r="I96" s="133"/>
      <c r="J96" s="133"/>
      <c r="K96" s="133"/>
      <c r="L96" s="87"/>
      <c r="M96" s="523" t="s">
        <v>461</v>
      </c>
      <c r="N96" s="175"/>
      <c r="O96" s="175"/>
      <c r="P96" s="175"/>
      <c r="Q96" s="175"/>
      <c r="R96" s="218"/>
      <c r="S96" s="174"/>
      <c r="T96" s="174"/>
      <c r="U96" s="174"/>
      <c r="V96" s="174"/>
      <c r="W96" s="174"/>
      <c r="X96" s="174"/>
      <c r="Y96" s="174"/>
      <c r="Z96" s="174"/>
      <c r="AA96" s="176"/>
      <c r="AB96" s="58"/>
      <c r="AC96" s="84">
        <v>0</v>
      </c>
      <c r="AD96" s="64" t="s">
        <v>112</v>
      </c>
      <c r="AE96" s="2"/>
    </row>
    <row r="97" spans="1:31" s="12" customFormat="1" ht="21" customHeight="1">
      <c r="A97" s="51"/>
      <c r="B97" s="52"/>
      <c r="C97" s="52"/>
      <c r="D97" s="133"/>
      <c r="E97" s="133"/>
      <c r="F97" s="133"/>
      <c r="G97" s="133"/>
      <c r="H97" s="133"/>
      <c r="I97" s="133"/>
      <c r="J97" s="133"/>
      <c r="K97" s="133"/>
      <c r="L97" s="87"/>
      <c r="M97" s="279"/>
      <c r="N97" s="218"/>
      <c r="O97" s="218"/>
      <c r="P97" s="218"/>
      <c r="Q97" s="218"/>
      <c r="R97" s="218"/>
      <c r="S97" s="217"/>
      <c r="T97" s="217"/>
      <c r="U97" s="217"/>
      <c r="V97" s="217"/>
      <c r="W97" s="217"/>
      <c r="X97" s="217"/>
      <c r="Y97" s="217"/>
      <c r="Z97" s="217"/>
      <c r="AA97" s="278"/>
      <c r="AB97" s="58"/>
      <c r="AC97" s="84"/>
      <c r="AD97" s="64"/>
      <c r="AE97" s="2"/>
    </row>
    <row r="98" spans="1:31" s="12" customFormat="1" ht="21" customHeight="1">
      <c r="A98" s="51"/>
      <c r="B98" s="52"/>
      <c r="C98" s="52"/>
      <c r="D98" s="133"/>
      <c r="E98" s="133"/>
      <c r="F98" s="133"/>
      <c r="G98" s="133"/>
      <c r="H98" s="133"/>
      <c r="I98" s="133"/>
      <c r="J98" s="133"/>
      <c r="K98" s="133"/>
      <c r="L98" s="87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60"/>
      <c r="AD98" s="149"/>
      <c r="AE98" s="2"/>
    </row>
    <row r="99" spans="1:31" s="12" customFormat="1" ht="21" customHeight="1">
      <c r="A99" s="51"/>
      <c r="B99" s="52"/>
      <c r="C99" s="42" t="s">
        <v>19</v>
      </c>
      <c r="D99" s="137">
        <v>870</v>
      </c>
      <c r="E99" s="138">
        <f>SUM(F99:J99)</f>
        <v>1328.98</v>
      </c>
      <c r="F99" s="137"/>
      <c r="G99" s="137"/>
      <c r="H99" s="137">
        <f>SUM(AC100:AC101)/1000</f>
        <v>1328.98</v>
      </c>
      <c r="I99" s="137">
        <v>0</v>
      </c>
      <c r="J99" s="137">
        <v>0</v>
      </c>
      <c r="K99" s="137">
        <f>E99-D99</f>
        <v>458.98</v>
      </c>
      <c r="L99" s="145">
        <f>IF(D99=0,0,K99/D99)</f>
        <v>0.52756321839080467</v>
      </c>
      <c r="M99" s="121" t="s">
        <v>50</v>
      </c>
      <c r="N99" s="117"/>
      <c r="O99" s="117"/>
      <c r="P99" s="117"/>
      <c r="Q99" s="117"/>
      <c r="R99" s="222"/>
      <c r="S99" s="110"/>
      <c r="T99" s="110"/>
      <c r="U99" s="110"/>
      <c r="V99" s="110"/>
      <c r="W99" s="110"/>
      <c r="X99" s="200" t="s">
        <v>137</v>
      </c>
      <c r="Y99" s="200"/>
      <c r="Z99" s="200"/>
      <c r="AA99" s="200"/>
      <c r="AB99" s="202"/>
      <c r="AC99" s="202">
        <f>SUM(AC100:AC103)</f>
        <v>1328980</v>
      </c>
      <c r="AD99" s="201" t="s">
        <v>25</v>
      </c>
      <c r="AE99" s="1"/>
    </row>
    <row r="100" spans="1:31" s="12" customFormat="1" ht="21" customHeight="1">
      <c r="A100" s="51"/>
      <c r="B100" s="52"/>
      <c r="C100" s="52"/>
      <c r="D100" s="133"/>
      <c r="E100" s="133"/>
      <c r="F100" s="133"/>
      <c r="G100" s="133"/>
      <c r="H100" s="133"/>
      <c r="I100" s="133"/>
      <c r="J100" s="133"/>
      <c r="K100" s="133"/>
      <c r="L100" s="87"/>
      <c r="M100" s="319" t="s">
        <v>283</v>
      </c>
      <c r="N100" s="56"/>
      <c r="O100" s="56"/>
      <c r="P100" s="38"/>
      <c r="Q100" s="38"/>
      <c r="R100" s="218"/>
      <c r="S100" s="39"/>
      <c r="T100" s="39"/>
      <c r="U100" s="39"/>
      <c r="V100" s="39"/>
      <c r="W100" s="39"/>
      <c r="X100" s="39"/>
      <c r="Y100" s="39"/>
      <c r="Z100" s="39"/>
      <c r="AA100" s="333" t="s">
        <v>287</v>
      </c>
      <c r="AB100" s="58"/>
      <c r="AC100" s="84">
        <v>688980</v>
      </c>
      <c r="AD100" s="64" t="s">
        <v>25</v>
      </c>
      <c r="AE100" s="2"/>
    </row>
    <row r="101" spans="1:31" s="12" customFormat="1" ht="21" customHeight="1">
      <c r="A101" s="51"/>
      <c r="B101" s="52"/>
      <c r="C101" s="52"/>
      <c r="D101" s="133"/>
      <c r="E101" s="133"/>
      <c r="F101" s="133"/>
      <c r="G101" s="133"/>
      <c r="H101" s="133"/>
      <c r="I101" s="133"/>
      <c r="J101" s="133"/>
      <c r="K101" s="133"/>
      <c r="L101" s="87"/>
      <c r="M101" s="370" t="s">
        <v>277</v>
      </c>
      <c r="N101" s="370"/>
      <c r="O101" s="370"/>
      <c r="P101" s="370"/>
      <c r="Q101" s="370"/>
      <c r="R101" s="370"/>
      <c r="S101" s="369"/>
      <c r="T101" s="217"/>
      <c r="U101" s="217"/>
      <c r="V101" s="217"/>
      <c r="W101" s="217"/>
      <c r="X101" s="217"/>
      <c r="Y101" s="217"/>
      <c r="Z101" s="217"/>
      <c r="AA101" s="369" t="s">
        <v>275</v>
      </c>
      <c r="AB101" s="58"/>
      <c r="AC101" s="84">
        <v>640000</v>
      </c>
      <c r="AD101" s="64" t="s">
        <v>25</v>
      </c>
      <c r="AE101" s="2"/>
    </row>
    <row r="102" spans="1:31" s="12" customFormat="1" ht="21" customHeight="1">
      <c r="A102" s="51"/>
      <c r="B102" s="340"/>
      <c r="C102" s="340"/>
      <c r="D102" s="133"/>
      <c r="E102" s="133"/>
      <c r="F102" s="133"/>
      <c r="G102" s="133"/>
      <c r="H102" s="133"/>
      <c r="I102" s="133"/>
      <c r="J102" s="133"/>
      <c r="K102" s="133"/>
      <c r="L102" s="87"/>
      <c r="M102" s="360"/>
      <c r="N102" s="360"/>
      <c r="O102" s="360"/>
      <c r="P102" s="360"/>
      <c r="Q102" s="360"/>
      <c r="R102" s="360"/>
      <c r="S102" s="359"/>
      <c r="T102" s="217"/>
      <c r="U102" s="217"/>
      <c r="V102" s="217"/>
      <c r="W102" s="217"/>
      <c r="X102" s="217"/>
      <c r="Y102" s="217"/>
      <c r="Z102" s="217"/>
      <c r="AA102" s="359"/>
      <c r="AB102" s="58"/>
      <c r="AC102" s="84"/>
      <c r="AD102" s="64"/>
      <c r="AE102" s="2"/>
    </row>
    <row r="103" spans="1:31" s="12" customFormat="1" ht="21" customHeight="1">
      <c r="A103" s="51"/>
      <c r="B103" s="52"/>
      <c r="C103" s="52"/>
      <c r="D103" s="133"/>
      <c r="E103" s="133"/>
      <c r="F103" s="133"/>
      <c r="G103" s="135"/>
      <c r="H103" s="133"/>
      <c r="I103" s="133"/>
      <c r="J103" s="133"/>
      <c r="K103" s="133"/>
      <c r="L103" s="87"/>
      <c r="M103" s="360"/>
      <c r="N103" s="56"/>
      <c r="O103" s="56"/>
      <c r="P103" s="56"/>
      <c r="Q103" s="57"/>
      <c r="R103" s="275"/>
      <c r="S103" s="141"/>
      <c r="T103" s="61"/>
      <c r="U103" s="84"/>
      <c r="V103" s="84"/>
      <c r="W103" s="57"/>
      <c r="X103" s="57"/>
      <c r="Y103" s="57"/>
      <c r="Z103" s="57"/>
      <c r="AA103" s="57"/>
      <c r="AB103" s="57"/>
      <c r="AC103" s="57"/>
      <c r="AD103" s="64"/>
      <c r="AE103" s="2"/>
    </row>
    <row r="104" spans="1:31" s="12" customFormat="1" ht="21" customHeight="1">
      <c r="A104" s="51"/>
      <c r="B104" s="52"/>
      <c r="C104" s="42" t="s">
        <v>51</v>
      </c>
      <c r="D104" s="137">
        <v>2000</v>
      </c>
      <c r="E104" s="138">
        <f>SUM(F104:J104)</f>
        <v>990</v>
      </c>
      <c r="F104" s="137"/>
      <c r="G104" s="296">
        <f>AC105/1000</f>
        <v>990</v>
      </c>
      <c r="H104" s="137"/>
      <c r="I104" s="137"/>
      <c r="J104" s="137">
        <v>0</v>
      </c>
      <c r="K104" s="137">
        <f>E104-D104</f>
        <v>-1010</v>
      </c>
      <c r="L104" s="145">
        <f>IF(D104=0,0,K104/D104)</f>
        <v>-0.505</v>
      </c>
      <c r="M104" s="121" t="s">
        <v>52</v>
      </c>
      <c r="N104" s="117"/>
      <c r="O104" s="117"/>
      <c r="P104" s="117"/>
      <c r="Q104" s="117"/>
      <c r="R104" s="222"/>
      <c r="S104" s="110"/>
      <c r="T104" s="110"/>
      <c r="U104" s="110"/>
      <c r="V104" s="110"/>
      <c r="W104" s="110"/>
      <c r="X104" s="200" t="s">
        <v>137</v>
      </c>
      <c r="Y104" s="200"/>
      <c r="Z104" s="200"/>
      <c r="AA104" s="200"/>
      <c r="AB104" s="202"/>
      <c r="AC104" s="202">
        <f>SUM(AC105:AC105)</f>
        <v>990000</v>
      </c>
      <c r="AD104" s="201" t="s">
        <v>25</v>
      </c>
      <c r="AE104" s="1"/>
    </row>
    <row r="105" spans="1:31" s="1" customFormat="1" ht="21" customHeight="1">
      <c r="A105" s="51"/>
      <c r="B105" s="52"/>
      <c r="C105" s="52" t="s">
        <v>158</v>
      </c>
      <c r="D105" s="133"/>
      <c r="E105" s="133"/>
      <c r="F105" s="133"/>
      <c r="G105" s="133"/>
      <c r="H105" s="133"/>
      <c r="I105" s="133"/>
      <c r="J105" s="133"/>
      <c r="K105" s="133"/>
      <c r="L105" s="87"/>
      <c r="M105" s="334" t="s">
        <v>324</v>
      </c>
      <c r="N105" s="56"/>
      <c r="O105" s="56"/>
      <c r="P105" s="56"/>
      <c r="Q105" s="57"/>
      <c r="R105" s="275"/>
      <c r="S105" s="61"/>
      <c r="T105" s="61"/>
      <c r="U105" s="57"/>
      <c r="V105" s="56"/>
      <c r="W105" s="57"/>
      <c r="X105" s="57"/>
      <c r="Y105" s="57"/>
      <c r="Z105" s="57"/>
      <c r="AA105" s="333" t="s">
        <v>288</v>
      </c>
      <c r="AB105" s="57"/>
      <c r="AC105" s="219">
        <v>990000</v>
      </c>
      <c r="AD105" s="64" t="s">
        <v>25</v>
      </c>
      <c r="AE105" s="2"/>
    </row>
    <row r="106" spans="1:31" s="1" customFormat="1" ht="21" customHeight="1">
      <c r="A106" s="51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186"/>
      <c r="N106" s="56"/>
      <c r="O106" s="56"/>
      <c r="P106" s="56"/>
      <c r="Q106" s="57"/>
      <c r="R106" s="275"/>
      <c r="S106" s="61"/>
      <c r="T106" s="61"/>
      <c r="U106" s="57"/>
      <c r="V106" s="56"/>
      <c r="W106" s="57"/>
      <c r="X106" s="57"/>
      <c r="Y106" s="57"/>
      <c r="Z106" s="57"/>
      <c r="AA106" s="150"/>
      <c r="AB106" s="57"/>
      <c r="AC106" s="57"/>
      <c r="AD106" s="64"/>
      <c r="AE106" s="2"/>
    </row>
    <row r="107" spans="1:31" s="12" customFormat="1" ht="21" customHeight="1">
      <c r="A107" s="228" t="s">
        <v>20</v>
      </c>
      <c r="B107" s="597" t="s">
        <v>21</v>
      </c>
      <c r="C107" s="598"/>
      <c r="D107" s="229">
        <v>16479</v>
      </c>
      <c r="E107" s="229">
        <f>SUM(E108,E130)</f>
        <v>15097.598999999998</v>
      </c>
      <c r="F107" s="229">
        <f>SUM(F108,F130)</f>
        <v>8550.33</v>
      </c>
      <c r="G107" s="229">
        <f>SUM(G108,G130)</f>
        <v>0</v>
      </c>
      <c r="H107" s="229">
        <f>SUM(H108,H130)</f>
        <v>4913.3099999999995</v>
      </c>
      <c r="I107" s="229">
        <f>I108+I116+I120+I123+I130</f>
        <v>1633.902</v>
      </c>
      <c r="J107" s="229">
        <f>SUM(J108,J130)</f>
        <v>5.7000000000000002E-2</v>
      </c>
      <c r="K107" s="229">
        <f>SUM(K108,K116,K120,K123,K127)</f>
        <v>-903.43100000000163</v>
      </c>
      <c r="L107" s="230">
        <f>IF(D107=0,0,K107/D107)</f>
        <v>-5.4823168881606994E-2</v>
      </c>
      <c r="M107" s="353" t="s">
        <v>149</v>
      </c>
      <c r="N107" s="353"/>
      <c r="O107" s="353"/>
      <c r="P107" s="353"/>
      <c r="Q107" s="353"/>
      <c r="R107" s="353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>
        <f>SUM(AC108,AC130)</f>
        <v>15097599</v>
      </c>
      <c r="AD107" s="355" t="s">
        <v>25</v>
      </c>
      <c r="AE107" s="14"/>
    </row>
    <row r="108" spans="1:31" s="12" customFormat="1" ht="21" customHeight="1">
      <c r="A108" s="52"/>
      <c r="B108" s="42" t="s">
        <v>104</v>
      </c>
      <c r="C108" s="42" t="s">
        <v>150</v>
      </c>
      <c r="D108" s="137">
        <v>13131</v>
      </c>
      <c r="E108" s="137">
        <f>SUM(E109,E116,E120,E123,E127)</f>
        <v>12027.598999999998</v>
      </c>
      <c r="F108" s="137">
        <f>SUM(F109,F116,F120,F123,F127)</f>
        <v>8550.33</v>
      </c>
      <c r="G108" s="137">
        <f>SUM(G109,G116,G120,G123,G127)</f>
        <v>0</v>
      </c>
      <c r="H108" s="137">
        <f>SUM(H109,H116,H120,H123,H127)</f>
        <v>2043.31</v>
      </c>
      <c r="I108" s="137">
        <f>I109</f>
        <v>667.702</v>
      </c>
      <c r="J108" s="137">
        <f>SUM(J109,J116,J120,J123,J127)</f>
        <v>5.7000000000000002E-2</v>
      </c>
      <c r="K108" s="137">
        <f>E108-D108</f>
        <v>-1103.4010000000017</v>
      </c>
      <c r="L108" s="145">
        <f>IF(D108=0,0,K108/D108)</f>
        <v>-8.4030233797883006E-2</v>
      </c>
      <c r="M108" s="117"/>
      <c r="N108" s="117"/>
      <c r="O108" s="117"/>
      <c r="P108" s="117"/>
      <c r="Q108" s="117"/>
      <c r="R108" s="222"/>
      <c r="S108" s="110"/>
      <c r="T108" s="110"/>
      <c r="U108" s="110"/>
      <c r="V108" s="110"/>
      <c r="W108" s="110"/>
      <c r="X108" s="110" t="s">
        <v>28</v>
      </c>
      <c r="Y108" s="110"/>
      <c r="Z108" s="110"/>
      <c r="AA108" s="110"/>
      <c r="AB108" s="118"/>
      <c r="AC108" s="118">
        <f>SUM(AC109,AC116,AC120,AC123,AC127)</f>
        <v>12027599</v>
      </c>
      <c r="AD108" s="119" t="s">
        <v>25</v>
      </c>
      <c r="AE108" s="1"/>
    </row>
    <row r="109" spans="1:31" s="12" customFormat="1" ht="21" customHeight="1">
      <c r="A109" s="52"/>
      <c r="B109" s="52"/>
      <c r="C109" s="42" t="s">
        <v>59</v>
      </c>
      <c r="D109" s="137">
        <v>11140</v>
      </c>
      <c r="E109" s="138">
        <f>SUM(F109:J109)</f>
        <v>9836.628999999999</v>
      </c>
      <c r="F109" s="137">
        <f>SUM(AC110)/1000</f>
        <v>7484.36</v>
      </c>
      <c r="G109" s="137">
        <v>0</v>
      </c>
      <c r="H109" s="137">
        <f>(AC111+AC114)/1000</f>
        <v>1684.51</v>
      </c>
      <c r="I109" s="526">
        <f>SUM(AC112,AC113)/1000</f>
        <v>667.702</v>
      </c>
      <c r="J109" s="137">
        <f>AC115/1000</f>
        <v>5.7000000000000002E-2</v>
      </c>
      <c r="K109" s="137">
        <f>E109-D109</f>
        <v>-1303.371000000001</v>
      </c>
      <c r="L109" s="145">
        <f>IF(D109=0,0,K109/D109)</f>
        <v>-0.11699919210053869</v>
      </c>
      <c r="M109" s="121" t="s">
        <v>105</v>
      </c>
      <c r="N109" s="222"/>
      <c r="O109" s="222"/>
      <c r="P109" s="222"/>
      <c r="Q109" s="222"/>
      <c r="R109" s="222"/>
      <c r="S109" s="221"/>
      <c r="T109" s="221"/>
      <c r="U109" s="221"/>
      <c r="V109" s="221"/>
      <c r="W109" s="221"/>
      <c r="X109" s="200" t="s">
        <v>137</v>
      </c>
      <c r="Y109" s="200"/>
      <c r="Z109" s="200"/>
      <c r="AA109" s="200"/>
      <c r="AB109" s="202"/>
      <c r="AC109" s="202">
        <f>SUM(AC110:AC115)</f>
        <v>9836629</v>
      </c>
      <c r="AD109" s="201" t="s">
        <v>25</v>
      </c>
      <c r="AE109" s="1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49" t="s">
        <v>182</v>
      </c>
      <c r="N110" s="56"/>
      <c r="O110" s="57"/>
      <c r="P110" s="57"/>
      <c r="Q110" s="57"/>
      <c r="R110" s="275"/>
      <c r="S110" s="378"/>
      <c r="T110" s="379"/>
      <c r="U110" s="378"/>
      <c r="V110" s="378"/>
      <c r="W110" s="379"/>
      <c r="X110" s="57"/>
      <c r="Y110" s="57"/>
      <c r="Z110" s="378"/>
      <c r="AA110" s="57" t="s">
        <v>97</v>
      </c>
      <c r="AB110" s="84"/>
      <c r="AC110" s="84">
        <v>7484360</v>
      </c>
      <c r="AD110" s="64" t="s">
        <v>25</v>
      </c>
      <c r="AE110" s="2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186" t="s">
        <v>111</v>
      </c>
      <c r="N111" s="172"/>
      <c r="O111" s="172"/>
      <c r="P111" s="172"/>
      <c r="Q111" s="171"/>
      <c r="R111" s="275"/>
      <c r="S111" s="61"/>
      <c r="T111" s="61"/>
      <c r="U111" s="171"/>
      <c r="V111" s="171"/>
      <c r="W111" s="61"/>
      <c r="X111" s="171"/>
      <c r="Y111" s="171"/>
      <c r="Z111" s="170"/>
      <c r="AA111" s="171" t="s">
        <v>110</v>
      </c>
      <c r="AB111" s="171"/>
      <c r="AC111" s="171">
        <v>1512435</v>
      </c>
      <c r="AD111" s="155" t="s">
        <v>86</v>
      </c>
      <c r="AE111" s="2"/>
    </row>
    <row r="112" spans="1:31" s="12" customFormat="1" ht="21" customHeight="1">
      <c r="A112" s="52"/>
      <c r="B112" s="52"/>
      <c r="C112" s="52"/>
      <c r="D112" s="133"/>
      <c r="E112" s="133"/>
      <c r="F112" s="133"/>
      <c r="G112" s="133"/>
      <c r="H112" s="133"/>
      <c r="I112" s="133"/>
      <c r="J112" s="133"/>
      <c r="K112" s="133"/>
      <c r="L112" s="87"/>
      <c r="M112" s="261" t="s">
        <v>191</v>
      </c>
      <c r="N112" s="261"/>
      <c r="O112" s="261"/>
      <c r="P112" s="261"/>
      <c r="Q112" s="260"/>
      <c r="R112" s="275"/>
      <c r="S112" s="61"/>
      <c r="T112" s="61"/>
      <c r="U112" s="260"/>
      <c r="V112" s="260"/>
      <c r="W112" s="61"/>
      <c r="X112" s="260"/>
      <c r="Y112" s="260"/>
      <c r="Z112" s="231"/>
      <c r="AA112" s="500" t="s">
        <v>439</v>
      </c>
      <c r="AB112" s="260"/>
      <c r="AC112" s="260">
        <v>140000</v>
      </c>
      <c r="AD112" s="155" t="s">
        <v>192</v>
      </c>
      <c r="AE112" s="2"/>
    </row>
    <row r="113" spans="1:31" s="12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327" t="s">
        <v>286</v>
      </c>
      <c r="N113" s="279"/>
      <c r="O113" s="279"/>
      <c r="P113" s="279"/>
      <c r="Q113" s="326"/>
      <c r="R113" s="326"/>
      <c r="S113" s="326"/>
      <c r="T113" s="61"/>
      <c r="U113" s="326"/>
      <c r="V113" s="326"/>
      <c r="W113" s="61"/>
      <c r="X113" s="326"/>
      <c r="Y113" s="326"/>
      <c r="Z113" s="231"/>
      <c r="AA113" s="326" t="s">
        <v>284</v>
      </c>
      <c r="AB113" s="84"/>
      <c r="AC113" s="84">
        <v>527702</v>
      </c>
      <c r="AD113" s="64" t="s">
        <v>285</v>
      </c>
      <c r="AE113" s="2"/>
    </row>
    <row r="114" spans="1:31" s="12" customFormat="1" ht="21" customHeight="1">
      <c r="A114" s="340"/>
      <c r="B114" s="340"/>
      <c r="C114" s="340"/>
      <c r="D114" s="133"/>
      <c r="E114" s="133"/>
      <c r="F114" s="133"/>
      <c r="G114" s="133"/>
      <c r="H114" s="133"/>
      <c r="I114" s="133"/>
      <c r="J114" s="133"/>
      <c r="K114" s="133"/>
      <c r="L114" s="87"/>
      <c r="M114" s="372" t="s">
        <v>298</v>
      </c>
      <c r="N114" s="372"/>
      <c r="O114" s="372"/>
      <c r="P114" s="372"/>
      <c r="Q114" s="371"/>
      <c r="R114" s="371"/>
      <c r="S114" s="371"/>
      <c r="T114" s="61"/>
      <c r="U114" s="371"/>
      <c r="V114" s="371"/>
      <c r="W114" s="61"/>
      <c r="X114" s="371"/>
      <c r="Y114" s="371"/>
      <c r="Z114" s="231"/>
      <c r="AA114" s="371" t="s">
        <v>300</v>
      </c>
      <c r="AB114" s="84"/>
      <c r="AC114" s="84">
        <v>172075</v>
      </c>
      <c r="AD114" s="64" t="s">
        <v>301</v>
      </c>
      <c r="AE114" s="2"/>
    </row>
    <row r="115" spans="1:31" s="12" customFormat="1" ht="21" customHeight="1">
      <c r="A115" s="52"/>
      <c r="B115" s="52"/>
      <c r="C115" s="66"/>
      <c r="D115" s="135"/>
      <c r="E115" s="135"/>
      <c r="F115" s="135"/>
      <c r="G115" s="135"/>
      <c r="H115" s="135"/>
      <c r="I115" s="135"/>
      <c r="J115" s="135"/>
      <c r="K115" s="135"/>
      <c r="L115" s="105"/>
      <c r="M115" s="141" t="s">
        <v>299</v>
      </c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 t="s">
        <v>289</v>
      </c>
      <c r="AB115" s="141"/>
      <c r="AC115" s="160">
        <v>57</v>
      </c>
      <c r="AD115" s="149" t="s">
        <v>285</v>
      </c>
      <c r="AE115" s="2"/>
    </row>
    <row r="116" spans="1:31" s="12" customFormat="1" ht="21" customHeight="1">
      <c r="A116" s="52"/>
      <c r="B116" s="52"/>
      <c r="C116" s="52" t="s">
        <v>106</v>
      </c>
      <c r="D116" s="133">
        <v>1000</v>
      </c>
      <c r="E116" s="138">
        <f>SUM(F116:J116)</f>
        <v>1200</v>
      </c>
      <c r="F116" s="133">
        <f>AC117/1000</f>
        <v>900</v>
      </c>
      <c r="G116" s="133">
        <v>0</v>
      </c>
      <c r="H116" s="133">
        <v>0</v>
      </c>
      <c r="I116" s="133">
        <f>AC118/1000</f>
        <v>300</v>
      </c>
      <c r="J116" s="133">
        <v>0</v>
      </c>
      <c r="K116" s="133">
        <f>E116-D116</f>
        <v>200</v>
      </c>
      <c r="L116" s="87">
        <f>IF(D116=0,0,K116/D116)</f>
        <v>0.2</v>
      </c>
      <c r="M116" s="121" t="s">
        <v>107</v>
      </c>
      <c r="N116" s="117"/>
      <c r="O116" s="117"/>
      <c r="P116" s="117"/>
      <c r="Q116" s="117"/>
      <c r="R116" s="222"/>
      <c r="S116" s="110"/>
      <c r="T116" s="110"/>
      <c r="U116" s="110"/>
      <c r="V116" s="110"/>
      <c r="W116" s="110"/>
      <c r="X116" s="200" t="s">
        <v>137</v>
      </c>
      <c r="Y116" s="200"/>
      <c r="Z116" s="200"/>
      <c r="AA116" s="200"/>
      <c r="AB116" s="202"/>
      <c r="AC116" s="202">
        <f>SUM(AC117:AC118)</f>
        <v>1200000</v>
      </c>
      <c r="AD116" s="201" t="s">
        <v>25</v>
      </c>
      <c r="AE116" s="1"/>
    </row>
    <row r="117" spans="1:31" s="12" customFormat="1" ht="21" customHeight="1">
      <c r="A117" s="52"/>
      <c r="B117" s="52"/>
      <c r="C117" s="52" t="s">
        <v>151</v>
      </c>
      <c r="D117" s="133"/>
      <c r="E117" s="133"/>
      <c r="F117" s="133"/>
      <c r="G117" s="133"/>
      <c r="H117" s="133"/>
      <c r="I117" s="133"/>
      <c r="J117" s="133"/>
      <c r="K117" s="133"/>
      <c r="L117" s="87"/>
      <c r="M117" s="249" t="s">
        <v>183</v>
      </c>
      <c r="N117" s="56"/>
      <c r="O117" s="56"/>
      <c r="P117" s="56"/>
      <c r="Q117" s="57"/>
      <c r="R117" s="275"/>
      <c r="S117" s="61"/>
      <c r="T117" s="61"/>
      <c r="U117" s="57"/>
      <c r="V117" s="57"/>
      <c r="W117" s="57"/>
      <c r="X117" s="57"/>
      <c r="Y117" s="57"/>
      <c r="Z117" s="57"/>
      <c r="AA117" s="298" t="s">
        <v>225</v>
      </c>
      <c r="AB117" s="57"/>
      <c r="AC117" s="57">
        <v>900000</v>
      </c>
      <c r="AD117" s="64" t="s">
        <v>86</v>
      </c>
      <c r="AE117" s="2"/>
    </row>
    <row r="118" spans="1:31" s="12" customFormat="1" ht="21" customHeight="1">
      <c r="A118" s="52"/>
      <c r="B118" s="52"/>
      <c r="C118" s="52"/>
      <c r="D118" s="133"/>
      <c r="E118" s="133"/>
      <c r="F118" s="133"/>
      <c r="G118" s="133"/>
      <c r="H118" s="133"/>
      <c r="I118" s="133"/>
      <c r="J118" s="133"/>
      <c r="K118" s="133"/>
      <c r="L118" s="87"/>
      <c r="M118" s="267"/>
      <c r="N118" s="267"/>
      <c r="O118" s="267"/>
      <c r="P118" s="267"/>
      <c r="Q118" s="266"/>
      <c r="R118" s="275"/>
      <c r="S118" s="61"/>
      <c r="T118" s="61"/>
      <c r="U118" s="266"/>
      <c r="V118" s="266"/>
      <c r="W118" s="266"/>
      <c r="X118" s="266"/>
      <c r="Y118" s="266"/>
      <c r="Z118" s="266"/>
      <c r="AA118" s="266" t="s">
        <v>313</v>
      </c>
      <c r="AB118" s="266"/>
      <c r="AC118" s="266">
        <v>300000</v>
      </c>
      <c r="AD118" s="64" t="s">
        <v>307</v>
      </c>
      <c r="AE118" s="2"/>
    </row>
    <row r="119" spans="1:31" s="12" customFormat="1" ht="21" customHeight="1">
      <c r="A119" s="52"/>
      <c r="B119" s="52"/>
      <c r="C119" s="52"/>
      <c r="D119" s="133"/>
      <c r="E119" s="133"/>
      <c r="F119" s="133"/>
      <c r="G119" s="133"/>
      <c r="H119" s="133"/>
      <c r="I119" s="133"/>
      <c r="J119" s="133"/>
      <c r="K119" s="133"/>
      <c r="L119" s="87"/>
      <c r="M119" s="184"/>
      <c r="N119" s="98"/>
      <c r="O119" s="98"/>
      <c r="P119" s="98"/>
      <c r="Q119" s="97"/>
      <c r="R119" s="272"/>
      <c r="S119" s="106"/>
      <c r="T119" s="61"/>
      <c r="U119" s="89"/>
      <c r="V119" s="97"/>
      <c r="W119" s="97"/>
      <c r="X119" s="97"/>
      <c r="Y119" s="97"/>
      <c r="Z119" s="97"/>
      <c r="AA119" s="177"/>
      <c r="AB119" s="97"/>
      <c r="AC119" s="97"/>
      <c r="AD119" s="90"/>
      <c r="AE119" s="1"/>
    </row>
    <row r="120" spans="1:31" s="12" customFormat="1" ht="21" customHeight="1">
      <c r="A120" s="52"/>
      <c r="B120" s="52"/>
      <c r="C120" s="42" t="s">
        <v>101</v>
      </c>
      <c r="D120" s="137">
        <v>600</v>
      </c>
      <c r="E120" s="138">
        <f>SUM(F120:J120)</f>
        <v>600</v>
      </c>
      <c r="F120" s="137">
        <v>0</v>
      </c>
      <c r="G120" s="137">
        <v>0</v>
      </c>
      <c r="H120" s="137">
        <f>AC121/1000</f>
        <v>133.80000000000001</v>
      </c>
      <c r="I120" s="137">
        <f>AC122/1000</f>
        <v>466.2</v>
      </c>
      <c r="J120" s="137">
        <v>0</v>
      </c>
      <c r="K120" s="137">
        <f>E120-D120</f>
        <v>0</v>
      </c>
      <c r="L120" s="145">
        <f>IF(D120=0,0,K120/D120)</f>
        <v>0</v>
      </c>
      <c r="M120" s="121" t="s">
        <v>132</v>
      </c>
      <c r="N120" s="199"/>
      <c r="O120" s="117"/>
      <c r="P120" s="117"/>
      <c r="Q120" s="117"/>
      <c r="R120" s="222"/>
      <c r="S120" s="110"/>
      <c r="T120" s="110"/>
      <c r="U120" s="110"/>
      <c r="V120" s="221"/>
      <c r="W120" s="221"/>
      <c r="X120" s="200" t="s">
        <v>137</v>
      </c>
      <c r="Y120" s="200"/>
      <c r="Z120" s="200"/>
      <c r="AA120" s="200"/>
      <c r="AB120" s="202"/>
      <c r="AC120" s="202">
        <f>SUM(AC121:AC122)</f>
        <v>600000</v>
      </c>
      <c r="AD120" s="201" t="s">
        <v>25</v>
      </c>
      <c r="AE120" s="1"/>
    </row>
    <row r="121" spans="1:31" s="12" customFormat="1" ht="21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249" t="s">
        <v>184</v>
      </c>
      <c r="N121" s="56"/>
      <c r="O121" s="57"/>
      <c r="P121" s="57"/>
      <c r="Q121" s="57">
        <v>150000</v>
      </c>
      <c r="R121" s="275"/>
      <c r="S121" s="57" t="s">
        <v>86</v>
      </c>
      <c r="T121" s="56" t="s">
        <v>87</v>
      </c>
      <c r="U121" s="57">
        <v>4</v>
      </c>
      <c r="V121" s="248" t="s">
        <v>185</v>
      </c>
      <c r="W121" s="249" t="s">
        <v>186</v>
      </c>
      <c r="X121" s="57"/>
      <c r="Y121" s="57"/>
      <c r="Z121" s="57"/>
      <c r="AA121" s="298" t="s">
        <v>224</v>
      </c>
      <c r="AB121" s="84"/>
      <c r="AC121" s="84">
        <v>133800</v>
      </c>
      <c r="AD121" s="64" t="s">
        <v>25</v>
      </c>
      <c r="AE121" s="1"/>
    </row>
    <row r="122" spans="1:31" s="12" customFormat="1" ht="21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209"/>
      <c r="N122" s="56"/>
      <c r="O122" s="57"/>
      <c r="P122" s="57"/>
      <c r="Q122" s="57"/>
      <c r="R122" s="275"/>
      <c r="S122" s="359"/>
      <c r="T122" s="360"/>
      <c r="U122" s="359"/>
      <c r="V122" s="359"/>
      <c r="W122" s="360"/>
      <c r="X122" s="57"/>
      <c r="Y122" s="57"/>
      <c r="Z122" s="57"/>
      <c r="AA122" s="524" t="s">
        <v>468</v>
      </c>
      <c r="AB122" s="84"/>
      <c r="AC122" s="84">
        <v>466200</v>
      </c>
      <c r="AD122" s="64" t="s">
        <v>470</v>
      </c>
      <c r="AE122" s="1"/>
    </row>
    <row r="123" spans="1:31" s="12" customFormat="1" ht="21" customHeight="1">
      <c r="A123" s="52"/>
      <c r="B123" s="52"/>
      <c r="C123" s="42" t="s">
        <v>102</v>
      </c>
      <c r="D123" s="137">
        <v>310</v>
      </c>
      <c r="E123" s="138">
        <f>SUM(F123:J123)</f>
        <v>310</v>
      </c>
      <c r="F123" s="137">
        <f>AC124/1000</f>
        <v>160</v>
      </c>
      <c r="G123" s="137">
        <v>0</v>
      </c>
      <c r="H123" s="137">
        <f>AC125/1000</f>
        <v>150</v>
      </c>
      <c r="I123" s="137">
        <v>0</v>
      </c>
      <c r="J123" s="137">
        <v>0</v>
      </c>
      <c r="K123" s="137">
        <f>E123-D123</f>
        <v>0</v>
      </c>
      <c r="L123" s="145">
        <f>IF(D123=0,0,K123/D123)</f>
        <v>0</v>
      </c>
      <c r="M123" s="121" t="s">
        <v>133</v>
      </c>
      <c r="N123" s="199"/>
      <c r="O123" s="207"/>
      <c r="P123" s="207"/>
      <c r="Q123" s="207"/>
      <c r="R123" s="222"/>
      <c r="S123" s="206"/>
      <c r="T123" s="206"/>
      <c r="U123" s="206"/>
      <c r="V123" s="221"/>
      <c r="W123" s="221"/>
      <c r="X123" s="200" t="s">
        <v>137</v>
      </c>
      <c r="Y123" s="200"/>
      <c r="Z123" s="200"/>
      <c r="AA123" s="200"/>
      <c r="AB123" s="202"/>
      <c r="AC123" s="202">
        <f>SUM(AC124:AC125)</f>
        <v>310000</v>
      </c>
      <c r="AD123" s="201" t="s">
        <v>25</v>
      </c>
      <c r="AE123" s="1"/>
    </row>
    <row r="124" spans="1:31" s="15" customFormat="1" ht="21" customHeight="1">
      <c r="A124" s="52"/>
      <c r="B124" s="52"/>
      <c r="C124" s="52"/>
      <c r="D124" s="133"/>
      <c r="E124" s="133"/>
      <c r="F124" s="133"/>
      <c r="G124" s="133"/>
      <c r="H124" s="133"/>
      <c r="I124" s="133"/>
      <c r="J124" s="133"/>
      <c r="K124" s="133"/>
      <c r="L124" s="87"/>
      <c r="M124" s="249" t="s">
        <v>187</v>
      </c>
      <c r="N124" s="56"/>
      <c r="O124" s="57"/>
      <c r="P124" s="57"/>
      <c r="Q124" s="57">
        <v>40000</v>
      </c>
      <c r="R124" s="275"/>
      <c r="S124" s="57" t="s">
        <v>86</v>
      </c>
      <c r="T124" s="56" t="s">
        <v>87</v>
      </c>
      <c r="U124" s="57">
        <v>1</v>
      </c>
      <c r="V124" s="57" t="s">
        <v>100</v>
      </c>
      <c r="W124" s="56" t="s">
        <v>87</v>
      </c>
      <c r="X124" s="57">
        <v>4</v>
      </c>
      <c r="Y124" s="57" t="s">
        <v>88</v>
      </c>
      <c r="Z124" s="57" t="s">
        <v>89</v>
      </c>
      <c r="AA124" s="298" t="s">
        <v>225</v>
      </c>
      <c r="AB124" s="84"/>
      <c r="AC124" s="84">
        <f>Q124*U124*X124</f>
        <v>160000</v>
      </c>
      <c r="AD124" s="64" t="s">
        <v>25</v>
      </c>
      <c r="AE124" s="5"/>
    </row>
    <row r="125" spans="1:31" s="15" customFormat="1" ht="21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249" t="s">
        <v>188</v>
      </c>
      <c r="N125" s="56"/>
      <c r="O125" s="56"/>
      <c r="P125" s="56"/>
      <c r="Q125" s="208"/>
      <c r="R125" s="275"/>
      <c r="S125" s="61"/>
      <c r="T125" s="61"/>
      <c r="U125" s="208"/>
      <c r="V125" s="208"/>
      <c r="W125" s="203"/>
      <c r="X125" s="161"/>
      <c r="Y125" s="92"/>
      <c r="Z125" s="215"/>
      <c r="AA125" s="298" t="s">
        <v>224</v>
      </c>
      <c r="AB125" s="57"/>
      <c r="AC125" s="57">
        <v>150000</v>
      </c>
      <c r="AD125" s="64" t="s">
        <v>25</v>
      </c>
      <c r="AE125" s="5"/>
    </row>
    <row r="126" spans="1:31" s="12" customFormat="1" ht="21" customHeight="1">
      <c r="A126" s="52"/>
      <c r="B126" s="52"/>
      <c r="C126" s="66"/>
      <c r="D126" s="189"/>
      <c r="E126" s="189"/>
      <c r="F126" s="189"/>
      <c r="G126" s="189"/>
      <c r="H126" s="189"/>
      <c r="I126" s="189"/>
      <c r="J126" s="189"/>
      <c r="K126" s="163"/>
      <c r="L126" s="105"/>
      <c r="M126" s="162"/>
      <c r="N126" s="162"/>
      <c r="O126" s="162"/>
      <c r="P126" s="162"/>
      <c r="Q126" s="162"/>
      <c r="R126" s="162"/>
      <c r="S126" s="164"/>
      <c r="T126" s="57"/>
      <c r="U126" s="63"/>
      <c r="V126" s="57"/>
      <c r="W126" s="57"/>
      <c r="X126" s="57"/>
      <c r="Y126" s="57"/>
      <c r="Z126" s="57"/>
      <c r="AA126" s="57"/>
      <c r="AB126" s="57"/>
      <c r="AC126" s="57"/>
      <c r="AD126" s="64"/>
      <c r="AE126" s="1"/>
    </row>
    <row r="127" spans="1:31" s="12" customFormat="1" ht="21" customHeight="1">
      <c r="A127" s="52"/>
      <c r="B127" s="52"/>
      <c r="C127" s="52" t="s">
        <v>103</v>
      </c>
      <c r="D127" s="133">
        <v>81</v>
      </c>
      <c r="E127" s="138">
        <f>SUM(F127:J127)</f>
        <v>80.97</v>
      </c>
      <c r="F127" s="133">
        <f>AC128/1000</f>
        <v>5.97</v>
      </c>
      <c r="G127" s="133">
        <v>0</v>
      </c>
      <c r="H127" s="133">
        <f>AC129/1000</f>
        <v>75</v>
      </c>
      <c r="I127" s="133">
        <v>0</v>
      </c>
      <c r="J127" s="133">
        <v>0</v>
      </c>
      <c r="K127" s="133">
        <f>E127-D127</f>
        <v>-3.0000000000001137E-2</v>
      </c>
      <c r="L127" s="87">
        <f>IF(D127=0,0,K127/D127)</f>
        <v>-3.7037037037038439E-4</v>
      </c>
      <c r="M127" s="121" t="s">
        <v>108</v>
      </c>
      <c r="N127" s="117"/>
      <c r="O127" s="117"/>
      <c r="P127" s="117"/>
      <c r="Q127" s="117"/>
      <c r="R127" s="222"/>
      <c r="S127" s="110"/>
      <c r="T127" s="110"/>
      <c r="U127" s="110"/>
      <c r="V127" s="110"/>
      <c r="W127" s="110"/>
      <c r="X127" s="200" t="s">
        <v>137</v>
      </c>
      <c r="Y127" s="200"/>
      <c r="Z127" s="200"/>
      <c r="AA127" s="200"/>
      <c r="AB127" s="202"/>
      <c r="AC127" s="202">
        <f>SUM(AC128:AC129)</f>
        <v>80970</v>
      </c>
      <c r="AD127" s="201" t="s">
        <v>25</v>
      </c>
      <c r="AE127" s="1"/>
    </row>
    <row r="128" spans="1:31" s="12" customFormat="1" ht="21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249" t="s">
        <v>189</v>
      </c>
      <c r="N128" s="56"/>
      <c r="O128" s="56"/>
      <c r="P128" s="56"/>
      <c r="Q128" s="219">
        <v>5970</v>
      </c>
      <c r="R128" s="275"/>
      <c r="S128" s="61" t="s">
        <v>57</v>
      </c>
      <c r="T128" s="61" t="s">
        <v>26</v>
      </c>
      <c r="U128" s="219">
        <v>1</v>
      </c>
      <c r="V128" s="219" t="s">
        <v>0</v>
      </c>
      <c r="W128" s="216"/>
      <c r="X128" s="161"/>
      <c r="Y128" s="92"/>
      <c r="Z128" s="215" t="s">
        <v>53</v>
      </c>
      <c r="AA128" s="298" t="s">
        <v>225</v>
      </c>
      <c r="AB128" s="219"/>
      <c r="AC128" s="219">
        <f>ROUNDUP(Q128*U128,1)</f>
        <v>5970</v>
      </c>
      <c r="AD128" s="64" t="s">
        <v>25</v>
      </c>
      <c r="AE128" s="1"/>
    </row>
    <row r="129" spans="1:31" s="12" customFormat="1" ht="21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56"/>
      <c r="N129" s="56"/>
      <c r="O129" s="56"/>
      <c r="P129" s="56"/>
      <c r="Q129" s="57">
        <v>15000</v>
      </c>
      <c r="R129" s="275"/>
      <c r="S129" s="61" t="s">
        <v>307</v>
      </c>
      <c r="T129" s="56" t="s">
        <v>26</v>
      </c>
      <c r="U129" s="57">
        <v>5</v>
      </c>
      <c r="V129" s="56" t="s">
        <v>29</v>
      </c>
      <c r="W129" s="57"/>
      <c r="X129" s="57"/>
      <c r="Y129" s="57"/>
      <c r="Z129" s="57" t="s">
        <v>27</v>
      </c>
      <c r="AA129" s="57" t="s">
        <v>305</v>
      </c>
      <c r="AB129" s="57"/>
      <c r="AC129" s="57">
        <f>ROUNDUP(Q129*U129,1)</f>
        <v>75000</v>
      </c>
      <c r="AD129" s="64" t="s">
        <v>307</v>
      </c>
      <c r="AE129" s="1"/>
    </row>
    <row r="130" spans="1:31" s="12" customFormat="1" ht="21" customHeight="1">
      <c r="A130" s="52"/>
      <c r="B130" s="42" t="s">
        <v>109</v>
      </c>
      <c r="C130" s="196" t="s">
        <v>146</v>
      </c>
      <c r="D130" s="197">
        <v>3348</v>
      </c>
      <c r="E130" s="197">
        <f>E131</f>
        <v>3070</v>
      </c>
      <c r="F130" s="197">
        <f t="shared" ref="F130:J130" si="11">F131</f>
        <v>0</v>
      </c>
      <c r="G130" s="197">
        <f t="shared" si="11"/>
        <v>0</v>
      </c>
      <c r="H130" s="197">
        <f>H131</f>
        <v>2870</v>
      </c>
      <c r="I130" s="197">
        <f>I131</f>
        <v>200</v>
      </c>
      <c r="J130" s="197">
        <f t="shared" si="11"/>
        <v>0</v>
      </c>
      <c r="K130" s="197">
        <f>E130-D130</f>
        <v>-278</v>
      </c>
      <c r="L130" s="198">
        <f>IF(D130=0,0,K130/D130)</f>
        <v>-8.303464755077658E-2</v>
      </c>
      <c r="M130" s="199"/>
      <c r="N130" s="199"/>
      <c r="O130" s="199"/>
      <c r="P130" s="199"/>
      <c r="Q130" s="199"/>
      <c r="R130" s="274"/>
      <c r="S130" s="200"/>
      <c r="T130" s="200"/>
      <c r="U130" s="200"/>
      <c r="V130" s="200"/>
      <c r="W130" s="200"/>
      <c r="X130" s="200" t="s">
        <v>28</v>
      </c>
      <c r="Y130" s="200"/>
      <c r="Z130" s="200"/>
      <c r="AA130" s="200"/>
      <c r="AB130" s="202"/>
      <c r="AC130" s="202">
        <f>AC131</f>
        <v>3070000</v>
      </c>
      <c r="AD130" s="201" t="s">
        <v>25</v>
      </c>
      <c r="AE130" s="1"/>
    </row>
    <row r="131" spans="1:31" s="12" customFormat="1" ht="26.25" customHeight="1">
      <c r="A131" s="52"/>
      <c r="B131" s="52" t="s">
        <v>129</v>
      </c>
      <c r="C131" s="52" t="s">
        <v>128</v>
      </c>
      <c r="D131" s="137">
        <v>3348</v>
      </c>
      <c r="E131" s="138">
        <f>SUM(F131:J131)</f>
        <v>3070</v>
      </c>
      <c r="F131" s="137">
        <v>0</v>
      </c>
      <c r="G131" s="137">
        <v>0</v>
      </c>
      <c r="H131" s="137">
        <f>SUM(AC134,AC139,AC160,AC135,AC142,AC148,AC149,AC151,AC157,AC152,AC145,AC153,AC163,AC164)/1000</f>
        <v>2870</v>
      </c>
      <c r="I131" s="137">
        <f>SUM(AC150)/1000</f>
        <v>200</v>
      </c>
      <c r="J131" s="137">
        <v>0</v>
      </c>
      <c r="K131" s="137">
        <f>E131-D131</f>
        <v>-278</v>
      </c>
      <c r="L131" s="145">
        <f>IF(D131=0,0,K131/D131)</f>
        <v>-8.303464755077658E-2</v>
      </c>
      <c r="M131" s="123" t="s">
        <v>130</v>
      </c>
      <c r="N131" s="140"/>
      <c r="O131" s="38"/>
      <c r="P131" s="34"/>
      <c r="Q131" s="34"/>
      <c r="R131" s="34"/>
      <c r="S131" s="34"/>
      <c r="T131" s="34"/>
      <c r="U131" s="34"/>
      <c r="V131" s="221"/>
      <c r="W131" s="221"/>
      <c r="X131" s="200" t="s">
        <v>137</v>
      </c>
      <c r="Y131" s="124"/>
      <c r="Z131" s="124"/>
      <c r="AA131" s="124"/>
      <c r="AB131" s="142"/>
      <c r="AC131" s="142">
        <f>SUM(AC133,AC138,AC147,AC155,AC141,AC144,AC159,AC162)</f>
        <v>3070000</v>
      </c>
      <c r="AD131" s="143" t="s">
        <v>25</v>
      </c>
      <c r="AE131" s="1"/>
    </row>
    <row r="132" spans="1:31" s="16" customFormat="1" ht="24" customHeight="1">
      <c r="A132" s="52"/>
      <c r="B132" s="52"/>
      <c r="C132" s="52" t="s">
        <v>129</v>
      </c>
      <c r="D132" s="133"/>
      <c r="E132" s="133"/>
      <c r="F132" s="133"/>
      <c r="G132" s="133"/>
      <c r="H132" s="133"/>
      <c r="I132" s="133"/>
      <c r="J132" s="133"/>
      <c r="K132" s="133"/>
      <c r="L132" s="87"/>
      <c r="M132" s="209"/>
      <c r="N132" s="56"/>
      <c r="O132" s="56"/>
      <c r="P132" s="56"/>
      <c r="Q132" s="56"/>
      <c r="R132" s="276"/>
      <c r="S132" s="57"/>
      <c r="T132" s="57"/>
      <c r="U132" s="57"/>
      <c r="V132" s="57"/>
      <c r="W132" s="57"/>
      <c r="X132" s="165"/>
      <c r="Y132" s="165"/>
      <c r="Z132" s="165"/>
      <c r="AA132" s="165"/>
      <c r="AB132" s="166"/>
      <c r="AC132" s="166"/>
      <c r="AD132" s="64"/>
      <c r="AE132" s="17"/>
    </row>
    <row r="133" spans="1:31" s="16" customFormat="1" ht="24" customHeight="1">
      <c r="A133" s="52"/>
      <c r="B133" s="52"/>
      <c r="C133" s="52"/>
      <c r="D133" s="133"/>
      <c r="E133" s="133"/>
      <c r="F133" s="133"/>
      <c r="G133" s="133"/>
      <c r="H133" s="133"/>
      <c r="I133" s="133"/>
      <c r="J133" s="133"/>
      <c r="K133" s="133"/>
      <c r="L133" s="87"/>
      <c r="M133" s="88" t="s">
        <v>232</v>
      </c>
      <c r="N133" s="205"/>
      <c r="O133" s="209"/>
      <c r="P133" s="209"/>
      <c r="Q133" s="209"/>
      <c r="R133" s="276"/>
      <c r="S133" s="208"/>
      <c r="T133" s="208"/>
      <c r="U133" s="208"/>
      <c r="V133" s="204" t="s">
        <v>131</v>
      </c>
      <c r="W133" s="204"/>
      <c r="X133" s="204"/>
      <c r="Y133" s="204"/>
      <c r="Z133" s="204"/>
      <c r="AA133" s="204"/>
      <c r="AB133" s="89"/>
      <c r="AC133" s="89">
        <f>SUM(AC134:AC135)</f>
        <v>250000</v>
      </c>
      <c r="AD133" s="90" t="s">
        <v>25</v>
      </c>
      <c r="AE133" s="17"/>
    </row>
    <row r="134" spans="1:31" s="16" customFormat="1" ht="24" customHeight="1">
      <c r="A134" s="52"/>
      <c r="B134" s="52"/>
      <c r="C134" s="52"/>
      <c r="D134" s="133"/>
      <c r="E134" s="133"/>
      <c r="F134" s="133"/>
      <c r="G134" s="133"/>
      <c r="H134" s="133"/>
      <c r="I134" s="133"/>
      <c r="J134" s="133"/>
      <c r="K134" s="133"/>
      <c r="L134" s="87"/>
      <c r="M134" s="379" t="s">
        <v>319</v>
      </c>
      <c r="N134" s="379"/>
      <c r="O134" s="379"/>
      <c r="P134" s="379"/>
      <c r="Q134" s="378">
        <v>5000</v>
      </c>
      <c r="R134" s="378"/>
      <c r="S134" s="378" t="s">
        <v>57</v>
      </c>
      <c r="T134" s="379" t="s">
        <v>58</v>
      </c>
      <c r="U134" s="378">
        <v>2</v>
      </c>
      <c r="V134" s="378" t="s">
        <v>75</v>
      </c>
      <c r="W134" s="379" t="s">
        <v>58</v>
      </c>
      <c r="X134" s="378">
        <v>5</v>
      </c>
      <c r="Y134" s="378" t="s">
        <v>56</v>
      </c>
      <c r="Z134" s="378" t="s">
        <v>53</v>
      </c>
      <c r="AA134" s="378" t="s">
        <v>110</v>
      </c>
      <c r="AB134" s="84"/>
      <c r="AC134" s="84">
        <f t="shared" ref="AC134" si="12">Q134*U134*X134</f>
        <v>50000</v>
      </c>
      <c r="AD134" s="64" t="s">
        <v>25</v>
      </c>
      <c r="AE134" s="17"/>
    </row>
    <row r="135" spans="1:31" s="16" customFormat="1" ht="24" customHeight="1">
      <c r="A135" s="52"/>
      <c r="B135" s="52"/>
      <c r="C135" s="52"/>
      <c r="D135" s="133"/>
      <c r="E135" s="133"/>
      <c r="F135" s="133"/>
      <c r="G135" s="133"/>
      <c r="H135" s="133"/>
      <c r="I135" s="133"/>
      <c r="J135" s="133"/>
      <c r="K135" s="133"/>
      <c r="L135" s="87"/>
      <c r="M135" s="379" t="s">
        <v>320</v>
      </c>
      <c r="N135" s="379"/>
      <c r="O135" s="379"/>
      <c r="P135" s="379"/>
      <c r="Q135" s="378">
        <v>50000</v>
      </c>
      <c r="R135" s="378"/>
      <c r="S135" s="378" t="s">
        <v>57</v>
      </c>
      <c r="T135" s="379" t="s">
        <v>58</v>
      </c>
      <c r="U135" s="378">
        <v>1</v>
      </c>
      <c r="V135" s="378" t="s">
        <v>75</v>
      </c>
      <c r="W135" s="379" t="s">
        <v>58</v>
      </c>
      <c r="X135" s="378">
        <v>4</v>
      </c>
      <c r="Y135" s="378" t="s">
        <v>56</v>
      </c>
      <c r="Z135" s="378" t="s">
        <v>53</v>
      </c>
      <c r="AA135" s="378" t="s">
        <v>110</v>
      </c>
      <c r="AB135" s="84"/>
      <c r="AC135" s="84">
        <f t="shared" ref="AC135:AC136" si="13">Q135*U135*X135</f>
        <v>200000</v>
      </c>
      <c r="AD135" s="64" t="s">
        <v>25</v>
      </c>
      <c r="AE135" s="17"/>
    </row>
    <row r="136" spans="1:31" s="16" customFormat="1" ht="24" customHeight="1">
      <c r="A136" s="52"/>
      <c r="B136" s="52"/>
      <c r="C136" s="52"/>
      <c r="D136" s="133"/>
      <c r="E136" s="133"/>
      <c r="F136" s="133"/>
      <c r="G136" s="133"/>
      <c r="H136" s="133"/>
      <c r="I136" s="133"/>
      <c r="J136" s="133"/>
      <c r="K136" s="133"/>
      <c r="L136" s="87"/>
      <c r="M136" s="379" t="s">
        <v>321</v>
      </c>
      <c r="N136" s="379"/>
      <c r="O136" s="379"/>
      <c r="P136" s="379"/>
      <c r="Q136" s="378">
        <v>10000</v>
      </c>
      <c r="R136" s="378"/>
      <c r="S136" s="378" t="s">
        <v>57</v>
      </c>
      <c r="T136" s="379" t="s">
        <v>58</v>
      </c>
      <c r="U136" s="378">
        <v>10</v>
      </c>
      <c r="V136" s="378" t="s">
        <v>75</v>
      </c>
      <c r="W136" s="379" t="s">
        <v>58</v>
      </c>
      <c r="X136" s="378">
        <v>4</v>
      </c>
      <c r="Y136" s="378" t="s">
        <v>56</v>
      </c>
      <c r="Z136" s="378" t="s">
        <v>53</v>
      </c>
      <c r="AA136" s="364" t="s">
        <v>322</v>
      </c>
      <c r="AB136" s="365"/>
      <c r="AC136" s="365">
        <f t="shared" si="13"/>
        <v>400000</v>
      </c>
      <c r="AD136" s="382" t="s">
        <v>25</v>
      </c>
      <c r="AE136" s="17"/>
    </row>
    <row r="137" spans="1:31" s="16" customFormat="1" ht="24" customHeight="1">
      <c r="A137" s="52"/>
      <c r="B137" s="52"/>
      <c r="C137" s="52"/>
      <c r="D137" s="133"/>
      <c r="E137" s="133"/>
      <c r="F137" s="133"/>
      <c r="G137" s="133"/>
      <c r="H137" s="133"/>
      <c r="I137" s="133"/>
      <c r="J137" s="133"/>
      <c r="K137" s="133"/>
      <c r="L137" s="87"/>
      <c r="M137" s="379"/>
      <c r="N137" s="379"/>
      <c r="O137" s="379"/>
      <c r="P137" s="379"/>
      <c r="Q137" s="378"/>
      <c r="R137" s="378"/>
      <c r="S137" s="378"/>
      <c r="T137" s="379"/>
      <c r="U137" s="378"/>
      <c r="V137" s="378"/>
      <c r="W137" s="379"/>
      <c r="X137" s="378"/>
      <c r="Y137" s="378"/>
      <c r="Z137" s="378"/>
      <c r="AA137" s="378"/>
      <c r="AB137" s="84"/>
      <c r="AC137" s="84"/>
      <c r="AD137" s="64"/>
      <c r="AE137" s="17"/>
    </row>
    <row r="138" spans="1:31" s="16" customFormat="1" ht="24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88" t="s">
        <v>233</v>
      </c>
      <c r="N138" s="140"/>
      <c r="O138" s="210"/>
      <c r="P138" s="34"/>
      <c r="Q138" s="34"/>
      <c r="R138" s="34"/>
      <c r="S138" s="34"/>
      <c r="T138" s="34"/>
      <c r="U138" s="34"/>
      <c r="V138" s="204" t="s">
        <v>131</v>
      </c>
      <c r="W138" s="204"/>
      <c r="X138" s="204"/>
      <c r="Y138" s="204"/>
      <c r="Z138" s="204"/>
      <c r="AA138" s="204"/>
      <c r="AB138" s="89"/>
      <c r="AC138" s="89">
        <f>SUM(AC139:AC139)</f>
        <v>0</v>
      </c>
      <c r="AD138" s="90" t="s">
        <v>25</v>
      </c>
      <c r="AE138" s="17"/>
    </row>
    <row r="139" spans="1:31" s="16" customFormat="1" ht="24" customHeight="1">
      <c r="A139" s="52"/>
      <c r="B139" s="52"/>
      <c r="C139" s="52"/>
      <c r="D139" s="133"/>
      <c r="E139" s="133"/>
      <c r="F139" s="133"/>
      <c r="G139" s="133"/>
      <c r="H139" s="133"/>
      <c r="I139" s="133"/>
      <c r="J139" s="133"/>
      <c r="K139" s="133"/>
      <c r="L139" s="87"/>
      <c r="M139" s="325" t="s">
        <v>234</v>
      </c>
      <c r="N139" s="209"/>
      <c r="O139" s="209"/>
      <c r="P139" s="209"/>
      <c r="Q139" s="248"/>
      <c r="R139" s="275"/>
      <c r="S139" s="61"/>
      <c r="T139" s="61"/>
      <c r="U139" s="248"/>
      <c r="V139" s="248"/>
      <c r="W139" s="231"/>
      <c r="X139" s="161"/>
      <c r="Y139" s="92"/>
      <c r="Z139" s="215"/>
      <c r="AA139" s="324" t="s">
        <v>248</v>
      </c>
      <c r="AB139" s="248"/>
      <c r="AC139" s="248">
        <v>0</v>
      </c>
      <c r="AD139" s="64" t="s">
        <v>25</v>
      </c>
      <c r="AE139" s="17"/>
    </row>
    <row r="140" spans="1:31" s="16" customFormat="1" ht="24" customHeight="1">
      <c r="A140" s="321"/>
      <c r="B140" s="321"/>
      <c r="C140" s="321"/>
      <c r="D140" s="133"/>
      <c r="E140" s="133"/>
      <c r="F140" s="133"/>
      <c r="G140" s="133"/>
      <c r="H140" s="133"/>
      <c r="I140" s="133"/>
      <c r="J140" s="133"/>
      <c r="K140" s="133"/>
      <c r="L140" s="87"/>
      <c r="M140" s="325"/>
      <c r="N140" s="325"/>
      <c r="O140" s="325"/>
      <c r="P140" s="325"/>
      <c r="Q140" s="324"/>
      <c r="R140" s="324"/>
      <c r="S140" s="61"/>
      <c r="T140" s="61"/>
      <c r="U140" s="324"/>
      <c r="V140" s="324"/>
      <c r="W140" s="231"/>
      <c r="X140" s="161"/>
      <c r="Y140" s="92"/>
      <c r="Z140" s="215"/>
      <c r="AA140" s="324"/>
      <c r="AB140" s="324"/>
      <c r="AC140" s="324"/>
      <c r="AD140" s="64"/>
      <c r="AE140" s="17"/>
    </row>
    <row r="141" spans="1:31" s="16" customFormat="1" ht="24" customHeight="1">
      <c r="A141" s="321"/>
      <c r="B141" s="321"/>
      <c r="C141" s="321"/>
      <c r="D141" s="133"/>
      <c r="E141" s="133"/>
      <c r="F141" s="133"/>
      <c r="G141" s="133"/>
      <c r="H141" s="133"/>
      <c r="I141" s="133"/>
      <c r="J141" s="133"/>
      <c r="K141" s="133"/>
      <c r="L141" s="87"/>
      <c r="M141" s="88" t="s">
        <v>235</v>
      </c>
      <c r="N141" s="323"/>
      <c r="O141" s="325"/>
      <c r="P141" s="325"/>
      <c r="Q141" s="325"/>
      <c r="R141" s="325"/>
      <c r="S141" s="324"/>
      <c r="T141" s="324"/>
      <c r="U141" s="324"/>
      <c r="V141" s="322" t="s">
        <v>131</v>
      </c>
      <c r="W141" s="322"/>
      <c r="X141" s="322"/>
      <c r="Y141" s="322"/>
      <c r="Z141" s="322"/>
      <c r="AA141" s="322"/>
      <c r="AB141" s="89"/>
      <c r="AC141" s="89">
        <f>SUM(AC142)</f>
        <v>80000</v>
      </c>
      <c r="AD141" s="90" t="s">
        <v>25</v>
      </c>
      <c r="AE141" s="17"/>
    </row>
    <row r="142" spans="1:31" s="16" customFormat="1" ht="24" customHeight="1">
      <c r="A142" s="321"/>
      <c r="B142" s="321"/>
      <c r="C142" s="321"/>
      <c r="D142" s="133"/>
      <c r="E142" s="133"/>
      <c r="F142" s="133"/>
      <c r="G142" s="133"/>
      <c r="H142" s="133"/>
      <c r="I142" s="133"/>
      <c r="J142" s="133"/>
      <c r="K142" s="133"/>
      <c r="L142" s="87"/>
      <c r="M142" s="325" t="s">
        <v>236</v>
      </c>
      <c r="N142" s="325"/>
      <c r="O142" s="325"/>
      <c r="P142" s="325"/>
      <c r="Q142" s="324">
        <v>5000</v>
      </c>
      <c r="R142" s="324"/>
      <c r="S142" s="61" t="s">
        <v>57</v>
      </c>
      <c r="T142" s="61" t="s">
        <v>26</v>
      </c>
      <c r="U142" s="324">
        <v>4</v>
      </c>
      <c r="V142" s="324" t="s">
        <v>75</v>
      </c>
      <c r="W142" s="370" t="s">
        <v>58</v>
      </c>
      <c r="X142" s="369">
        <v>4</v>
      </c>
      <c r="Y142" s="369" t="s">
        <v>56</v>
      </c>
      <c r="Z142" s="215" t="s">
        <v>53</v>
      </c>
      <c r="AA142" s="326" t="s">
        <v>252</v>
      </c>
      <c r="AB142" s="324"/>
      <c r="AC142" s="324">
        <f>Q142*U142*X142</f>
        <v>80000</v>
      </c>
      <c r="AD142" s="64" t="s">
        <v>25</v>
      </c>
      <c r="AE142" s="17"/>
    </row>
    <row r="143" spans="1:31" s="16" customFormat="1" ht="24" customHeight="1">
      <c r="A143" s="321"/>
      <c r="B143" s="321"/>
      <c r="C143" s="321"/>
      <c r="D143" s="133"/>
      <c r="E143" s="133"/>
      <c r="F143" s="133"/>
      <c r="G143" s="133"/>
      <c r="H143" s="133"/>
      <c r="I143" s="133"/>
      <c r="J143" s="133"/>
      <c r="K143" s="133"/>
      <c r="L143" s="87"/>
      <c r="M143" s="325"/>
      <c r="N143" s="325"/>
      <c r="O143" s="325"/>
      <c r="P143" s="325"/>
      <c r="Q143" s="324"/>
      <c r="R143" s="324"/>
      <c r="S143" s="61"/>
      <c r="T143" s="61"/>
      <c r="U143" s="324"/>
      <c r="V143" s="324"/>
      <c r="W143" s="231"/>
      <c r="X143" s="161"/>
      <c r="Y143" s="92"/>
      <c r="Z143" s="215"/>
      <c r="AA143" s="324"/>
      <c r="AB143" s="324"/>
      <c r="AC143" s="324"/>
      <c r="AD143" s="64"/>
      <c r="AE143" s="17"/>
    </row>
    <row r="144" spans="1:31" s="16" customFormat="1" ht="24" customHeight="1">
      <c r="A144" s="321"/>
      <c r="B144" s="321"/>
      <c r="C144" s="321"/>
      <c r="D144" s="133"/>
      <c r="E144" s="133"/>
      <c r="F144" s="133"/>
      <c r="G144" s="133"/>
      <c r="H144" s="133"/>
      <c r="I144" s="133"/>
      <c r="J144" s="133"/>
      <c r="K144" s="133"/>
      <c r="L144" s="87"/>
      <c r="M144" s="88" t="s">
        <v>237</v>
      </c>
      <c r="N144" s="323"/>
      <c r="O144" s="325"/>
      <c r="P144" s="325"/>
      <c r="Q144" s="325"/>
      <c r="R144" s="325"/>
      <c r="S144" s="324"/>
      <c r="T144" s="324"/>
      <c r="U144" s="324"/>
      <c r="V144" s="322" t="s">
        <v>131</v>
      </c>
      <c r="W144" s="322"/>
      <c r="X144" s="322"/>
      <c r="Y144" s="322"/>
      <c r="Z144" s="322"/>
      <c r="AA144" s="322"/>
      <c r="AB144" s="89"/>
      <c r="AC144" s="89">
        <f>SUM(AC145)</f>
        <v>0</v>
      </c>
      <c r="AD144" s="90" t="s">
        <v>25</v>
      </c>
      <c r="AE144" s="17"/>
    </row>
    <row r="145" spans="1:31" s="16" customFormat="1" ht="24" customHeight="1">
      <c r="A145" s="321"/>
      <c r="B145" s="321"/>
      <c r="C145" s="321"/>
      <c r="D145" s="133"/>
      <c r="E145" s="133"/>
      <c r="F145" s="133"/>
      <c r="G145" s="133"/>
      <c r="H145" s="133"/>
      <c r="I145" s="133"/>
      <c r="J145" s="133"/>
      <c r="K145" s="133"/>
      <c r="L145" s="87"/>
      <c r="M145" s="325" t="s">
        <v>238</v>
      </c>
      <c r="N145" s="325"/>
      <c r="O145" s="325"/>
      <c r="P145" s="325"/>
      <c r="Q145" s="324">
        <v>0</v>
      </c>
      <c r="R145" s="324"/>
      <c r="S145" s="324" t="s">
        <v>57</v>
      </c>
      <c r="T145" s="325" t="s">
        <v>58</v>
      </c>
      <c r="U145" s="368">
        <v>4</v>
      </c>
      <c r="V145" s="368" t="s">
        <v>56</v>
      </c>
      <c r="W145" s="325"/>
      <c r="X145" s="324"/>
      <c r="Y145" s="324"/>
      <c r="Z145" s="324" t="s">
        <v>53</v>
      </c>
      <c r="AA145" s="324" t="s">
        <v>276</v>
      </c>
      <c r="AB145" s="84"/>
      <c r="AC145" s="84">
        <f>Q145*U145</f>
        <v>0</v>
      </c>
      <c r="AD145" s="64" t="s">
        <v>25</v>
      </c>
      <c r="AE145" s="17"/>
    </row>
    <row r="146" spans="1:31" s="16" customFormat="1" ht="24" customHeight="1">
      <c r="A146" s="321"/>
      <c r="B146" s="321"/>
      <c r="C146" s="321"/>
      <c r="D146" s="133"/>
      <c r="E146" s="133"/>
      <c r="F146" s="133"/>
      <c r="G146" s="133"/>
      <c r="H146" s="133"/>
      <c r="I146" s="133"/>
      <c r="J146" s="133"/>
      <c r="K146" s="133"/>
      <c r="L146" s="87"/>
      <c r="M146" s="325"/>
      <c r="N146" s="325"/>
      <c r="O146" s="325"/>
      <c r="P146" s="325"/>
      <c r="Q146" s="324"/>
      <c r="R146" s="324"/>
      <c r="S146" s="61"/>
      <c r="T146" s="61"/>
      <c r="U146" s="324"/>
      <c r="V146" s="324"/>
      <c r="W146" s="231"/>
      <c r="X146" s="161"/>
      <c r="Y146" s="92"/>
      <c r="Z146" s="215"/>
      <c r="AA146" s="324"/>
      <c r="AB146" s="324"/>
      <c r="AC146" s="324"/>
      <c r="AD146" s="64"/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88" t="s">
        <v>239</v>
      </c>
      <c r="N147" s="140"/>
      <c r="O147" s="210"/>
      <c r="P147" s="34"/>
      <c r="Q147" s="34"/>
      <c r="R147" s="34"/>
      <c r="S147" s="34"/>
      <c r="T147" s="34"/>
      <c r="U147" s="34"/>
      <c r="V147" s="204" t="s">
        <v>131</v>
      </c>
      <c r="W147" s="204"/>
      <c r="X147" s="204"/>
      <c r="Y147" s="204"/>
      <c r="Z147" s="204"/>
      <c r="AA147" s="204"/>
      <c r="AB147" s="89"/>
      <c r="AC147" s="89">
        <f>SUM(AC148,AC149,AC151,AC152,AC153+AC150)</f>
        <v>2560000</v>
      </c>
      <c r="AD147" s="90" t="s">
        <v>25</v>
      </c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167" t="s">
        <v>240</v>
      </c>
      <c r="N148" s="167"/>
      <c r="O148" s="167"/>
      <c r="P148" s="167"/>
      <c r="Q148" s="84">
        <v>20000</v>
      </c>
      <c r="R148" s="275"/>
      <c r="S148" s="61" t="s">
        <v>57</v>
      </c>
      <c r="T148" s="61" t="s">
        <v>26</v>
      </c>
      <c r="U148" s="248">
        <v>4</v>
      </c>
      <c r="V148" s="248" t="s">
        <v>185</v>
      </c>
      <c r="W148" s="231"/>
      <c r="X148" s="161"/>
      <c r="Y148" s="92"/>
      <c r="Z148" s="215" t="s">
        <v>53</v>
      </c>
      <c r="AA148" s="324" t="s">
        <v>248</v>
      </c>
      <c r="AB148" s="248"/>
      <c r="AC148" s="248">
        <f t="shared" ref="AC148:AC153" si="14">Q148*U148</f>
        <v>80000</v>
      </c>
      <c r="AD148" s="64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167" t="s">
        <v>241</v>
      </c>
      <c r="N149" s="167"/>
      <c r="O149" s="167"/>
      <c r="P149" s="167"/>
      <c r="Q149" s="84">
        <v>150000</v>
      </c>
      <c r="R149" s="275"/>
      <c r="S149" s="61" t="s">
        <v>57</v>
      </c>
      <c r="T149" s="61" t="s">
        <v>26</v>
      </c>
      <c r="U149" s="248">
        <v>4</v>
      </c>
      <c r="V149" s="324" t="s">
        <v>56</v>
      </c>
      <c r="W149" s="231"/>
      <c r="X149" s="161"/>
      <c r="Y149" s="92"/>
      <c r="Z149" s="215" t="s">
        <v>53</v>
      </c>
      <c r="AA149" s="324" t="s">
        <v>248</v>
      </c>
      <c r="AB149" s="248"/>
      <c r="AC149" s="248">
        <f t="shared" si="14"/>
        <v>600000</v>
      </c>
      <c r="AD149" s="64" t="s">
        <v>25</v>
      </c>
      <c r="AE149" s="17"/>
    </row>
    <row r="150" spans="1:31" s="16" customFormat="1" ht="24" customHeight="1">
      <c r="A150" s="340"/>
      <c r="B150" s="340"/>
      <c r="C150" s="340"/>
      <c r="D150" s="133"/>
      <c r="E150" s="133"/>
      <c r="F150" s="133"/>
      <c r="G150" s="133"/>
      <c r="H150" s="133"/>
      <c r="I150" s="133"/>
      <c r="J150" s="133"/>
      <c r="K150" s="133"/>
      <c r="L150" s="87"/>
      <c r="M150" s="167"/>
      <c r="N150" s="167"/>
      <c r="O150" s="167"/>
      <c r="P150" s="167"/>
      <c r="Q150" s="84">
        <v>200000</v>
      </c>
      <c r="R150" s="522"/>
      <c r="S150" s="61" t="s">
        <v>57</v>
      </c>
      <c r="T150" s="61" t="s">
        <v>26</v>
      </c>
      <c r="U150" s="522">
        <v>1</v>
      </c>
      <c r="V150" s="522" t="s">
        <v>463</v>
      </c>
      <c r="W150" s="231"/>
      <c r="X150" s="161"/>
      <c r="Y150" s="92"/>
      <c r="Z150" s="215" t="s">
        <v>53</v>
      </c>
      <c r="AA150" s="522" t="s">
        <v>284</v>
      </c>
      <c r="AB150" s="522"/>
      <c r="AC150" s="522">
        <f t="shared" si="14"/>
        <v>200000</v>
      </c>
      <c r="AD150" s="64" t="s">
        <v>25</v>
      </c>
      <c r="AE150" s="17"/>
    </row>
    <row r="151" spans="1:31" s="16" customFormat="1" ht="24" customHeight="1">
      <c r="A151" s="52"/>
      <c r="B151" s="52"/>
      <c r="C151" s="52"/>
      <c r="D151" s="133"/>
      <c r="E151" s="133"/>
      <c r="F151" s="133"/>
      <c r="G151" s="133"/>
      <c r="H151" s="133"/>
      <c r="I151" s="133"/>
      <c r="J151" s="133"/>
      <c r="K151" s="133"/>
      <c r="L151" s="87"/>
      <c r="M151" s="167" t="s">
        <v>293</v>
      </c>
      <c r="N151" s="167"/>
      <c r="O151" s="167"/>
      <c r="P151" s="167"/>
      <c r="Q151" s="84">
        <v>150000</v>
      </c>
      <c r="R151" s="324"/>
      <c r="S151" s="61" t="s">
        <v>57</v>
      </c>
      <c r="T151" s="61" t="s">
        <v>26</v>
      </c>
      <c r="U151" s="324">
        <v>4</v>
      </c>
      <c r="V151" s="324" t="s">
        <v>56</v>
      </c>
      <c r="W151" s="231"/>
      <c r="X151" s="161"/>
      <c r="Y151" s="92"/>
      <c r="Z151" s="215" t="s">
        <v>53</v>
      </c>
      <c r="AA151" s="324" t="s">
        <v>248</v>
      </c>
      <c r="AB151" s="324"/>
      <c r="AC151" s="324">
        <f t="shared" si="14"/>
        <v>600000</v>
      </c>
      <c r="AD151" s="64" t="s">
        <v>25</v>
      </c>
      <c r="AE151" s="17"/>
    </row>
    <row r="152" spans="1:31" s="16" customFormat="1" ht="24" customHeight="1">
      <c r="A152" s="52"/>
      <c r="B152" s="52"/>
      <c r="C152" s="52"/>
      <c r="D152" s="133"/>
      <c r="E152" s="133"/>
      <c r="F152" s="133"/>
      <c r="G152" s="133"/>
      <c r="H152" s="133"/>
      <c r="I152" s="133"/>
      <c r="J152" s="133"/>
      <c r="K152" s="133"/>
      <c r="L152" s="87"/>
      <c r="M152" s="167" t="s">
        <v>242</v>
      </c>
      <c r="N152" s="167"/>
      <c r="O152" s="167"/>
      <c r="P152" s="167"/>
      <c r="Q152" s="369">
        <v>20000</v>
      </c>
      <c r="R152" s="167"/>
      <c r="S152" s="377" t="s">
        <v>204</v>
      </c>
      <c r="T152" s="61" t="s">
        <v>26</v>
      </c>
      <c r="U152" s="167">
        <v>4</v>
      </c>
      <c r="V152" s="167" t="s">
        <v>56</v>
      </c>
      <c r="W152" s="167"/>
      <c r="X152" s="167"/>
      <c r="Y152" s="167"/>
      <c r="Z152" s="167" t="s">
        <v>208</v>
      </c>
      <c r="AA152" s="167" t="s">
        <v>110</v>
      </c>
      <c r="AB152" s="167"/>
      <c r="AC152" s="168">
        <f t="shared" si="14"/>
        <v>80000</v>
      </c>
      <c r="AD152" s="169" t="s">
        <v>206</v>
      </c>
      <c r="AE152" s="17"/>
    </row>
    <row r="153" spans="1:31" s="16" customFormat="1" ht="24" customHeight="1">
      <c r="A153" s="340"/>
      <c r="B153" s="340"/>
      <c r="C153" s="340"/>
      <c r="D153" s="133"/>
      <c r="E153" s="133"/>
      <c r="F153" s="133"/>
      <c r="G153" s="133"/>
      <c r="H153" s="133"/>
      <c r="I153" s="133"/>
      <c r="J153" s="133"/>
      <c r="K153" s="133"/>
      <c r="L153" s="87"/>
      <c r="M153" s="167" t="s">
        <v>310</v>
      </c>
      <c r="N153" s="167"/>
      <c r="O153" s="167"/>
      <c r="P153" s="167"/>
      <c r="Q153" s="375">
        <v>1000000</v>
      </c>
      <c r="R153" s="167"/>
      <c r="S153" s="377" t="s">
        <v>307</v>
      </c>
      <c r="T153" s="61" t="s">
        <v>26</v>
      </c>
      <c r="U153" s="167">
        <v>1</v>
      </c>
      <c r="V153" s="167" t="s">
        <v>311</v>
      </c>
      <c r="W153" s="167"/>
      <c r="X153" s="167"/>
      <c r="Y153" s="167"/>
      <c r="Z153" s="167" t="s">
        <v>208</v>
      </c>
      <c r="AA153" s="167" t="s">
        <v>305</v>
      </c>
      <c r="AB153" s="167"/>
      <c r="AC153" s="168">
        <f t="shared" si="14"/>
        <v>1000000</v>
      </c>
      <c r="AD153" s="169" t="s">
        <v>307</v>
      </c>
      <c r="AE153" s="17"/>
    </row>
    <row r="154" spans="1:31" s="16" customFormat="1" ht="24" customHeight="1">
      <c r="A154" s="52"/>
      <c r="B154" s="52"/>
      <c r="C154" s="52"/>
      <c r="D154" s="133"/>
      <c r="E154" s="133"/>
      <c r="F154" s="133"/>
      <c r="G154" s="133"/>
      <c r="H154" s="133"/>
      <c r="I154" s="133"/>
      <c r="J154" s="133"/>
      <c r="K154" s="133"/>
      <c r="L154" s="8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8"/>
      <c r="AD154" s="169"/>
      <c r="AE154" s="17"/>
    </row>
    <row r="155" spans="1:31" s="16" customFormat="1" ht="24" customHeight="1">
      <c r="A155" s="52"/>
      <c r="B155" s="52"/>
      <c r="C155" s="52"/>
      <c r="D155" s="133"/>
      <c r="E155" s="133"/>
      <c r="F155" s="133"/>
      <c r="G155" s="133"/>
      <c r="H155" s="133"/>
      <c r="I155" s="133"/>
      <c r="J155" s="133"/>
      <c r="K155" s="133"/>
      <c r="L155" s="87"/>
      <c r="M155" s="88" t="s">
        <v>245</v>
      </c>
      <c r="N155" s="140"/>
      <c r="O155" s="210"/>
      <c r="P155" s="34"/>
      <c r="Q155" s="34"/>
      <c r="R155" s="34"/>
      <c r="S155" s="34"/>
      <c r="T155" s="34"/>
      <c r="U155" s="34"/>
      <c r="V155" s="204" t="s">
        <v>131</v>
      </c>
      <c r="W155" s="204"/>
      <c r="X155" s="204"/>
      <c r="Y155" s="204"/>
      <c r="Z155" s="204"/>
      <c r="AA155" s="204"/>
      <c r="AB155" s="89"/>
      <c r="AC155" s="89">
        <f>SUM(AC157)</f>
        <v>40000</v>
      </c>
      <c r="AD155" s="90" t="s">
        <v>25</v>
      </c>
      <c r="AE155" s="17"/>
    </row>
    <row r="156" spans="1:31" s="16" customFormat="1" ht="24" customHeight="1">
      <c r="A156" s="52"/>
      <c r="B156" s="52"/>
      <c r="C156" s="52"/>
      <c r="D156" s="133"/>
      <c r="E156" s="133"/>
      <c r="F156" s="133"/>
      <c r="G156" s="133"/>
      <c r="H156" s="133"/>
      <c r="I156" s="133"/>
      <c r="J156" s="133"/>
      <c r="K156" s="133"/>
      <c r="L156" s="87"/>
      <c r="M156" s="167" t="s">
        <v>246</v>
      </c>
      <c r="N156" s="167"/>
      <c r="O156" s="167"/>
      <c r="P156" s="167"/>
      <c r="Q156" s="289">
        <v>50000</v>
      </c>
      <c r="R156" s="289"/>
      <c r="S156" s="289" t="s">
        <v>57</v>
      </c>
      <c r="T156" s="290" t="s">
        <v>58</v>
      </c>
      <c r="U156" s="289">
        <v>4</v>
      </c>
      <c r="V156" s="289" t="s">
        <v>56</v>
      </c>
      <c r="W156" s="290" t="s">
        <v>58</v>
      </c>
      <c r="X156" s="289">
        <v>1</v>
      </c>
      <c r="Y156" s="289" t="s">
        <v>75</v>
      </c>
      <c r="Z156" s="289" t="s">
        <v>53</v>
      </c>
      <c r="AA156" s="364" t="s">
        <v>250</v>
      </c>
      <c r="AB156" s="365"/>
      <c r="AC156" s="365">
        <f>Q156*U156</f>
        <v>200000</v>
      </c>
      <c r="AD156" s="64" t="s">
        <v>25</v>
      </c>
      <c r="AE156" s="17"/>
    </row>
    <row r="157" spans="1:31" s="16" customFormat="1" ht="24" customHeight="1">
      <c r="A157" s="52"/>
      <c r="B157" s="52"/>
      <c r="C157" s="52"/>
      <c r="D157" s="133"/>
      <c r="E157" s="133"/>
      <c r="F157" s="133"/>
      <c r="G157" s="133"/>
      <c r="H157" s="133"/>
      <c r="I157" s="133"/>
      <c r="J157" s="133"/>
      <c r="K157" s="133"/>
      <c r="L157" s="87"/>
      <c r="M157" s="167" t="s">
        <v>247</v>
      </c>
      <c r="N157" s="167"/>
      <c r="O157" s="167"/>
      <c r="P157" s="167"/>
      <c r="Q157" s="324">
        <v>10000</v>
      </c>
      <c r="R157" s="324"/>
      <c r="S157" s="61" t="s">
        <v>57</v>
      </c>
      <c r="T157" s="61" t="s">
        <v>26</v>
      </c>
      <c r="U157" s="324">
        <v>4</v>
      </c>
      <c r="V157" s="324" t="s">
        <v>56</v>
      </c>
      <c r="W157" s="381" t="s">
        <v>58</v>
      </c>
      <c r="X157" s="380">
        <v>1</v>
      </c>
      <c r="Y157" s="380" t="s">
        <v>75</v>
      </c>
      <c r="Z157" s="215" t="s">
        <v>53</v>
      </c>
      <c r="AA157" s="324" t="s">
        <v>248</v>
      </c>
      <c r="AB157" s="324"/>
      <c r="AC157" s="324">
        <f>Q157*U157</f>
        <v>40000</v>
      </c>
      <c r="AD157" s="64" t="s">
        <v>25</v>
      </c>
      <c r="AE157" s="17"/>
    </row>
    <row r="158" spans="1:31" s="16" customFormat="1" ht="24" customHeight="1">
      <c r="A158" s="52"/>
      <c r="B158" s="52"/>
      <c r="C158" s="52"/>
      <c r="D158" s="133"/>
      <c r="E158" s="133"/>
      <c r="F158" s="133"/>
      <c r="G158" s="133"/>
      <c r="H158" s="133"/>
      <c r="I158" s="133"/>
      <c r="J158" s="133"/>
      <c r="K158" s="133"/>
      <c r="L158" s="8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8"/>
      <c r="AD158" s="169"/>
      <c r="AE158" s="17"/>
    </row>
    <row r="159" spans="1:31" s="16" customFormat="1" ht="24" customHeight="1">
      <c r="A159" s="52"/>
      <c r="B159" s="52"/>
      <c r="C159" s="52"/>
      <c r="D159" s="133"/>
      <c r="E159" s="133"/>
      <c r="F159" s="133"/>
      <c r="G159" s="133"/>
      <c r="H159" s="133"/>
      <c r="I159" s="133"/>
      <c r="J159" s="133"/>
      <c r="K159" s="133"/>
      <c r="L159" s="87"/>
      <c r="M159" s="88" t="s">
        <v>243</v>
      </c>
      <c r="N159" s="140"/>
      <c r="O159" s="218"/>
      <c r="P159" s="34"/>
      <c r="Q159" s="34"/>
      <c r="R159" s="34"/>
      <c r="S159" s="34"/>
      <c r="T159" s="34"/>
      <c r="U159" s="34"/>
      <c r="V159" s="322" t="s">
        <v>131</v>
      </c>
      <c r="W159" s="322"/>
      <c r="X159" s="322"/>
      <c r="Y159" s="322"/>
      <c r="Z159" s="322"/>
      <c r="AA159" s="322"/>
      <c r="AB159" s="89"/>
      <c r="AC159" s="89">
        <f>SUM(AC160)</f>
        <v>80000</v>
      </c>
      <c r="AD159" s="90" t="s">
        <v>25</v>
      </c>
      <c r="AE159" s="17"/>
    </row>
    <row r="160" spans="1:31" s="16" customFormat="1" ht="24" customHeight="1">
      <c r="A160" s="52"/>
      <c r="B160" s="52"/>
      <c r="C160" s="52"/>
      <c r="D160" s="133"/>
      <c r="E160" s="133"/>
      <c r="F160" s="133"/>
      <c r="G160" s="133"/>
      <c r="H160" s="133"/>
      <c r="I160" s="133"/>
      <c r="J160" s="133"/>
      <c r="K160" s="133"/>
      <c r="L160" s="87"/>
      <c r="M160" s="325" t="s">
        <v>244</v>
      </c>
      <c r="N160" s="325"/>
      <c r="O160" s="325"/>
      <c r="P160" s="325"/>
      <c r="Q160" s="324">
        <v>10000</v>
      </c>
      <c r="R160" s="324"/>
      <c r="S160" s="324" t="s">
        <v>57</v>
      </c>
      <c r="T160" s="325" t="s">
        <v>58</v>
      </c>
      <c r="U160" s="324">
        <v>2</v>
      </c>
      <c r="V160" s="324" t="s">
        <v>75</v>
      </c>
      <c r="W160" s="325" t="s">
        <v>58</v>
      </c>
      <c r="X160" s="324">
        <v>4</v>
      </c>
      <c r="Y160" s="324" t="s">
        <v>56</v>
      </c>
      <c r="Z160" s="324" t="s">
        <v>53</v>
      </c>
      <c r="AA160" s="324" t="s">
        <v>248</v>
      </c>
      <c r="AB160" s="84"/>
      <c r="AC160" s="84">
        <f t="shared" ref="AC160" si="15">Q160*U160*X160</f>
        <v>80000</v>
      </c>
      <c r="AD160" s="64" t="s">
        <v>25</v>
      </c>
      <c r="AE160" s="17"/>
    </row>
    <row r="161" spans="1:31" s="16" customFormat="1" ht="24" customHeight="1">
      <c r="A161" s="340"/>
      <c r="B161" s="340"/>
      <c r="C161" s="53"/>
      <c r="D161" s="133"/>
      <c r="E161" s="133"/>
      <c r="F161" s="133"/>
      <c r="G161" s="133"/>
      <c r="H161" s="133"/>
      <c r="I161" s="133"/>
      <c r="J161" s="133"/>
      <c r="K161" s="133"/>
      <c r="L161" s="87"/>
      <c r="M161" s="376"/>
      <c r="N161" s="376"/>
      <c r="O161" s="376"/>
      <c r="P161" s="376"/>
      <c r="Q161" s="375"/>
      <c r="R161" s="375"/>
      <c r="S161" s="375"/>
      <c r="T161" s="376"/>
      <c r="U161" s="375"/>
      <c r="V161" s="375"/>
      <c r="W161" s="376"/>
      <c r="X161" s="375"/>
      <c r="Y161" s="375"/>
      <c r="Z161" s="375"/>
      <c r="AA161" s="375"/>
      <c r="AB161" s="84"/>
      <c r="AC161" s="84"/>
      <c r="AD161" s="64"/>
      <c r="AE161" s="17"/>
    </row>
    <row r="162" spans="1:31" s="16" customFormat="1" ht="24" customHeight="1">
      <c r="A162" s="340"/>
      <c r="B162" s="340"/>
      <c r="C162" s="53"/>
      <c r="D162" s="133"/>
      <c r="E162" s="133"/>
      <c r="F162" s="133"/>
      <c r="G162" s="133"/>
      <c r="H162" s="133"/>
      <c r="I162" s="133"/>
      <c r="J162" s="133"/>
      <c r="K162" s="133"/>
      <c r="L162" s="87"/>
      <c r="M162" s="88" t="s">
        <v>314</v>
      </c>
      <c r="N162" s="374"/>
      <c r="O162" s="376"/>
      <c r="P162" s="376"/>
      <c r="Q162" s="375"/>
      <c r="R162" s="375"/>
      <c r="S162" s="375"/>
      <c r="T162" s="376"/>
      <c r="U162" s="375"/>
      <c r="V162" s="373" t="s">
        <v>318</v>
      </c>
      <c r="W162" s="374"/>
      <c r="X162" s="373"/>
      <c r="Y162" s="373"/>
      <c r="Z162" s="373"/>
      <c r="AA162" s="373"/>
      <c r="AB162" s="89"/>
      <c r="AC162" s="89">
        <f>AC163+AC164</f>
        <v>60000</v>
      </c>
      <c r="AD162" s="90" t="s">
        <v>25</v>
      </c>
      <c r="AE162" s="17"/>
    </row>
    <row r="163" spans="1:31" s="16" customFormat="1" ht="24" customHeight="1">
      <c r="A163" s="340"/>
      <c r="B163" s="340"/>
      <c r="C163" s="53"/>
      <c r="D163" s="133"/>
      <c r="E163" s="133"/>
      <c r="F163" s="133"/>
      <c r="G163" s="133"/>
      <c r="H163" s="133"/>
      <c r="I163" s="133"/>
      <c r="J163" s="133"/>
      <c r="K163" s="133"/>
      <c r="L163" s="87"/>
      <c r="M163" s="376" t="s">
        <v>315</v>
      </c>
      <c r="N163" s="376"/>
      <c r="O163" s="376"/>
      <c r="P163" s="376"/>
      <c r="Q163" s="375">
        <v>60000</v>
      </c>
      <c r="R163" s="375"/>
      <c r="S163" s="375" t="s">
        <v>307</v>
      </c>
      <c r="T163" s="376" t="s">
        <v>58</v>
      </c>
      <c r="U163" s="375">
        <v>1</v>
      </c>
      <c r="V163" s="375" t="s">
        <v>317</v>
      </c>
      <c r="W163" s="376"/>
      <c r="X163" s="375"/>
      <c r="Y163" s="375"/>
      <c r="Z163" s="215" t="s">
        <v>53</v>
      </c>
      <c r="AA163" s="375" t="s">
        <v>305</v>
      </c>
      <c r="AB163" s="84"/>
      <c r="AC163" s="84">
        <f>Q163*U163</f>
        <v>60000</v>
      </c>
      <c r="AD163" s="64" t="s">
        <v>307</v>
      </c>
      <c r="AE163" s="17"/>
    </row>
    <row r="164" spans="1:31" s="16" customFormat="1" ht="24" customHeight="1">
      <c r="A164" s="340"/>
      <c r="B164" s="340"/>
      <c r="C164" s="53"/>
      <c r="D164" s="133"/>
      <c r="E164" s="133"/>
      <c r="F164" s="133"/>
      <c r="G164" s="133"/>
      <c r="H164" s="133"/>
      <c r="I164" s="133"/>
      <c r="J164" s="133"/>
      <c r="K164" s="133"/>
      <c r="L164" s="87"/>
      <c r="M164" s="376" t="s">
        <v>316</v>
      </c>
      <c r="N164" s="376"/>
      <c r="O164" s="376"/>
      <c r="P164" s="376"/>
      <c r="Q164" s="375">
        <v>0</v>
      </c>
      <c r="R164" s="375"/>
      <c r="S164" s="375" t="s">
        <v>307</v>
      </c>
      <c r="T164" s="376" t="s">
        <v>58</v>
      </c>
      <c r="U164" s="375">
        <v>1</v>
      </c>
      <c r="V164" s="375" t="s">
        <v>317</v>
      </c>
      <c r="W164" s="376"/>
      <c r="X164" s="375"/>
      <c r="Y164" s="375"/>
      <c r="Z164" s="215" t="s">
        <v>53</v>
      </c>
      <c r="AA164" s="375" t="s">
        <v>305</v>
      </c>
      <c r="AB164" s="84"/>
      <c r="AC164" s="84">
        <f>Q164*U164</f>
        <v>0</v>
      </c>
      <c r="AD164" s="64" t="s">
        <v>307</v>
      </c>
      <c r="AE164" s="17"/>
    </row>
    <row r="165" spans="1:31" s="16" customFormat="1" ht="24" customHeight="1">
      <c r="A165" s="66"/>
      <c r="B165" s="66"/>
      <c r="C165" s="134"/>
      <c r="D165" s="135"/>
      <c r="E165" s="135"/>
      <c r="F165" s="135"/>
      <c r="G165" s="135"/>
      <c r="H165" s="135"/>
      <c r="I165" s="135"/>
      <c r="J165" s="135"/>
      <c r="K165" s="133"/>
      <c r="L165" s="87"/>
      <c r="M165" s="56"/>
      <c r="N165" s="56"/>
      <c r="O165" s="56"/>
      <c r="P165" s="56"/>
      <c r="Q165" s="56"/>
      <c r="R165" s="276"/>
      <c r="S165" s="57"/>
      <c r="T165" s="57"/>
      <c r="U165" s="57"/>
      <c r="V165" s="57"/>
      <c r="W165" s="57"/>
      <c r="X165" s="165"/>
      <c r="Y165" s="165"/>
      <c r="Z165" s="165"/>
      <c r="AA165" s="165"/>
      <c r="AB165" s="166"/>
      <c r="AC165" s="57"/>
      <c r="AD165" s="64"/>
      <c r="AE165" s="17"/>
    </row>
    <row r="166" spans="1:31" s="12" customFormat="1" ht="21" customHeight="1">
      <c r="A166" s="136" t="s">
        <v>153</v>
      </c>
      <c r="B166" s="595" t="s">
        <v>21</v>
      </c>
      <c r="C166" s="596"/>
      <c r="D166" s="197">
        <v>137</v>
      </c>
      <c r="E166" s="197">
        <f>SUM(E167)</f>
        <v>136.59700000000001</v>
      </c>
      <c r="F166" s="197">
        <f>SUM(F167,F174)</f>
        <v>14.597000000000001</v>
      </c>
      <c r="G166" s="197">
        <f t="shared" ref="G166:J166" si="16">SUM(G167)</f>
        <v>130</v>
      </c>
      <c r="H166" s="197">
        <f t="shared" si="16"/>
        <v>0</v>
      </c>
      <c r="I166" s="197">
        <v>0</v>
      </c>
      <c r="J166" s="197">
        <f t="shared" si="16"/>
        <v>0</v>
      </c>
      <c r="K166" s="197">
        <f>E166-D166</f>
        <v>-0.40299999999999159</v>
      </c>
      <c r="L166" s="198">
        <f>IF(D166=0,0,K166/D166)</f>
        <v>-2.9416058394159971E-3</v>
      </c>
      <c r="M166" s="356" t="s">
        <v>156</v>
      </c>
      <c r="N166" s="357"/>
      <c r="O166" s="357"/>
      <c r="P166" s="357"/>
      <c r="Q166" s="358"/>
      <c r="R166" s="358"/>
      <c r="S166" s="358"/>
      <c r="T166" s="358"/>
      <c r="U166" s="358"/>
      <c r="V166" s="358"/>
      <c r="W166" s="358"/>
      <c r="X166" s="358"/>
      <c r="Y166" s="358"/>
      <c r="Z166" s="358"/>
      <c r="AA166" s="358"/>
      <c r="AB166" s="358"/>
      <c r="AC166" s="358">
        <f>SUM(AC167)</f>
        <v>136597</v>
      </c>
      <c r="AD166" s="201" t="s">
        <v>25</v>
      </c>
      <c r="AE166" s="1"/>
    </row>
    <row r="167" spans="1:31" s="12" customFormat="1" ht="21" customHeight="1">
      <c r="A167" s="226" t="s">
        <v>155</v>
      </c>
      <c r="B167" s="52" t="s">
        <v>153</v>
      </c>
      <c r="C167" s="52" t="s">
        <v>153</v>
      </c>
      <c r="D167" s="133">
        <v>137</v>
      </c>
      <c r="E167" s="138">
        <f>SUM(F167:J167)</f>
        <v>136.59700000000001</v>
      </c>
      <c r="F167" s="133">
        <f>SUM(AC168)/1000</f>
        <v>6.5970000000000004</v>
      </c>
      <c r="G167" s="133">
        <f>AC169/1000</f>
        <v>130</v>
      </c>
      <c r="H167" s="133">
        <v>0</v>
      </c>
      <c r="I167" s="133">
        <v>0</v>
      </c>
      <c r="J167" s="133">
        <v>0</v>
      </c>
      <c r="K167" s="133">
        <f>E167-D167</f>
        <v>-0.40299999999999159</v>
      </c>
      <c r="L167" s="87">
        <f>IF(D167=0,0,K167/D167)</f>
        <v>-2.9416058394159971E-3</v>
      </c>
      <c r="M167" s="140" t="s">
        <v>157</v>
      </c>
      <c r="N167" s="38"/>
      <c r="O167" s="38"/>
      <c r="P167" s="38"/>
      <c r="Q167" s="38"/>
      <c r="R167" s="218"/>
      <c r="S167" s="39"/>
      <c r="T167" s="39"/>
      <c r="U167" s="39"/>
      <c r="V167" s="39"/>
      <c r="W167" s="39"/>
      <c r="X167" s="200" t="s">
        <v>137</v>
      </c>
      <c r="Y167" s="124"/>
      <c r="Z167" s="124"/>
      <c r="AA167" s="124"/>
      <c r="AB167" s="142"/>
      <c r="AC167" s="142">
        <f>SUM(AC168:AC169)</f>
        <v>136597</v>
      </c>
      <c r="AD167" s="143" t="s">
        <v>25</v>
      </c>
      <c r="AE167" s="1"/>
    </row>
    <row r="168" spans="1:31" ht="21" customHeight="1">
      <c r="A168" s="51"/>
      <c r="B168" s="52" t="s">
        <v>154</v>
      </c>
      <c r="C168" s="52" t="s">
        <v>154</v>
      </c>
      <c r="D168" s="133"/>
      <c r="E168" s="133"/>
      <c r="F168" s="133"/>
      <c r="G168" s="133"/>
      <c r="H168" s="133"/>
      <c r="I168" s="133"/>
      <c r="J168" s="133"/>
      <c r="K168" s="133"/>
      <c r="L168" s="87"/>
      <c r="M168" s="334" t="s">
        <v>190</v>
      </c>
      <c r="N168" s="279"/>
      <c r="O168" s="279"/>
      <c r="P168" s="279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>
        <v>6597</v>
      </c>
      <c r="AD168" s="64" t="s">
        <v>25</v>
      </c>
    </row>
    <row r="169" spans="1:31" ht="21" customHeight="1">
      <c r="A169" s="519"/>
      <c r="B169" s="513"/>
      <c r="C169" s="513"/>
      <c r="D169" s="514"/>
      <c r="E169" s="514"/>
      <c r="F169" s="514"/>
      <c r="G169" s="514"/>
      <c r="H169" s="514"/>
      <c r="I169" s="514"/>
      <c r="J169" s="514"/>
      <c r="K169" s="514"/>
      <c r="L169" s="515"/>
      <c r="M169" s="516" t="s">
        <v>290</v>
      </c>
      <c r="N169" s="517"/>
      <c r="O169" s="517"/>
      <c r="P169" s="517"/>
      <c r="Q169" s="511"/>
      <c r="R169" s="511"/>
      <c r="S169" s="511"/>
      <c r="T169" s="511"/>
      <c r="U169" s="511"/>
      <c r="V169" s="511"/>
      <c r="W169" s="511"/>
      <c r="X169" s="511"/>
      <c r="Y169" s="511"/>
      <c r="Z169" s="511"/>
      <c r="AA169" s="511"/>
      <c r="AB169" s="511"/>
      <c r="AC169" s="511">
        <v>130000</v>
      </c>
      <c r="AD169" s="520" t="s">
        <v>251</v>
      </c>
    </row>
    <row r="170" spans="1:31" ht="21" customHeight="1">
      <c r="A170" s="226" t="s">
        <v>448</v>
      </c>
      <c r="B170" s="576" t="s">
        <v>21</v>
      </c>
      <c r="C170" s="577"/>
      <c r="D170" s="135">
        <v>0</v>
      </c>
      <c r="E170" s="135">
        <f>SUM(E171)</f>
        <v>0</v>
      </c>
      <c r="F170" s="135">
        <f t="shared" ref="F170:J170" si="17">SUM(F171)</f>
        <v>0</v>
      </c>
      <c r="G170" s="135">
        <f t="shared" si="17"/>
        <v>0</v>
      </c>
      <c r="H170" s="135">
        <f t="shared" si="17"/>
        <v>0</v>
      </c>
      <c r="I170" s="135">
        <v>0</v>
      </c>
      <c r="J170" s="135">
        <f t="shared" si="17"/>
        <v>0</v>
      </c>
      <c r="K170" s="135">
        <f>E170-D170</f>
        <v>0</v>
      </c>
      <c r="L170" s="105">
        <f>IF(D170=0,0,K170/D170)</f>
        <v>0</v>
      </c>
      <c r="M170" s="507" t="s">
        <v>448</v>
      </c>
      <c r="N170" s="508"/>
      <c r="O170" s="508"/>
      <c r="P170" s="508"/>
      <c r="Q170" s="509"/>
      <c r="R170" s="509"/>
      <c r="S170" s="509"/>
      <c r="T170" s="509"/>
      <c r="U170" s="509"/>
      <c r="V170" s="509"/>
      <c r="W170" s="509"/>
      <c r="X170" s="509"/>
      <c r="Y170" s="509"/>
      <c r="Z170" s="509"/>
      <c r="AA170" s="509"/>
      <c r="AB170" s="509"/>
      <c r="AC170" s="509">
        <f>SUM(AC171)</f>
        <v>0</v>
      </c>
      <c r="AD170" s="201" t="s">
        <v>25</v>
      </c>
    </row>
    <row r="171" spans="1:31" ht="21" customHeight="1">
      <c r="A171" s="226"/>
      <c r="B171" s="340" t="s">
        <v>448</v>
      </c>
      <c r="C171" s="340" t="s">
        <v>448</v>
      </c>
      <c r="D171" s="133">
        <v>0</v>
      </c>
      <c r="E171" s="133">
        <f>AC171/1000</f>
        <v>0</v>
      </c>
      <c r="F171" s="133">
        <f>SUM(AC172)/1000</f>
        <v>0</v>
      </c>
      <c r="G171" s="133">
        <f>AC173/1000</f>
        <v>0</v>
      </c>
      <c r="H171" s="133">
        <v>0</v>
      </c>
      <c r="I171" s="133">
        <v>0</v>
      </c>
      <c r="J171" s="133">
        <v>0</v>
      </c>
      <c r="K171" s="133">
        <f>E171-D171</f>
        <v>0</v>
      </c>
      <c r="L171" s="87">
        <f>IF(D171=0,0,K171/D171)</f>
        <v>0</v>
      </c>
      <c r="M171" s="140" t="s">
        <v>449</v>
      </c>
      <c r="N171" s="218"/>
      <c r="O171" s="218"/>
      <c r="P171" s="218"/>
      <c r="Q171" s="218"/>
      <c r="R171" s="218"/>
      <c r="S171" s="217"/>
      <c r="T171" s="217"/>
      <c r="U171" s="217"/>
      <c r="V171" s="217"/>
      <c r="W171" s="217"/>
      <c r="X171" s="501" t="s">
        <v>445</v>
      </c>
      <c r="Y171" s="124"/>
      <c r="Z171" s="124"/>
      <c r="AA171" s="124"/>
      <c r="AB171" s="142"/>
      <c r="AC171" s="142">
        <f>SUM(AC172:AC173)</f>
        <v>0</v>
      </c>
      <c r="AD171" s="143" t="s">
        <v>25</v>
      </c>
    </row>
    <row r="172" spans="1:31" ht="21" customHeight="1">
      <c r="A172" s="51"/>
      <c r="B172" s="340"/>
      <c r="C172" s="340"/>
      <c r="D172" s="133"/>
      <c r="E172" s="133"/>
      <c r="F172" s="133"/>
      <c r="G172" s="133"/>
      <c r="H172" s="133"/>
      <c r="I172" s="133"/>
      <c r="J172" s="133"/>
      <c r="K172" s="133"/>
      <c r="L172" s="87"/>
      <c r="M172" s="504"/>
      <c r="N172" s="504"/>
      <c r="O172" s="504"/>
      <c r="P172" s="504"/>
      <c r="Q172" s="503"/>
      <c r="R172" s="503"/>
      <c r="S172" s="503"/>
      <c r="T172" s="503"/>
      <c r="U172" s="503"/>
      <c r="V172" s="503"/>
      <c r="W172" s="503"/>
      <c r="X172" s="503"/>
      <c r="Y172" s="503"/>
      <c r="Z172" s="503"/>
      <c r="AA172" s="503"/>
      <c r="AB172" s="503"/>
      <c r="AC172" s="503">
        <v>0</v>
      </c>
      <c r="AD172" s="64" t="s">
        <v>25</v>
      </c>
    </row>
    <row r="173" spans="1:31" ht="21" customHeight="1">
      <c r="A173" s="512"/>
      <c r="B173" s="513"/>
      <c r="C173" s="513"/>
      <c r="D173" s="514"/>
      <c r="E173" s="514"/>
      <c r="F173" s="514"/>
      <c r="G173" s="514"/>
      <c r="H173" s="514"/>
      <c r="I173" s="514"/>
      <c r="J173" s="514"/>
      <c r="K173" s="514"/>
      <c r="L173" s="515"/>
      <c r="M173" s="516"/>
      <c r="N173" s="517"/>
      <c r="O173" s="517"/>
      <c r="P173" s="517"/>
      <c r="Q173" s="511"/>
      <c r="R173" s="511"/>
      <c r="S173" s="511"/>
      <c r="T173" s="511"/>
      <c r="U173" s="511"/>
      <c r="V173" s="511"/>
      <c r="W173" s="511"/>
      <c r="X173" s="511"/>
      <c r="Y173" s="511"/>
      <c r="Z173" s="511"/>
      <c r="AA173" s="511"/>
      <c r="AB173" s="511"/>
      <c r="AC173" s="511">
        <v>0</v>
      </c>
      <c r="AD173" s="518" t="s">
        <v>447</v>
      </c>
    </row>
    <row r="174" spans="1:31" ht="21" customHeight="1">
      <c r="A174" s="226" t="s">
        <v>443</v>
      </c>
      <c r="B174" s="576" t="s">
        <v>21</v>
      </c>
      <c r="C174" s="577"/>
      <c r="D174" s="135">
        <v>0</v>
      </c>
      <c r="E174" s="135">
        <f>SUM(E175)</f>
        <v>8</v>
      </c>
      <c r="F174" s="135">
        <f t="shared" ref="F174:J174" si="18">SUM(F175)</f>
        <v>8</v>
      </c>
      <c r="G174" s="135">
        <f t="shared" si="18"/>
        <v>0</v>
      </c>
      <c r="H174" s="135">
        <f t="shared" si="18"/>
        <v>0</v>
      </c>
      <c r="I174" s="135">
        <v>0</v>
      </c>
      <c r="J174" s="135">
        <f t="shared" si="18"/>
        <v>0</v>
      </c>
      <c r="K174" s="135">
        <f>E174-D174</f>
        <v>8</v>
      </c>
      <c r="L174" s="105">
        <f>IF(D174=0,0,K174/D174)</f>
        <v>0</v>
      </c>
      <c r="M174" s="507" t="s">
        <v>443</v>
      </c>
      <c r="N174" s="508"/>
      <c r="O174" s="508"/>
      <c r="P174" s="508"/>
      <c r="Q174" s="509"/>
      <c r="R174" s="509"/>
      <c r="S174" s="509"/>
      <c r="T174" s="509"/>
      <c r="U174" s="509"/>
      <c r="V174" s="509"/>
      <c r="W174" s="509"/>
      <c r="X174" s="509"/>
      <c r="Y174" s="509"/>
      <c r="Z174" s="509"/>
      <c r="AA174" s="509"/>
      <c r="AB174" s="509"/>
      <c r="AC174" s="509">
        <f>SUM(AC175)</f>
        <v>8000</v>
      </c>
      <c r="AD174" s="143" t="s">
        <v>25</v>
      </c>
    </row>
    <row r="175" spans="1:31" ht="21" customHeight="1">
      <c r="A175" s="226"/>
      <c r="B175" s="340" t="s">
        <v>443</v>
      </c>
      <c r="C175" s="340" t="s">
        <v>443</v>
      </c>
      <c r="D175" s="133">
        <v>0</v>
      </c>
      <c r="E175" s="133">
        <f>AC175/1000</f>
        <v>8</v>
      </c>
      <c r="F175" s="133">
        <f>SUM(AC174)/1000</f>
        <v>8</v>
      </c>
      <c r="G175" s="133"/>
      <c r="H175" s="133">
        <v>0</v>
      </c>
      <c r="I175" s="133">
        <v>0</v>
      </c>
      <c r="J175" s="133">
        <v>0</v>
      </c>
      <c r="K175" s="133">
        <f>E175-D175</f>
        <v>8</v>
      </c>
      <c r="L175" s="87">
        <f>IF(D175=0,0,K175/D175)</f>
        <v>0</v>
      </c>
      <c r="M175" s="140" t="s">
        <v>444</v>
      </c>
      <c r="N175" s="218"/>
      <c r="O175" s="218"/>
      <c r="P175" s="218"/>
      <c r="Q175" s="218"/>
      <c r="R175" s="218"/>
      <c r="S175" s="217"/>
      <c r="T175" s="217"/>
      <c r="U175" s="217"/>
      <c r="V175" s="217"/>
      <c r="W175" s="217"/>
      <c r="X175" s="501" t="s">
        <v>445</v>
      </c>
      <c r="Y175" s="124"/>
      <c r="Z175" s="124"/>
      <c r="AA175" s="124"/>
      <c r="AB175" s="142"/>
      <c r="AC175" s="142">
        <f>SUM(AC176:AC177)</f>
        <v>8000</v>
      </c>
      <c r="AD175" s="143" t="s">
        <v>25</v>
      </c>
    </row>
    <row r="176" spans="1:31" ht="21" customHeight="1">
      <c r="A176" s="51"/>
      <c r="B176" s="340"/>
      <c r="C176" s="340"/>
      <c r="D176" s="133"/>
      <c r="E176" s="133"/>
      <c r="F176" s="133"/>
      <c r="G176" s="133"/>
      <c r="H176" s="133"/>
      <c r="I176" s="133"/>
      <c r="J176" s="133"/>
      <c r="K176" s="133"/>
      <c r="L176" s="87"/>
      <c r="M176" s="504" t="s">
        <v>446</v>
      </c>
      <c r="N176" s="504"/>
      <c r="O176" s="504"/>
      <c r="P176" s="504"/>
      <c r="Q176" s="503"/>
      <c r="R176" s="503"/>
      <c r="S176" s="503"/>
      <c r="T176" s="503"/>
      <c r="U176" s="503"/>
      <c r="V176" s="503"/>
      <c r="W176" s="503"/>
      <c r="X176" s="503"/>
      <c r="Y176" s="503"/>
      <c r="Z176" s="503"/>
      <c r="AA176" s="503"/>
      <c r="AB176" s="503"/>
      <c r="AC176" s="503">
        <v>8000</v>
      </c>
      <c r="AD176" s="64" t="s">
        <v>25</v>
      </c>
    </row>
    <row r="177" spans="1:30" ht="21" customHeight="1" thickBot="1">
      <c r="A177" s="510"/>
      <c r="B177" s="284"/>
      <c r="C177" s="284"/>
      <c r="D177" s="285"/>
      <c r="E177" s="285"/>
      <c r="F177" s="285"/>
      <c r="G177" s="285"/>
      <c r="H177" s="285"/>
      <c r="I177" s="285"/>
      <c r="J177" s="285"/>
      <c r="K177" s="285"/>
      <c r="L177" s="286"/>
      <c r="M177" s="328"/>
      <c r="N177" s="329"/>
      <c r="O177" s="329"/>
      <c r="P177" s="329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1" t="s">
        <v>447</v>
      </c>
    </row>
  </sheetData>
  <mergeCells count="16">
    <mergeCell ref="U89:V89"/>
    <mergeCell ref="U60:V60"/>
    <mergeCell ref="U66:V66"/>
    <mergeCell ref="M2:AD3"/>
    <mergeCell ref="B166:C166"/>
    <mergeCell ref="B107:C107"/>
    <mergeCell ref="B174:C174"/>
    <mergeCell ref="A1:C1"/>
    <mergeCell ref="B5:C5"/>
    <mergeCell ref="A4:C4"/>
    <mergeCell ref="K2:L2"/>
    <mergeCell ref="A2:C2"/>
    <mergeCell ref="D2:D3"/>
    <mergeCell ref="E2:J2"/>
    <mergeCell ref="B93:C93"/>
    <mergeCell ref="B170:C170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&amp;R장애인공동생활가정 몬띠의 집</oddFooter>
    <evenFooter>&amp;R장애인공동생활가정 바르나바의집</evenFooter>
    <firstFooter>&amp;R&amp;10장애인공동생활가정 몬띠의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topLeftCell="A7" workbookViewId="0">
      <selection activeCell="D11" sqref="D1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02" t="s">
        <v>457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</row>
    <row r="2" spans="1:14" ht="34.5" customHeight="1">
      <c r="A2" s="603" t="s">
        <v>371</v>
      </c>
      <c r="B2" s="604"/>
      <c r="C2" s="605"/>
      <c r="D2" s="606" t="s">
        <v>372</v>
      </c>
      <c r="E2" s="605"/>
      <c r="F2" s="607" t="s">
        <v>373</v>
      </c>
      <c r="G2" s="609" t="s">
        <v>374</v>
      </c>
      <c r="H2" s="610"/>
      <c r="I2" s="610"/>
      <c r="J2" s="610"/>
      <c r="K2" s="613" t="s">
        <v>375</v>
      </c>
      <c r="L2" s="406"/>
      <c r="M2" s="406"/>
      <c r="N2" s="406"/>
    </row>
    <row r="3" spans="1:14" ht="35.25" customHeight="1" thickBot="1">
      <c r="A3" s="407" t="s">
        <v>376</v>
      </c>
      <c r="B3" s="408" t="s">
        <v>377</v>
      </c>
      <c r="C3" s="409" t="s">
        <v>378</v>
      </c>
      <c r="D3" s="410" t="s">
        <v>370</v>
      </c>
      <c r="E3" s="410" t="s">
        <v>440</v>
      </c>
      <c r="F3" s="608"/>
      <c r="G3" s="611"/>
      <c r="H3" s="612"/>
      <c r="I3" s="612"/>
      <c r="J3" s="612"/>
      <c r="K3" s="614"/>
      <c r="L3" s="406"/>
      <c r="M3" s="406"/>
      <c r="N3" s="406"/>
    </row>
    <row r="4" spans="1:14" ht="36.75" customHeight="1" thickBot="1">
      <c r="A4" s="599" t="s">
        <v>379</v>
      </c>
      <c r="B4" s="600"/>
      <c r="C4" s="601"/>
      <c r="D4" s="411">
        <f>SUM(D5:D18)</f>
        <v>62379476</v>
      </c>
      <c r="E4" s="412">
        <f>SUM(E5:E18)</f>
        <v>61249476</v>
      </c>
      <c r="F4" s="413">
        <f t="shared" ref="F4:F18" si="0">E4-D4</f>
        <v>-1130000</v>
      </c>
      <c r="G4" s="414"/>
      <c r="H4" s="414"/>
      <c r="I4" s="414"/>
      <c r="J4" s="414"/>
      <c r="K4" s="415"/>
      <c r="L4" s="406"/>
      <c r="M4" s="406"/>
      <c r="N4" s="406"/>
    </row>
    <row r="5" spans="1:14" ht="46.5" customHeight="1" thickBot="1">
      <c r="A5" s="416" t="s">
        <v>380</v>
      </c>
      <c r="B5" s="417" t="s">
        <v>380</v>
      </c>
      <c r="C5" s="418" t="s">
        <v>380</v>
      </c>
      <c r="D5" s="419">
        <v>7200000</v>
      </c>
      <c r="E5" s="420">
        <v>7200000</v>
      </c>
      <c r="F5" s="421">
        <f t="shared" si="0"/>
        <v>0</v>
      </c>
      <c r="G5" s="422">
        <v>250000</v>
      </c>
      <c r="H5" s="423">
        <v>25</v>
      </c>
      <c r="I5" s="424">
        <v>12</v>
      </c>
      <c r="J5" s="425">
        <f>G5*H5*I5</f>
        <v>75000000</v>
      </c>
      <c r="K5" s="426" t="s">
        <v>438</v>
      </c>
    </row>
    <row r="6" spans="1:14" ht="46.5" customHeight="1">
      <c r="A6" s="427" t="s">
        <v>381</v>
      </c>
      <c r="B6" s="428" t="s">
        <v>382</v>
      </c>
      <c r="C6" s="429" t="s">
        <v>383</v>
      </c>
      <c r="D6" s="430">
        <v>48125000</v>
      </c>
      <c r="E6" s="431">
        <f>세입!AB10</f>
        <v>48130000</v>
      </c>
      <c r="F6" s="432">
        <f t="shared" si="0"/>
        <v>5000</v>
      </c>
      <c r="G6" s="314"/>
      <c r="H6" s="314"/>
      <c r="I6" s="314"/>
      <c r="J6" s="314"/>
      <c r="K6" s="433" t="s">
        <v>471</v>
      </c>
    </row>
    <row r="7" spans="1:14" ht="55.5" customHeight="1">
      <c r="A7" s="434"/>
      <c r="B7" s="435"/>
      <c r="C7" s="436" t="s">
        <v>385</v>
      </c>
      <c r="D7" s="430">
        <v>1200000</v>
      </c>
      <c r="E7" s="431">
        <f>세입!AB12</f>
        <v>1200000</v>
      </c>
      <c r="F7" s="432">
        <f t="shared" si="0"/>
        <v>0</v>
      </c>
      <c r="G7" s="314"/>
      <c r="H7" s="314"/>
      <c r="I7" s="314"/>
      <c r="J7" s="314"/>
      <c r="K7" s="437" t="s">
        <v>384</v>
      </c>
    </row>
    <row r="8" spans="1:14" ht="46.5" customHeight="1">
      <c r="A8" s="434"/>
      <c r="B8" s="435"/>
      <c r="C8" s="436" t="s">
        <v>386</v>
      </c>
      <c r="D8" s="430">
        <v>2000000</v>
      </c>
      <c r="E8" s="431">
        <f>세입!AB11</f>
        <v>990000</v>
      </c>
      <c r="F8" s="432">
        <f t="shared" si="0"/>
        <v>-1010000</v>
      </c>
      <c r="G8" s="314"/>
      <c r="H8" s="314"/>
      <c r="I8" s="314"/>
      <c r="J8" s="314"/>
      <c r="K8" s="438" t="s">
        <v>472</v>
      </c>
    </row>
    <row r="9" spans="1:14" ht="46.5" customHeight="1" thickBot="1">
      <c r="A9" s="434"/>
      <c r="B9" s="439" t="s">
        <v>387</v>
      </c>
      <c r="C9" s="436" t="s">
        <v>388</v>
      </c>
      <c r="D9" s="430">
        <v>0</v>
      </c>
      <c r="E9" s="431">
        <f>세입!AB15</f>
        <v>0</v>
      </c>
      <c r="F9" s="432">
        <f t="shared" si="0"/>
        <v>0</v>
      </c>
      <c r="G9" s="314"/>
      <c r="H9" s="314"/>
      <c r="I9" s="314"/>
      <c r="J9" s="314"/>
      <c r="K9" s="433" t="s">
        <v>384</v>
      </c>
    </row>
    <row r="10" spans="1:14" ht="55.5" customHeight="1">
      <c r="A10" s="440" t="s">
        <v>389</v>
      </c>
      <c r="B10" s="441" t="s">
        <v>389</v>
      </c>
      <c r="C10" s="442" t="s">
        <v>390</v>
      </c>
      <c r="D10" s="443">
        <v>0</v>
      </c>
      <c r="E10" s="444">
        <f>세입!AB20</f>
        <v>200000</v>
      </c>
      <c r="F10" s="445">
        <f t="shared" si="0"/>
        <v>200000</v>
      </c>
      <c r="G10" s="446"/>
      <c r="H10" s="446"/>
      <c r="I10" s="446"/>
      <c r="J10" s="446"/>
      <c r="K10" s="447" t="s">
        <v>473</v>
      </c>
    </row>
    <row r="11" spans="1:14" ht="35.25" customHeight="1" thickBot="1">
      <c r="A11" s="448"/>
      <c r="B11" s="449"/>
      <c r="C11" s="450" t="s">
        <v>391</v>
      </c>
      <c r="D11" s="451">
        <v>1960000</v>
      </c>
      <c r="E11" s="452">
        <f>세입!AB19</f>
        <v>1620000</v>
      </c>
      <c r="F11" s="453">
        <f t="shared" si="0"/>
        <v>-340000</v>
      </c>
      <c r="G11" s="454"/>
      <c r="H11" s="454"/>
      <c r="I11" s="454"/>
      <c r="J11" s="454"/>
      <c r="K11" s="455" t="s">
        <v>474</v>
      </c>
    </row>
    <row r="12" spans="1:14" ht="57" customHeight="1" thickBot="1">
      <c r="A12" s="456" t="s">
        <v>392</v>
      </c>
      <c r="B12" s="417" t="s">
        <v>393</v>
      </c>
      <c r="C12" s="418" t="s">
        <v>394</v>
      </c>
      <c r="D12" s="419">
        <v>0</v>
      </c>
      <c r="E12" s="457">
        <v>0</v>
      </c>
      <c r="F12" s="421">
        <f t="shared" si="0"/>
        <v>0</v>
      </c>
      <c r="G12" s="458"/>
      <c r="H12" s="458"/>
      <c r="I12" s="458"/>
      <c r="J12" s="458"/>
      <c r="K12" s="426" t="s">
        <v>384</v>
      </c>
    </row>
    <row r="13" spans="1:14" ht="40.5" customHeight="1">
      <c r="A13" s="459" t="s">
        <v>395</v>
      </c>
      <c r="B13" s="460" t="s">
        <v>396</v>
      </c>
      <c r="C13" s="461" t="s">
        <v>397</v>
      </c>
      <c r="D13" s="462">
        <v>1127845</v>
      </c>
      <c r="E13" s="463">
        <f>세입!AB24</f>
        <v>1127845</v>
      </c>
      <c r="F13" s="464">
        <f t="shared" si="0"/>
        <v>0</v>
      </c>
      <c r="G13" s="314"/>
      <c r="H13" s="314"/>
      <c r="I13" s="314"/>
      <c r="J13" s="314"/>
      <c r="K13" s="465" t="s">
        <v>475</v>
      </c>
    </row>
    <row r="14" spans="1:14" ht="40.5" customHeight="1">
      <c r="A14" s="434"/>
      <c r="B14" s="466"/>
      <c r="C14" s="436" t="s">
        <v>398</v>
      </c>
      <c r="D14" s="430">
        <v>136597</v>
      </c>
      <c r="E14" s="431">
        <f>세입!AB22+세입!AB23</f>
        <v>136597</v>
      </c>
      <c r="F14" s="432">
        <f t="shared" si="0"/>
        <v>0</v>
      </c>
      <c r="G14" s="314"/>
      <c r="H14" s="314"/>
      <c r="I14" s="314"/>
      <c r="J14" s="314"/>
      <c r="K14" s="467" t="s">
        <v>475</v>
      </c>
    </row>
    <row r="15" spans="1:14" ht="40.5" customHeight="1">
      <c r="A15" s="434"/>
      <c r="B15" s="466"/>
      <c r="C15" s="436" t="s">
        <v>399</v>
      </c>
      <c r="D15" s="430">
        <v>57</v>
      </c>
      <c r="E15" s="431">
        <f>세입!AB26</f>
        <v>57</v>
      </c>
      <c r="F15" s="432">
        <f t="shared" si="0"/>
        <v>0</v>
      </c>
      <c r="G15" s="314"/>
      <c r="H15" s="314"/>
      <c r="I15" s="314"/>
      <c r="J15" s="314"/>
      <c r="K15" s="467" t="s">
        <v>475</v>
      </c>
    </row>
    <row r="16" spans="1:14" ht="40.5" customHeight="1">
      <c r="A16" s="434"/>
      <c r="B16" s="468"/>
      <c r="C16" s="436" t="s">
        <v>400</v>
      </c>
      <c r="D16" s="430">
        <v>172075</v>
      </c>
      <c r="E16" s="431">
        <f>세입!AB25</f>
        <v>172075</v>
      </c>
      <c r="F16" s="432">
        <f t="shared" si="0"/>
        <v>0</v>
      </c>
      <c r="G16" s="314"/>
      <c r="H16" s="314"/>
      <c r="I16" s="314"/>
      <c r="J16" s="314"/>
      <c r="K16" s="467" t="s">
        <v>475</v>
      </c>
    </row>
    <row r="17" spans="1:11" ht="44.25" customHeight="1" thickBot="1">
      <c r="A17" s="448"/>
      <c r="B17" s="469" t="s">
        <v>401</v>
      </c>
      <c r="C17" s="450" t="s">
        <v>402</v>
      </c>
      <c r="D17" s="451">
        <v>437902</v>
      </c>
      <c r="E17" s="470">
        <f>세입!AB27</f>
        <v>437902</v>
      </c>
      <c r="F17" s="453">
        <f t="shared" si="0"/>
        <v>0</v>
      </c>
      <c r="G17" s="315"/>
      <c r="H17" s="315"/>
      <c r="I17" s="315"/>
      <c r="J17" s="315"/>
      <c r="K17" s="471" t="s">
        <v>475</v>
      </c>
    </row>
    <row r="18" spans="1:11" ht="46.5" customHeight="1" thickBot="1">
      <c r="A18" s="416" t="s">
        <v>403</v>
      </c>
      <c r="B18" s="417" t="s">
        <v>403</v>
      </c>
      <c r="C18" s="418" t="s">
        <v>403</v>
      </c>
      <c r="D18" s="419">
        <v>20000</v>
      </c>
      <c r="E18" s="420">
        <f>세입!AB28</f>
        <v>35000</v>
      </c>
      <c r="F18" s="453">
        <f t="shared" si="0"/>
        <v>15000</v>
      </c>
      <c r="G18" s="422">
        <v>250000</v>
      </c>
      <c r="H18" s="423">
        <v>25</v>
      </c>
      <c r="I18" s="424">
        <v>12</v>
      </c>
      <c r="J18" s="425">
        <f>G18*H18*I18</f>
        <v>75000000</v>
      </c>
      <c r="K18" s="426" t="s">
        <v>404</v>
      </c>
    </row>
    <row r="19" spans="1:11" ht="46.5" customHeight="1">
      <c r="D19" s="472"/>
      <c r="E19" s="472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opLeftCell="A4" workbookViewId="0">
      <selection activeCell="K7" sqref="K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02" t="s">
        <v>458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</row>
    <row r="2" spans="1:14" ht="46.5" customHeight="1">
      <c r="A2" s="603" t="s">
        <v>371</v>
      </c>
      <c r="B2" s="604"/>
      <c r="C2" s="605"/>
      <c r="D2" s="606" t="s">
        <v>372</v>
      </c>
      <c r="E2" s="605"/>
      <c r="F2" s="607" t="s">
        <v>373</v>
      </c>
      <c r="G2" s="609" t="s">
        <v>374</v>
      </c>
      <c r="H2" s="610"/>
      <c r="I2" s="610"/>
      <c r="J2" s="610"/>
      <c r="K2" s="613" t="s">
        <v>375</v>
      </c>
      <c r="L2" s="406"/>
      <c r="M2" s="406"/>
      <c r="N2" s="406"/>
    </row>
    <row r="3" spans="1:14" ht="46.5" customHeight="1" thickBot="1">
      <c r="A3" s="407" t="s">
        <v>376</v>
      </c>
      <c r="B3" s="408" t="s">
        <v>377</v>
      </c>
      <c r="C3" s="409" t="s">
        <v>378</v>
      </c>
      <c r="D3" s="410" t="s">
        <v>370</v>
      </c>
      <c r="E3" s="410" t="s">
        <v>440</v>
      </c>
      <c r="F3" s="608"/>
      <c r="G3" s="611"/>
      <c r="H3" s="612"/>
      <c r="I3" s="612"/>
      <c r="J3" s="612"/>
      <c r="K3" s="614"/>
      <c r="L3" s="406"/>
      <c r="M3" s="406"/>
      <c r="N3" s="406"/>
    </row>
    <row r="4" spans="1:14" ht="46.5" customHeight="1" thickBot="1">
      <c r="A4" s="599" t="s">
        <v>405</v>
      </c>
      <c r="B4" s="600"/>
      <c r="C4" s="601"/>
      <c r="D4" s="411">
        <f>SUM(D5:D29)</f>
        <v>62379476</v>
      </c>
      <c r="E4" s="411">
        <f>SUM(E5:E29)</f>
        <v>61249476</v>
      </c>
      <c r="F4" s="413">
        <f t="shared" ref="F4:F29" si="0">E4-D4</f>
        <v>-1130000</v>
      </c>
      <c r="G4" s="414"/>
      <c r="H4" s="414"/>
      <c r="I4" s="414"/>
      <c r="J4" s="414"/>
      <c r="K4" s="415"/>
      <c r="L4" s="406"/>
      <c r="M4" s="406"/>
      <c r="N4" s="406"/>
    </row>
    <row r="5" spans="1:14" ht="50.1" customHeight="1">
      <c r="A5" s="473" t="s">
        <v>406</v>
      </c>
      <c r="B5" s="474" t="s">
        <v>407</v>
      </c>
      <c r="C5" s="475" t="s">
        <v>408</v>
      </c>
      <c r="D5" s="443">
        <v>22956000</v>
      </c>
      <c r="E5" s="476">
        <f>세출!AC7</f>
        <v>22956000</v>
      </c>
      <c r="F5" s="445">
        <f t="shared" si="0"/>
        <v>0</v>
      </c>
      <c r="G5" s="477"/>
      <c r="H5" s="477"/>
      <c r="I5" s="477"/>
      <c r="J5" s="477"/>
      <c r="K5" s="447" t="s">
        <v>475</v>
      </c>
    </row>
    <row r="6" spans="1:14" ht="50.1" customHeight="1">
      <c r="A6" s="427"/>
      <c r="B6" s="460"/>
      <c r="C6" s="478" t="s">
        <v>409</v>
      </c>
      <c r="D6" s="462">
        <v>0</v>
      </c>
      <c r="E6" s="463">
        <f>세출!AC27</f>
        <v>710000</v>
      </c>
      <c r="F6" s="432">
        <v>0</v>
      </c>
      <c r="G6" s="314"/>
      <c r="H6" s="314"/>
      <c r="I6" s="314"/>
      <c r="J6" s="314"/>
      <c r="K6" s="438" t="s">
        <v>492</v>
      </c>
    </row>
    <row r="7" spans="1:14" ht="50.1" customHeight="1">
      <c r="A7" s="434"/>
      <c r="B7" s="460"/>
      <c r="C7" s="429" t="s">
        <v>410</v>
      </c>
      <c r="D7" s="430">
        <v>7605400</v>
      </c>
      <c r="E7" s="431">
        <f>세출!AC11</f>
        <v>7605400</v>
      </c>
      <c r="F7" s="432">
        <f t="shared" si="0"/>
        <v>0</v>
      </c>
      <c r="G7" s="314"/>
      <c r="H7" s="314"/>
      <c r="I7" s="314"/>
      <c r="J7" s="314"/>
      <c r="K7" s="433" t="s">
        <v>475</v>
      </c>
    </row>
    <row r="8" spans="1:14" ht="50.1" customHeight="1">
      <c r="A8" s="434"/>
      <c r="B8" s="466"/>
      <c r="C8" s="436" t="s">
        <v>411</v>
      </c>
      <c r="D8" s="430">
        <v>2546780</v>
      </c>
      <c r="E8" s="431">
        <f>세출!AC31</f>
        <v>2546780</v>
      </c>
      <c r="F8" s="432">
        <f t="shared" si="0"/>
        <v>0</v>
      </c>
      <c r="G8" s="314"/>
      <c r="H8" s="314"/>
      <c r="I8" s="314"/>
      <c r="J8" s="314"/>
      <c r="K8" s="433" t="s">
        <v>475</v>
      </c>
    </row>
    <row r="9" spans="1:14" ht="50.1" customHeight="1">
      <c r="A9" s="434"/>
      <c r="B9" s="466"/>
      <c r="C9" s="436" t="s">
        <v>412</v>
      </c>
      <c r="D9" s="430">
        <v>2876920</v>
      </c>
      <c r="E9" s="431">
        <f>세출!AC35</f>
        <v>2552280</v>
      </c>
      <c r="F9" s="432">
        <f t="shared" si="0"/>
        <v>-324640</v>
      </c>
      <c r="G9" s="314"/>
      <c r="H9" s="314"/>
      <c r="I9" s="314"/>
      <c r="J9" s="314"/>
      <c r="K9" s="433" t="s">
        <v>476</v>
      </c>
    </row>
    <row r="10" spans="1:14" ht="46.5" customHeight="1">
      <c r="A10" s="434"/>
      <c r="B10" s="439"/>
      <c r="C10" s="436" t="s">
        <v>413</v>
      </c>
      <c r="D10" s="430">
        <v>0</v>
      </c>
      <c r="E10" s="431">
        <f>세출!AC48</f>
        <v>0</v>
      </c>
      <c r="F10" s="432">
        <f t="shared" si="0"/>
        <v>0</v>
      </c>
      <c r="G10" s="314"/>
      <c r="H10" s="314"/>
      <c r="I10" s="314"/>
      <c r="J10" s="314"/>
      <c r="K10" s="433" t="s">
        <v>384</v>
      </c>
    </row>
    <row r="11" spans="1:14" ht="50.1" customHeight="1">
      <c r="A11" s="434"/>
      <c r="B11" s="479" t="s">
        <v>414</v>
      </c>
      <c r="C11" s="436" t="s">
        <v>415</v>
      </c>
      <c r="D11" s="430">
        <v>50000</v>
      </c>
      <c r="E11" s="431">
        <f>세출!AC52</f>
        <v>0</v>
      </c>
      <c r="F11" s="432">
        <f t="shared" si="0"/>
        <v>-50000</v>
      </c>
      <c r="G11" s="314"/>
      <c r="H11" s="314"/>
      <c r="I11" s="314"/>
      <c r="J11" s="314"/>
      <c r="K11" s="433" t="s">
        <v>477</v>
      </c>
    </row>
    <row r="12" spans="1:14" ht="50.1" customHeight="1">
      <c r="A12" s="434"/>
      <c r="B12" s="480"/>
      <c r="C12" s="481" t="s">
        <v>416</v>
      </c>
      <c r="D12" s="482">
        <v>40000</v>
      </c>
      <c r="E12" s="483">
        <f>세출!AC57</f>
        <v>40000</v>
      </c>
      <c r="F12" s="484">
        <f t="shared" si="0"/>
        <v>0</v>
      </c>
      <c r="G12" s="314"/>
      <c r="H12" s="314"/>
      <c r="I12" s="314"/>
      <c r="J12" s="314"/>
      <c r="K12" s="485" t="s">
        <v>384</v>
      </c>
    </row>
    <row r="13" spans="1:14" ht="50.1" customHeight="1">
      <c r="A13" s="434"/>
      <c r="B13" s="479" t="s">
        <v>417</v>
      </c>
      <c r="C13" s="481" t="s">
        <v>418</v>
      </c>
      <c r="D13" s="482">
        <v>60000</v>
      </c>
      <c r="E13" s="483">
        <f>세출!AC61</f>
        <v>30000</v>
      </c>
      <c r="F13" s="484">
        <f t="shared" si="0"/>
        <v>-30000</v>
      </c>
      <c r="G13" s="314"/>
      <c r="H13" s="314"/>
      <c r="I13" s="314"/>
      <c r="J13" s="314"/>
      <c r="K13" s="485" t="s">
        <v>478</v>
      </c>
    </row>
    <row r="14" spans="1:14" ht="50.1" customHeight="1">
      <c r="A14" s="434"/>
      <c r="B14" s="439"/>
      <c r="C14" s="481" t="s">
        <v>419</v>
      </c>
      <c r="D14" s="482">
        <v>1900000</v>
      </c>
      <c r="E14" s="483">
        <f>세출!AC65</f>
        <v>2799640</v>
      </c>
      <c r="F14" s="484">
        <f t="shared" si="0"/>
        <v>899640</v>
      </c>
      <c r="G14" s="314"/>
      <c r="H14" s="314"/>
      <c r="I14" s="314"/>
      <c r="J14" s="314"/>
      <c r="K14" s="485" t="s">
        <v>479</v>
      </c>
    </row>
    <row r="15" spans="1:14" ht="50.1" customHeight="1">
      <c r="A15" s="434"/>
      <c r="B15" s="439"/>
      <c r="C15" s="481" t="s">
        <v>420</v>
      </c>
      <c r="D15" s="482">
        <v>3752000</v>
      </c>
      <c r="E15" s="483">
        <f>세출!AC70</f>
        <v>4044540</v>
      </c>
      <c r="F15" s="484">
        <f t="shared" si="0"/>
        <v>292540</v>
      </c>
      <c r="G15" s="314"/>
      <c r="H15" s="314"/>
      <c r="I15" s="314"/>
      <c r="J15" s="314"/>
      <c r="K15" s="485" t="s">
        <v>489</v>
      </c>
    </row>
    <row r="16" spans="1:14" ht="50.1" customHeight="1">
      <c r="A16" s="434"/>
      <c r="B16" s="439"/>
      <c r="C16" s="481" t="s">
        <v>421</v>
      </c>
      <c r="D16" s="482">
        <v>617200</v>
      </c>
      <c r="E16" s="483">
        <f>세출!AC77</f>
        <v>353660</v>
      </c>
      <c r="F16" s="484">
        <f t="shared" si="0"/>
        <v>-263540</v>
      </c>
      <c r="G16" s="314"/>
      <c r="H16" s="314"/>
      <c r="I16" s="314"/>
      <c r="J16" s="314"/>
      <c r="K16" s="485" t="s">
        <v>480</v>
      </c>
    </row>
    <row r="17" spans="1:11" ht="50.1" customHeight="1">
      <c r="A17" s="434"/>
      <c r="B17" s="439"/>
      <c r="C17" s="481" t="s">
        <v>422</v>
      </c>
      <c r="D17" s="482">
        <v>240000</v>
      </c>
      <c r="E17" s="483">
        <f>세출!AC88</f>
        <v>0</v>
      </c>
      <c r="F17" s="484">
        <f t="shared" si="0"/>
        <v>-240000</v>
      </c>
      <c r="G17" s="314"/>
      <c r="H17" s="314"/>
      <c r="I17" s="314"/>
      <c r="J17" s="314"/>
      <c r="K17" s="485" t="s">
        <v>481</v>
      </c>
    </row>
    <row r="18" spans="1:11" ht="50.1" customHeight="1" thickBot="1">
      <c r="A18" s="448"/>
      <c r="B18" s="315"/>
      <c r="C18" s="450" t="s">
        <v>423</v>
      </c>
      <c r="D18" s="451">
        <v>250000</v>
      </c>
      <c r="E18" s="470">
        <f>세출!AC90</f>
        <v>50000</v>
      </c>
      <c r="F18" s="453">
        <f t="shared" si="0"/>
        <v>-200000</v>
      </c>
      <c r="G18" s="315"/>
      <c r="H18" s="315"/>
      <c r="I18" s="315"/>
      <c r="J18" s="315"/>
      <c r="K18" s="486" t="s">
        <v>482</v>
      </c>
    </row>
    <row r="19" spans="1:11" ht="48.75" customHeight="1">
      <c r="A19" s="473" t="s">
        <v>424</v>
      </c>
      <c r="B19" s="474" t="s">
        <v>425</v>
      </c>
      <c r="C19" s="442" t="s">
        <v>425</v>
      </c>
      <c r="D19" s="443">
        <v>0</v>
      </c>
      <c r="E19" s="444">
        <f>세출!AC96</f>
        <v>0</v>
      </c>
      <c r="F19" s="487">
        <f t="shared" si="0"/>
        <v>0</v>
      </c>
      <c r="G19" s="446"/>
      <c r="H19" s="446"/>
      <c r="I19" s="446"/>
      <c r="J19" s="446"/>
      <c r="K19" s="447" t="s">
        <v>384</v>
      </c>
    </row>
    <row r="20" spans="1:11" ht="48.75" customHeight="1">
      <c r="A20" s="488"/>
      <c r="B20" s="460"/>
      <c r="C20" s="436" t="s">
        <v>426</v>
      </c>
      <c r="D20" s="430">
        <v>870000</v>
      </c>
      <c r="E20" s="489">
        <f>세출!AC99</f>
        <v>1328980</v>
      </c>
      <c r="F20" s="464">
        <f t="shared" si="0"/>
        <v>458980</v>
      </c>
      <c r="G20" s="490"/>
      <c r="H20" s="490"/>
      <c r="I20" s="490"/>
      <c r="J20" s="490"/>
      <c r="K20" s="433" t="s">
        <v>483</v>
      </c>
    </row>
    <row r="21" spans="1:11" ht="48.75" customHeight="1" thickBot="1">
      <c r="A21" s="491"/>
      <c r="B21" s="492"/>
      <c r="C21" s="493" t="s">
        <v>427</v>
      </c>
      <c r="D21" s="494">
        <v>2000000</v>
      </c>
      <c r="E21" s="495">
        <f>세출!AC104</f>
        <v>990000</v>
      </c>
      <c r="F21" s="496">
        <f t="shared" si="0"/>
        <v>-1010000</v>
      </c>
      <c r="G21" s="315"/>
      <c r="H21" s="315"/>
      <c r="I21" s="315"/>
      <c r="J21" s="315"/>
      <c r="K21" s="497" t="s">
        <v>484</v>
      </c>
    </row>
    <row r="22" spans="1:11" ht="46.5" customHeight="1">
      <c r="A22" s="440" t="s">
        <v>428</v>
      </c>
      <c r="B22" s="441" t="s">
        <v>417</v>
      </c>
      <c r="C22" s="442" t="s">
        <v>429</v>
      </c>
      <c r="D22" s="443">
        <v>11139609</v>
      </c>
      <c r="E22" s="476">
        <f>세출!AC109</f>
        <v>9836629</v>
      </c>
      <c r="F22" s="445">
        <f t="shared" si="0"/>
        <v>-1302980</v>
      </c>
      <c r="G22" s="477"/>
      <c r="H22" s="477"/>
      <c r="I22" s="477"/>
      <c r="J22" s="477"/>
      <c r="K22" s="447" t="s">
        <v>485</v>
      </c>
    </row>
    <row r="23" spans="1:11" ht="46.5" customHeight="1">
      <c r="A23" s="434"/>
      <c r="B23" s="466"/>
      <c r="C23" s="436" t="s">
        <v>430</v>
      </c>
      <c r="D23" s="430">
        <v>1000000</v>
      </c>
      <c r="E23" s="431">
        <f>세출!AC116</f>
        <v>1200000</v>
      </c>
      <c r="F23" s="432">
        <f t="shared" si="0"/>
        <v>200000</v>
      </c>
      <c r="G23" s="314"/>
      <c r="H23" s="314"/>
      <c r="I23" s="314"/>
      <c r="J23" s="314"/>
      <c r="K23" s="433" t="s">
        <v>431</v>
      </c>
    </row>
    <row r="24" spans="1:11" ht="46.5" customHeight="1">
      <c r="A24" s="434"/>
      <c r="B24" s="466"/>
      <c r="C24" s="436" t="s">
        <v>432</v>
      </c>
      <c r="D24" s="430">
        <v>600000</v>
      </c>
      <c r="E24" s="431">
        <f>세출!AC120</f>
        <v>600000</v>
      </c>
      <c r="F24" s="432">
        <f t="shared" si="0"/>
        <v>0</v>
      </c>
      <c r="G24" s="314"/>
      <c r="H24" s="314"/>
      <c r="I24" s="314"/>
      <c r="J24" s="314"/>
      <c r="K24" s="467" t="s">
        <v>475</v>
      </c>
    </row>
    <row r="25" spans="1:11" ht="62.25" customHeight="1">
      <c r="A25" s="434"/>
      <c r="B25" s="466"/>
      <c r="C25" s="436" t="s">
        <v>433</v>
      </c>
      <c r="D25" s="430">
        <v>310000</v>
      </c>
      <c r="E25" s="431">
        <f>세출!AC123</f>
        <v>310000</v>
      </c>
      <c r="F25" s="432">
        <f t="shared" si="0"/>
        <v>0</v>
      </c>
      <c r="G25" s="314"/>
      <c r="H25" s="314"/>
      <c r="I25" s="314"/>
      <c r="J25" s="314"/>
      <c r="K25" s="433" t="s">
        <v>475</v>
      </c>
    </row>
    <row r="26" spans="1:11" ht="46.5" customHeight="1">
      <c r="A26" s="434"/>
      <c r="B26" s="466"/>
      <c r="C26" s="436" t="s">
        <v>434</v>
      </c>
      <c r="D26" s="430">
        <v>80970</v>
      </c>
      <c r="E26" s="431">
        <f>세출!AC127</f>
        <v>80970</v>
      </c>
      <c r="F26" s="432">
        <f t="shared" si="0"/>
        <v>0</v>
      </c>
      <c r="G26" s="314"/>
      <c r="H26" s="314"/>
      <c r="I26" s="314"/>
      <c r="J26" s="314"/>
      <c r="K26" s="467" t="s">
        <v>475</v>
      </c>
    </row>
    <row r="27" spans="1:11" ht="78.75" customHeight="1" thickBot="1">
      <c r="A27" s="448"/>
      <c r="B27" s="469" t="s">
        <v>435</v>
      </c>
      <c r="C27" s="498" t="s">
        <v>435</v>
      </c>
      <c r="D27" s="451">
        <v>3348000</v>
      </c>
      <c r="E27" s="470">
        <f>세출!AC131</f>
        <v>3070000</v>
      </c>
      <c r="F27" s="453">
        <f t="shared" si="0"/>
        <v>-278000</v>
      </c>
      <c r="G27" s="315"/>
      <c r="H27" s="315"/>
      <c r="I27" s="315"/>
      <c r="J27" s="315"/>
      <c r="K27" s="486" t="s">
        <v>488</v>
      </c>
    </row>
    <row r="28" spans="1:11" ht="46.5" customHeight="1" thickBot="1">
      <c r="A28" s="416" t="s">
        <v>436</v>
      </c>
      <c r="B28" s="417" t="s">
        <v>436</v>
      </c>
      <c r="C28" s="418" t="s">
        <v>436</v>
      </c>
      <c r="D28" s="419">
        <v>136597</v>
      </c>
      <c r="E28" s="420">
        <f>세출!AC166</f>
        <v>136597</v>
      </c>
      <c r="F28" s="421">
        <f t="shared" si="0"/>
        <v>0</v>
      </c>
      <c r="G28" s="458"/>
      <c r="H28" s="458"/>
      <c r="I28" s="458"/>
      <c r="J28" s="458"/>
      <c r="K28" s="467" t="s">
        <v>475</v>
      </c>
    </row>
    <row r="29" spans="1:11" ht="46.5" customHeight="1" thickBot="1">
      <c r="A29" s="416" t="s">
        <v>437</v>
      </c>
      <c r="B29" s="417" t="s">
        <v>437</v>
      </c>
      <c r="C29" s="418" t="s">
        <v>437</v>
      </c>
      <c r="D29" s="419">
        <v>0</v>
      </c>
      <c r="E29" s="420">
        <f>세출!AC175</f>
        <v>8000</v>
      </c>
      <c r="F29" s="421">
        <f t="shared" si="0"/>
        <v>8000</v>
      </c>
      <c r="G29" s="458"/>
      <c r="H29" s="458"/>
      <c r="I29" s="458"/>
      <c r="J29" s="458"/>
      <c r="K29" s="499" t="s">
        <v>486</v>
      </c>
    </row>
    <row r="30" spans="1:11" ht="46.5" customHeight="1">
      <c r="D30" s="472"/>
      <c r="E30" s="472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Registered User</cp:lastModifiedBy>
  <cp:revision>65</cp:revision>
  <cp:lastPrinted>2015-12-01T02:05:50Z</cp:lastPrinted>
  <dcterms:created xsi:type="dcterms:W3CDTF">2003-12-18T04:11:57Z</dcterms:created>
  <dcterms:modified xsi:type="dcterms:W3CDTF">2015-12-01T02:12:32Z</dcterms:modified>
</cp:coreProperties>
</file>