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9615" windowHeight="11685" activeTab="1"/>
  </bookViews>
  <sheets>
    <sheet name="바르나바의 집" sheetId="29" r:id="rId1"/>
    <sheet name="마르따의 집" sheetId="30" r:id="rId2"/>
    <sheet name="몬띠의 집" sheetId="28" r:id="rId3"/>
    <sheet name="세입세출총괄표" sheetId="18" r:id="rId4"/>
    <sheet name="세입" sheetId="4" r:id="rId5"/>
    <sheet name="세출" sheetId="5" r:id="rId6"/>
    <sheet name="추경세입명세서" sheetId="22" r:id="rId7"/>
    <sheet name="추경세출명세서" sheetId="23" r:id="rId8"/>
    <sheet name="보조금" sheetId="27" r:id="rId9"/>
  </sheets>
  <externalReferences>
    <externalReference r:id="rId10"/>
  </externalReferences>
  <definedNames>
    <definedName name="_xlnm.Print_Area" localSheetId="4">세입!$A$1:$Y$300</definedName>
    <definedName name="_xlnm.Print_Titles" localSheetId="8">보조금!$1:$3</definedName>
    <definedName name="_xlnm.Print_Titles" localSheetId="4">세입!$2:$3</definedName>
    <definedName name="_xlnm.Print_Titles" localSheetId="5">세출!$2:$3</definedName>
    <definedName name="_xlnm.Print_Titles" localSheetId="6">추경세입명세서!$1:$3</definedName>
    <definedName name="_xlnm.Print_Titles" localSheetId="7">추경세출명세서!$1:$3</definedName>
    <definedName name="가계보조비" localSheetId="4">세입!#REF!</definedName>
    <definedName name="가계보조수당" localSheetId="1">[1]세입!#REF!</definedName>
    <definedName name="가계보조수당" localSheetId="2">[1]세입!#REF!</definedName>
    <definedName name="가계보조수당" localSheetId="0">[1]세입!#REF!</definedName>
    <definedName name="가계보조수당" localSheetId="4">세입!#REF!</definedName>
    <definedName name="가계보조수당" localSheetId="3">[1]세입!#REF!</definedName>
    <definedName name="가계보조수당" localSheetId="7">세입!#REF!</definedName>
    <definedName name="가계보조수당">세입!#REF!</definedName>
    <definedName name="가족수당" localSheetId="5">세출!$AD$24</definedName>
    <definedName name="가족수당1" localSheetId="4">세입!#REF!</definedName>
    <definedName name="급식비" localSheetId="4">세입!#REF!</definedName>
    <definedName name="급식비1" localSheetId="1">[1]세입!#REF!</definedName>
    <definedName name="급식비1" localSheetId="2">[1]세입!#REF!</definedName>
    <definedName name="급식비1" localSheetId="0">[1]세입!#REF!</definedName>
    <definedName name="급식비1" localSheetId="3">[1]세입!#REF!</definedName>
    <definedName name="급식비1" localSheetId="7">세입!#REF!</definedName>
    <definedName name="급식비1">세입!#REF!</definedName>
    <definedName name="급여총액" localSheetId="1">[1]세입!#REF!</definedName>
    <definedName name="급여총액" localSheetId="2">[1]세입!#REF!</definedName>
    <definedName name="급여총액" localSheetId="0">[1]세입!#REF!</definedName>
    <definedName name="급여총액" localSheetId="4">세입!#REF!</definedName>
    <definedName name="급여총액" localSheetId="3">[1]세입!#REF!</definedName>
    <definedName name="급여총액" localSheetId="7">세입!#REF!</definedName>
    <definedName name="급여총액">세입!#REF!</definedName>
    <definedName name="기말수당" localSheetId="4">세입!#REF!</definedName>
    <definedName name="기본급" localSheetId="1">[1]세입!#REF!</definedName>
    <definedName name="기본급" localSheetId="2">[1]세입!#REF!</definedName>
    <definedName name="기본급" localSheetId="0">[1]세입!#REF!</definedName>
    <definedName name="기본급" localSheetId="4">세입!#REF!</definedName>
    <definedName name="기본급" localSheetId="3">[1]세입!#REF!</definedName>
    <definedName name="기본급" localSheetId="5">세출!$AD$9</definedName>
    <definedName name="기본급" localSheetId="7">세입!#REF!</definedName>
    <definedName name="기본급">세입!#REF!</definedName>
    <definedName name="기본급1" localSheetId="4">세입!#REF!</definedName>
    <definedName name="기본급1" localSheetId="5">세출!#REF!</definedName>
    <definedName name="기본급7종" localSheetId="5">세출!$AD$11</definedName>
    <definedName name="기본급법인" localSheetId="5">세출!$AD$13</definedName>
    <definedName name="기본급총액" localSheetId="4">세입!#REF!</definedName>
    <definedName name="기본급총액" localSheetId="5">세출!#REF!</definedName>
    <definedName name="명절휴가비" localSheetId="5">세출!$AD$20</definedName>
    <definedName name="명절휴가비1" localSheetId="4">세입!#REF!</definedName>
    <definedName name="몬띠의집" localSheetId="1">세입!#REF!</definedName>
    <definedName name="몬띠의집" localSheetId="0">세입!#REF!</definedName>
    <definedName name="몬띠의집">세입!#REF!</definedName>
    <definedName name="사회보험" localSheetId="1">[1]세입!#REF!</definedName>
    <definedName name="사회보험" localSheetId="2">[1]세입!#REF!</definedName>
    <definedName name="사회보험" localSheetId="0">[1]세입!#REF!</definedName>
    <definedName name="사회보험" localSheetId="3">[1]세입!#REF!</definedName>
    <definedName name="사회보험" localSheetId="7">세입!#REF!</definedName>
    <definedName name="사회보험">세입!#REF!</definedName>
    <definedName name="사회보험1" localSheetId="4">세입!#REF!</definedName>
    <definedName name="사회보험부담금" localSheetId="4">세입!#REF!</definedName>
    <definedName name="상여금" localSheetId="1">[1]세입!#REF!</definedName>
    <definedName name="상여금" localSheetId="2">[1]세입!#REF!</definedName>
    <definedName name="상여금" localSheetId="0">[1]세입!#REF!</definedName>
    <definedName name="상여금" localSheetId="4">세입!#REF!</definedName>
    <definedName name="상여금" localSheetId="3">[1]세입!#REF!</definedName>
    <definedName name="상여금" localSheetId="7">세입!#REF!</definedName>
    <definedName name="상여금">세입!#REF!</definedName>
    <definedName name="상여금총액" localSheetId="4">세입!#REF!</definedName>
    <definedName name="상여금총액" localSheetId="5">세출!#REF!</definedName>
    <definedName name="수정제수당총액" localSheetId="1">[1]세입!#REF!</definedName>
    <definedName name="수정제수당총액" localSheetId="2">[1]세입!#REF!</definedName>
    <definedName name="수정제수당총액" localSheetId="0">[1]세입!#REF!</definedName>
    <definedName name="수정제수당총액" localSheetId="3">[1]세입!#REF!</definedName>
    <definedName name="수정제수당총액" localSheetId="7">세입!#REF!</definedName>
    <definedName name="수정제수당총액">세입!#REF!</definedName>
    <definedName name="연장근로수당" localSheetId="5">세출!$AD$28</definedName>
    <definedName name="연장근로수당1" localSheetId="4">세입!#REF!</definedName>
    <definedName name="운영비지원금" localSheetId="4">세입!#REF!</definedName>
    <definedName name="운전조리급식비" localSheetId="4">세입!#REF!</definedName>
    <definedName name="인건비지원금" localSheetId="4">세입!#REF!</definedName>
    <definedName name="입소자지원금" localSheetId="4">세입!#REF!</definedName>
    <definedName name="정근수당" localSheetId="4">세입!#REF!</definedName>
    <definedName name="제수당" localSheetId="1">[1]세입!#REF!</definedName>
    <definedName name="제수당" localSheetId="2">[1]세입!#REF!</definedName>
    <definedName name="제수당" localSheetId="0">[1]세입!#REF!</definedName>
    <definedName name="제수당" localSheetId="4">세입!#REF!</definedName>
    <definedName name="제수당" localSheetId="3">[1]세입!#REF!</definedName>
    <definedName name="제수당" localSheetId="7">세입!#REF!</definedName>
    <definedName name="제수당">세입!#REF!</definedName>
    <definedName name="제수당1" localSheetId="4">세입!#REF!</definedName>
    <definedName name="제수당1" localSheetId="5">세출!#REF!</definedName>
    <definedName name="제수당총액" localSheetId="4">세입!#REF!</definedName>
    <definedName name="제수당총액" localSheetId="5">세출!$AD$83</definedName>
    <definedName name="증감사유1" localSheetId="1">[1]세입!#REF!</definedName>
    <definedName name="증감사유1" localSheetId="2">[1]세입!#REF!</definedName>
    <definedName name="증감사유1" localSheetId="0">[1]세입!#REF!</definedName>
    <definedName name="증감사유1" localSheetId="7">[1]세입!#REF!</definedName>
    <definedName name="증감사유1">[1]세입!#REF!</definedName>
    <definedName name="직원급식비" localSheetId="1">[1]세입!#REF!</definedName>
    <definedName name="직원급식비" localSheetId="2">[1]세입!#REF!</definedName>
    <definedName name="직원급식비" localSheetId="0">[1]세입!#REF!</definedName>
    <definedName name="직원급식비" localSheetId="3">[1]세입!#REF!</definedName>
    <definedName name="직원급식비" localSheetId="7">세입!#REF!</definedName>
    <definedName name="직원급식비">세입!#REF!</definedName>
    <definedName name="직책보조비" localSheetId="4">세입!#REF!</definedName>
    <definedName name="퇴직금" localSheetId="1">[1]세입!#REF!</definedName>
    <definedName name="퇴직금" localSheetId="2">[1]세입!#REF!</definedName>
    <definedName name="퇴직금" localSheetId="0">[1]세입!#REF!</definedName>
    <definedName name="퇴직금" localSheetId="3">[1]세입!#REF!</definedName>
    <definedName name="퇴직금" localSheetId="7">세입!#REF!</definedName>
    <definedName name="퇴직금">세입!#REF!</definedName>
    <definedName name="퇴직금적립금" localSheetId="4">세입!#REF!</definedName>
    <definedName name="퇴직적립금1" localSheetId="4">세입!#REF!</definedName>
    <definedName name="특수근무수당" localSheetId="1">[1]세입!#REF!</definedName>
    <definedName name="특수근무수당" localSheetId="2">[1]세입!#REF!</definedName>
    <definedName name="특수근무수당" localSheetId="0">[1]세입!#REF!</definedName>
    <definedName name="특수근무수당" localSheetId="4">세입!#REF!</definedName>
    <definedName name="특수근무수당" localSheetId="3">[1]세입!#REF!</definedName>
    <definedName name="특수근무수당" localSheetId="7">세입!#REF!</definedName>
    <definedName name="특수근무수당">세입!#REF!</definedName>
    <definedName name="특수근무수당1" localSheetId="1">[1]세입!#REF!</definedName>
    <definedName name="특수근무수당1" localSheetId="2">[1]세입!#REF!</definedName>
    <definedName name="특수근무수당1" localSheetId="0">[1]세입!#REF!</definedName>
    <definedName name="특수근무수당1" localSheetId="4">세입!#REF!</definedName>
    <definedName name="특수근무수당1" localSheetId="3">[1]세입!#REF!</definedName>
    <definedName name="특수근무수당1" localSheetId="7">세입!#REF!</definedName>
    <definedName name="특수근무수당1">세입!#REF!</definedName>
    <definedName name="특수근무수당2" localSheetId="1">[1]세입!#REF!</definedName>
    <definedName name="특수근무수당2" localSheetId="2">[1]세입!#REF!</definedName>
    <definedName name="특수근무수당2" localSheetId="0">[1]세입!#REF!</definedName>
    <definedName name="특수근무수당2" localSheetId="4">세입!#REF!</definedName>
    <definedName name="특수근무수당2" localSheetId="3">[1]세입!#REF!</definedName>
    <definedName name="특수근무수당2" localSheetId="7">세입!#REF!</definedName>
    <definedName name="특수근무수당2">세입!#REF!</definedName>
    <definedName name="특수근무수당3" localSheetId="1">[1]세입!#REF!</definedName>
    <definedName name="특수근무수당3" localSheetId="2">[1]세입!#REF!</definedName>
    <definedName name="특수근무수당3" localSheetId="0">[1]세입!#REF!</definedName>
    <definedName name="특수근무수당3" localSheetId="4">세입!#REF!</definedName>
    <definedName name="특수근무수당3" localSheetId="3">[1]세입!#REF!</definedName>
    <definedName name="특수근무수당3" localSheetId="7">세입!#REF!</definedName>
    <definedName name="특수근무수당3">세입!#REF!</definedName>
    <definedName name="프로그램지원금" localSheetId="4">세입!#REF!</definedName>
  </definedNames>
  <calcPr calcId="144525"/>
</workbook>
</file>

<file path=xl/calcChain.xml><?xml version="1.0" encoding="utf-8"?>
<calcChain xmlns="http://schemas.openxmlformats.org/spreadsheetml/2006/main">
  <c r="D5" i="30" l="1"/>
  <c r="J5" i="30"/>
  <c r="E5" i="30"/>
  <c r="J5" i="29"/>
  <c r="I5" i="29"/>
  <c r="E5" i="29"/>
  <c r="D5" i="29"/>
  <c r="J5" i="28"/>
  <c r="I5" i="28"/>
  <c r="I5" i="30" s="1"/>
  <c r="K28" i="30"/>
  <c r="K27" i="30" s="1"/>
  <c r="J27" i="30"/>
  <c r="I27" i="30"/>
  <c r="K26" i="30"/>
  <c r="K25" i="30"/>
  <c r="J25" i="30"/>
  <c r="I25" i="30"/>
  <c r="K24" i="30"/>
  <c r="K23" i="30" s="1"/>
  <c r="J23" i="30"/>
  <c r="I23" i="30"/>
  <c r="K22" i="30"/>
  <c r="F22" i="30"/>
  <c r="K21" i="30"/>
  <c r="F21" i="30"/>
  <c r="E21" i="30"/>
  <c r="D21" i="30"/>
  <c r="K20" i="30"/>
  <c r="F20" i="30"/>
  <c r="F19" i="30" s="1"/>
  <c r="K19" i="30"/>
  <c r="E19" i="30"/>
  <c r="D19" i="30"/>
  <c r="K18" i="30"/>
  <c r="F18" i="30"/>
  <c r="F17" i="30" s="1"/>
  <c r="K17" i="30"/>
  <c r="E17" i="30"/>
  <c r="D17" i="30"/>
  <c r="J16" i="30"/>
  <c r="I16" i="30"/>
  <c r="F16" i="30"/>
  <c r="K15" i="30"/>
  <c r="F15" i="30"/>
  <c r="K14" i="30"/>
  <c r="E14" i="30"/>
  <c r="D14" i="30"/>
  <c r="K13" i="30"/>
  <c r="F13" i="30"/>
  <c r="J12" i="30"/>
  <c r="I12" i="30"/>
  <c r="F12" i="30"/>
  <c r="K11" i="30"/>
  <c r="F11" i="30"/>
  <c r="K10" i="30"/>
  <c r="E10" i="30"/>
  <c r="D10" i="30"/>
  <c r="K9" i="30"/>
  <c r="K8" i="30" s="1"/>
  <c r="F9" i="30"/>
  <c r="F8" i="30" s="1"/>
  <c r="J8" i="30"/>
  <c r="I8" i="30"/>
  <c r="E8" i="30"/>
  <c r="D8" i="30"/>
  <c r="K28" i="29"/>
  <c r="K27" i="29"/>
  <c r="J27" i="29"/>
  <c r="I27" i="29"/>
  <c r="K26" i="29"/>
  <c r="K25" i="29" s="1"/>
  <c r="J25" i="29"/>
  <c r="I25" i="29"/>
  <c r="K24" i="29"/>
  <c r="K23" i="29"/>
  <c r="J23" i="29"/>
  <c r="I23" i="29"/>
  <c r="K22" i="29"/>
  <c r="F22" i="29"/>
  <c r="K21" i="29"/>
  <c r="F21" i="29"/>
  <c r="E21" i="29"/>
  <c r="D21" i="29"/>
  <c r="K20" i="29"/>
  <c r="F20" i="29"/>
  <c r="F19" i="29" s="1"/>
  <c r="K19" i="29"/>
  <c r="E19" i="29"/>
  <c r="D19" i="29"/>
  <c r="K18" i="29"/>
  <c r="F18" i="29"/>
  <c r="K17" i="29"/>
  <c r="F17" i="29"/>
  <c r="E17" i="29"/>
  <c r="D17" i="29"/>
  <c r="J16" i="29"/>
  <c r="I16" i="29"/>
  <c r="F16" i="29"/>
  <c r="K15" i="29"/>
  <c r="F15" i="29"/>
  <c r="F14" i="29" s="1"/>
  <c r="K14" i="29"/>
  <c r="K12" i="29" s="1"/>
  <c r="E14" i="29"/>
  <c r="D14" i="29"/>
  <c r="K13" i="29"/>
  <c r="F13" i="29"/>
  <c r="J12" i="29"/>
  <c r="I12" i="29"/>
  <c r="F12" i="29"/>
  <c r="K11" i="29"/>
  <c r="F11" i="29"/>
  <c r="F10" i="29" s="1"/>
  <c r="K10" i="29"/>
  <c r="E10" i="29"/>
  <c r="D10" i="29"/>
  <c r="K9" i="29"/>
  <c r="F9" i="29"/>
  <c r="J8" i="29"/>
  <c r="I8" i="29"/>
  <c r="I7" i="29" s="1"/>
  <c r="F8" i="29"/>
  <c r="E8" i="29"/>
  <c r="D8" i="29"/>
  <c r="K28" i="28"/>
  <c r="K27" i="28" s="1"/>
  <c r="J27" i="28"/>
  <c r="I27" i="28"/>
  <c r="K26" i="28"/>
  <c r="K25" i="28"/>
  <c r="J25" i="28"/>
  <c r="I25" i="28"/>
  <c r="K24" i="28"/>
  <c r="K23" i="28" s="1"/>
  <c r="J23" i="28"/>
  <c r="I23" i="28"/>
  <c r="K22" i="28"/>
  <c r="F22" i="28"/>
  <c r="F21" i="28" s="1"/>
  <c r="K21" i="28"/>
  <c r="E21" i="28"/>
  <c r="D21" i="28"/>
  <c r="K20" i="28"/>
  <c r="F20" i="28"/>
  <c r="K19" i="28"/>
  <c r="F19" i="28"/>
  <c r="E19" i="28"/>
  <c r="D19" i="28"/>
  <c r="K18" i="28"/>
  <c r="F18" i="28"/>
  <c r="F17" i="28" s="1"/>
  <c r="K17" i="28"/>
  <c r="E17" i="28"/>
  <c r="D17" i="28"/>
  <c r="J16" i="28"/>
  <c r="I16" i="28"/>
  <c r="F16" i="28"/>
  <c r="K15" i="28"/>
  <c r="F15" i="28"/>
  <c r="K14" i="28"/>
  <c r="E14" i="28"/>
  <c r="D14" i="28"/>
  <c r="K13" i="28"/>
  <c r="F13" i="28"/>
  <c r="J12" i="28"/>
  <c r="I12" i="28"/>
  <c r="F12" i="28"/>
  <c r="K11" i="28"/>
  <c r="F11" i="28"/>
  <c r="K10" i="28"/>
  <c r="E10" i="28"/>
  <c r="D10" i="28"/>
  <c r="K9" i="28"/>
  <c r="F9" i="28"/>
  <c r="F8" i="28" s="1"/>
  <c r="J8" i="28"/>
  <c r="I8" i="28"/>
  <c r="E8" i="28"/>
  <c r="D8" i="28"/>
  <c r="J7" i="29" l="1"/>
  <c r="K16" i="29"/>
  <c r="K7" i="29" s="1"/>
  <c r="K8" i="29"/>
  <c r="E7" i="29"/>
  <c r="D7" i="29"/>
  <c r="F7" i="29"/>
  <c r="K16" i="30"/>
  <c r="J7" i="30"/>
  <c r="K12" i="30"/>
  <c r="I7" i="30"/>
  <c r="D7" i="30"/>
  <c r="F14" i="30"/>
  <c r="F7" i="30" s="1"/>
  <c r="F10" i="30"/>
  <c r="E7" i="30"/>
  <c r="I7" i="28"/>
  <c r="K16" i="28"/>
  <c r="K12" i="28"/>
  <c r="K8" i="28"/>
  <c r="K7" i="28" s="1"/>
  <c r="J7" i="28"/>
  <c r="F14" i="28"/>
  <c r="E7" i="28"/>
  <c r="D7" i="28"/>
  <c r="F10" i="28"/>
  <c r="F7" i="28" s="1"/>
  <c r="I226" i="5"/>
  <c r="J211" i="5"/>
  <c r="I211" i="5"/>
  <c r="F7" i="22"/>
  <c r="J27" i="18"/>
  <c r="I27" i="18"/>
  <c r="K25" i="18"/>
  <c r="J25" i="18"/>
  <c r="I25" i="18"/>
  <c r="J23" i="18"/>
  <c r="I23" i="18"/>
  <c r="J16" i="18"/>
  <c r="I16" i="18"/>
  <c r="J12" i="18"/>
  <c r="I12" i="18"/>
  <c r="J8" i="18"/>
  <c r="I8" i="18"/>
  <c r="I7" i="18" s="1"/>
  <c r="K2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7" i="18"/>
  <c r="E21" i="18"/>
  <c r="D21" i="18"/>
  <c r="E19" i="18"/>
  <c r="D19" i="18"/>
  <c r="E17" i="18"/>
  <c r="D17" i="18"/>
  <c r="E14" i="18"/>
  <c r="D14" i="18"/>
  <c r="E10" i="18"/>
  <c r="D10" i="18"/>
  <c r="E8" i="18"/>
  <c r="D8" i="18"/>
  <c r="D7" i="18" s="1"/>
  <c r="F241" i="5"/>
  <c r="F113" i="5"/>
  <c r="K7" i="30" l="1"/>
  <c r="J7" i="18"/>
  <c r="K16" i="18"/>
  <c r="AD85" i="5"/>
  <c r="L200" i="5"/>
  <c r="AD92" i="5"/>
  <c r="I113" i="5"/>
  <c r="L113" i="5"/>
  <c r="I264" i="5"/>
  <c r="I250" i="5"/>
  <c r="J226" i="5"/>
  <c r="I169" i="5"/>
  <c r="I142" i="5"/>
  <c r="J120" i="5"/>
  <c r="AD338" i="5"/>
  <c r="AD260" i="5"/>
  <c r="G272" i="5"/>
  <c r="AD261" i="5"/>
  <c r="AD259" i="5"/>
  <c r="AD110" i="5"/>
  <c r="AD94" i="5"/>
  <c r="AD354" i="5"/>
  <c r="AD172" i="5"/>
  <c r="AD245" i="5"/>
  <c r="I241" i="5" s="1"/>
  <c r="AD125" i="5"/>
  <c r="AD279" i="5"/>
  <c r="AD334" i="5"/>
  <c r="AD331" i="5"/>
  <c r="AD329" i="5"/>
  <c r="AD328" i="5"/>
  <c r="X160" i="4" l="1"/>
  <c r="X159" i="4"/>
  <c r="X158" i="4"/>
  <c r="M149" i="4"/>
  <c r="X149" i="4" s="1"/>
  <c r="X148" i="4" s="1"/>
  <c r="X147" i="4"/>
  <c r="X146" i="4"/>
  <c r="X145" i="4"/>
  <c r="X144" i="4"/>
  <c r="X142" i="4"/>
  <c r="X141" i="4"/>
  <c r="X140" i="4"/>
  <c r="X80" i="4"/>
  <c r="X126" i="4"/>
  <c r="X127" i="4"/>
  <c r="X63" i="4"/>
  <c r="X62" i="4"/>
  <c r="M117" i="4"/>
  <c r="M123" i="4" s="1"/>
  <c r="M53" i="4"/>
  <c r="M56" i="4" s="1"/>
  <c r="X56" i="4" s="1"/>
  <c r="X35" i="4"/>
  <c r="X34" i="4"/>
  <c r="X38" i="4"/>
  <c r="X37" i="4" s="1"/>
  <c r="M25" i="4"/>
  <c r="M30" i="4" s="1"/>
  <c r="X30" i="4" s="1"/>
  <c r="X23" i="4"/>
  <c r="X22" i="4"/>
  <c r="X21" i="4"/>
  <c r="X19" i="4"/>
  <c r="X15" i="4"/>
  <c r="M151" i="4" l="1"/>
  <c r="X151" i="4" s="1"/>
  <c r="M154" i="4"/>
  <c r="X154" i="4" s="1"/>
  <c r="M59" i="4"/>
  <c r="M152" i="4"/>
  <c r="X152" i="4" s="1"/>
  <c r="M153" i="4" s="1"/>
  <c r="X153" i="4" s="1"/>
  <c r="M155" i="4"/>
  <c r="X155" i="4" s="1"/>
  <c r="X157" i="4"/>
  <c r="X143" i="4"/>
  <c r="X139" i="4"/>
  <c r="X33" i="4"/>
  <c r="M55" i="4"/>
  <c r="M122" i="4"/>
  <c r="M120" i="4"/>
  <c r="M119" i="4"/>
  <c r="M58" i="4"/>
  <c r="X58" i="4" s="1"/>
  <c r="X20" i="4"/>
  <c r="M27" i="4"/>
  <c r="X27" i="4" s="1"/>
  <c r="M31" i="4"/>
  <c r="X31" i="4" s="1"/>
  <c r="X25" i="4"/>
  <c r="X24" i="4" s="1"/>
  <c r="M28" i="4"/>
  <c r="E20" i="27"/>
  <c r="K19" i="27"/>
  <c r="F19" i="27" s="1"/>
  <c r="E10" i="27"/>
  <c r="M31" i="27"/>
  <c r="M35" i="27" s="1"/>
  <c r="K35" i="27" s="1"/>
  <c r="M13" i="27"/>
  <c r="M15" i="27" s="1"/>
  <c r="K15" i="27" s="1"/>
  <c r="E15" i="27" s="1"/>
  <c r="K20" i="27"/>
  <c r="K37" i="27"/>
  <c r="F37" i="27" s="1"/>
  <c r="K39" i="27"/>
  <c r="F39" i="27" s="1"/>
  <c r="K44" i="27"/>
  <c r="G44" i="27" s="1"/>
  <c r="K23" i="27"/>
  <c r="E23" i="27" s="1"/>
  <c r="K24" i="27"/>
  <c r="E24" i="27" s="1"/>
  <c r="K25" i="27"/>
  <c r="F25" i="27" s="1"/>
  <c r="K22" i="27"/>
  <c r="F22" i="27" s="1"/>
  <c r="K21" i="27"/>
  <c r="F21" i="27" s="1"/>
  <c r="K7" i="27"/>
  <c r="F7" i="27" s="1"/>
  <c r="K6" i="27"/>
  <c r="E6" i="27" s="1"/>
  <c r="E8" i="27"/>
  <c r="F8" i="27"/>
  <c r="G8" i="27"/>
  <c r="E9" i="27"/>
  <c r="F9" i="27"/>
  <c r="G9" i="27"/>
  <c r="F10" i="27"/>
  <c r="D10" i="27" s="1"/>
  <c r="U10" i="27" s="1"/>
  <c r="G10" i="27"/>
  <c r="E11" i="27"/>
  <c r="F11" i="27"/>
  <c r="G11" i="27"/>
  <c r="E12" i="27"/>
  <c r="F12" i="27"/>
  <c r="G12" i="27"/>
  <c r="E19" i="27"/>
  <c r="E21" i="27"/>
  <c r="G21" i="27"/>
  <c r="E22" i="27"/>
  <c r="F24" i="27"/>
  <c r="G24" i="27"/>
  <c r="E25" i="27"/>
  <c r="G25" i="27"/>
  <c r="E26" i="27"/>
  <c r="F26" i="27"/>
  <c r="G26" i="27"/>
  <c r="E27" i="27"/>
  <c r="F27" i="27"/>
  <c r="G27" i="27"/>
  <c r="E28" i="27"/>
  <c r="F28" i="27"/>
  <c r="G28" i="27"/>
  <c r="E29" i="27"/>
  <c r="F29" i="27"/>
  <c r="G29" i="27"/>
  <c r="E30" i="27"/>
  <c r="F30" i="27"/>
  <c r="G30" i="27"/>
  <c r="E37" i="27"/>
  <c r="E38" i="27"/>
  <c r="F38" i="27"/>
  <c r="G38" i="27"/>
  <c r="E39" i="27"/>
  <c r="G39" i="27"/>
  <c r="E40" i="27"/>
  <c r="F40" i="27"/>
  <c r="G40" i="27"/>
  <c r="E41" i="27"/>
  <c r="F41" i="27"/>
  <c r="G41" i="27"/>
  <c r="E42" i="27"/>
  <c r="F42" i="27"/>
  <c r="G42" i="27"/>
  <c r="E43" i="27"/>
  <c r="F43" i="27"/>
  <c r="G43" i="27"/>
  <c r="K5" i="27"/>
  <c r="F5" i="27" s="1"/>
  <c r="F6" i="23"/>
  <c r="E4" i="23"/>
  <c r="F28" i="23"/>
  <c r="F24" i="23"/>
  <c r="F23" i="23"/>
  <c r="F17" i="23"/>
  <c r="F16" i="23"/>
  <c r="F15" i="23"/>
  <c r="F14" i="23"/>
  <c r="F12" i="23"/>
  <c r="E4" i="22"/>
  <c r="F22" i="22"/>
  <c r="F21" i="22"/>
  <c r="F19" i="22"/>
  <c r="F18" i="22"/>
  <c r="F17" i="22"/>
  <c r="F12" i="22"/>
  <c r="F11" i="22"/>
  <c r="F8" i="22"/>
  <c r="D4" i="22"/>
  <c r="J29" i="22"/>
  <c r="F29" i="22"/>
  <c r="F13" i="22"/>
  <c r="AD193" i="5"/>
  <c r="AD191" i="5"/>
  <c r="AD178" i="5"/>
  <c r="AD98" i="5"/>
  <c r="AD93" i="5"/>
  <c r="AD189" i="5"/>
  <c r="X150" i="4" l="1"/>
  <c r="F44" i="27"/>
  <c r="G23" i="27"/>
  <c r="D12" i="27"/>
  <c r="U12" i="27" s="1"/>
  <c r="E44" i="27"/>
  <c r="D44" i="27" s="1"/>
  <c r="U44" i="27" s="1"/>
  <c r="F23" i="27"/>
  <c r="D23" i="27" s="1"/>
  <c r="U23" i="27" s="1"/>
  <c r="G37" i="27"/>
  <c r="D37" i="27" s="1"/>
  <c r="U37" i="27" s="1"/>
  <c r="I176" i="5"/>
  <c r="X138" i="4"/>
  <c r="X137" i="4" s="1"/>
  <c r="X28" i="4"/>
  <c r="M29" i="4" s="1"/>
  <c r="X29" i="4" s="1"/>
  <c r="E35" i="27"/>
  <c r="G35" i="27"/>
  <c r="F35" i="27"/>
  <c r="M16" i="27"/>
  <c r="K16" i="27" s="1"/>
  <c r="F16" i="27" s="1"/>
  <c r="M14" i="27"/>
  <c r="K14" i="27" s="1"/>
  <c r="M18" i="27"/>
  <c r="K18" i="27" s="1"/>
  <c r="K13" i="27"/>
  <c r="E13" i="27" s="1"/>
  <c r="M33" i="27"/>
  <c r="K33" i="27" s="1"/>
  <c r="M17" i="27"/>
  <c r="K17" i="27" s="1"/>
  <c r="M32" i="27"/>
  <c r="K32" i="27" s="1"/>
  <c r="E32" i="27" s="1"/>
  <c r="M36" i="27"/>
  <c r="K36" i="27" s="1"/>
  <c r="G22" i="27"/>
  <c r="D22" i="27" s="1"/>
  <c r="U22" i="27" s="1"/>
  <c r="G19" i="27"/>
  <c r="D19" i="27" s="1"/>
  <c r="U19" i="27" s="1"/>
  <c r="K31" i="27"/>
  <c r="F15" i="27"/>
  <c r="F20" i="27"/>
  <c r="G20" i="27"/>
  <c r="G7" i="27"/>
  <c r="E7" i="27"/>
  <c r="E5" i="27"/>
  <c r="G5" i="27"/>
  <c r="G15" i="27"/>
  <c r="D42" i="27"/>
  <c r="U42" i="27" s="1"/>
  <c r="D40" i="27"/>
  <c r="U40" i="27" s="1"/>
  <c r="D39" i="27"/>
  <c r="U39" i="27" s="1"/>
  <c r="D29" i="27"/>
  <c r="U29" i="27" s="1"/>
  <c r="D27" i="27"/>
  <c r="U27" i="27" s="1"/>
  <c r="D11" i="27"/>
  <c r="U11" i="27" s="1"/>
  <c r="D9" i="27"/>
  <c r="U9" i="27" s="1"/>
  <c r="D25" i="27"/>
  <c r="U25" i="27" s="1"/>
  <c r="D43" i="27"/>
  <c r="U43" i="27" s="1"/>
  <c r="D41" i="27"/>
  <c r="U41" i="27" s="1"/>
  <c r="D38" i="27"/>
  <c r="U38" i="27" s="1"/>
  <c r="D30" i="27"/>
  <c r="U30" i="27" s="1"/>
  <c r="D28" i="27"/>
  <c r="U28" i="27" s="1"/>
  <c r="D26" i="27"/>
  <c r="U26" i="27" s="1"/>
  <c r="D24" i="27"/>
  <c r="U24" i="27" s="1"/>
  <c r="D21" i="27"/>
  <c r="U21" i="27" s="1"/>
  <c r="D8" i="27"/>
  <c r="U8" i="27" s="1"/>
  <c r="F6" i="27"/>
  <c r="G6" i="27"/>
  <c r="X16" i="4"/>
  <c r="X44" i="4"/>
  <c r="X108" i="4"/>
  <c r="AD64" i="5"/>
  <c r="G17" i="27" l="1"/>
  <c r="F17" i="27"/>
  <c r="D35" i="27"/>
  <c r="U35" i="27" s="1"/>
  <c r="D5" i="27"/>
  <c r="U5" i="27" s="1"/>
  <c r="X26" i="4"/>
  <c r="X18" i="4" s="1"/>
  <c r="F18" i="4" s="1"/>
  <c r="G18" i="4" s="1"/>
  <c r="H18" i="4" s="1"/>
  <c r="G16" i="27"/>
  <c r="E16" i="27"/>
  <c r="D16" i="27" s="1"/>
  <c r="U16" i="27" s="1"/>
  <c r="D15" i="27"/>
  <c r="U15" i="27" s="1"/>
  <c r="F31" i="27"/>
  <c r="G31" i="27"/>
  <c r="E31" i="27"/>
  <c r="F32" i="27"/>
  <c r="G32" i="27"/>
  <c r="E18" i="27"/>
  <c r="G18" i="27"/>
  <c r="F18" i="27"/>
  <c r="F36" i="27"/>
  <c r="E36" i="27"/>
  <c r="G36" i="27"/>
  <c r="G13" i="27"/>
  <c r="F13" i="27"/>
  <c r="E33" i="27"/>
  <c r="G33" i="27"/>
  <c r="M34" i="27"/>
  <c r="K34" i="27" s="1"/>
  <c r="F33" i="27"/>
  <c r="D7" i="27"/>
  <c r="U7" i="27" s="1"/>
  <c r="E17" i="27"/>
  <c r="D17" i="27" s="1"/>
  <c r="U17" i="27" s="1"/>
  <c r="E14" i="27"/>
  <c r="G14" i="27"/>
  <c r="F14" i="27"/>
  <c r="D20" i="27"/>
  <c r="U20" i="27" s="1"/>
  <c r="D6" i="27"/>
  <c r="U6" i="27" s="1"/>
  <c r="AD277" i="5"/>
  <c r="AD352" i="5"/>
  <c r="AD208" i="5"/>
  <c r="X238" i="4"/>
  <c r="D32" i="27" l="1"/>
  <c r="U32" i="27" s="1"/>
  <c r="D18" i="27"/>
  <c r="U18" i="27" s="1"/>
  <c r="F34" i="27"/>
  <c r="F4" i="27" s="1"/>
  <c r="E34" i="27"/>
  <c r="E4" i="27" s="1"/>
  <c r="G34" i="27"/>
  <c r="G4" i="27" s="1"/>
  <c r="D13" i="27"/>
  <c r="U13" i="27" s="1"/>
  <c r="D36" i="27"/>
  <c r="U36" i="27" s="1"/>
  <c r="D14" i="27"/>
  <c r="U14" i="27" s="1"/>
  <c r="D33" i="27"/>
  <c r="U33" i="27" s="1"/>
  <c r="D31" i="27"/>
  <c r="U31" i="27" s="1"/>
  <c r="K4" i="27"/>
  <c r="AD274" i="5"/>
  <c r="AD170" i="5"/>
  <c r="D34" i="27" l="1"/>
  <c r="U34" i="27" s="1"/>
  <c r="D4" i="27"/>
  <c r="U4" i="27" s="1"/>
  <c r="AD237" i="5"/>
  <c r="E12" i="4" l="1"/>
  <c r="X66" i="4"/>
  <c r="F33" i="4"/>
  <c r="G33" i="4" s="1"/>
  <c r="H33" i="4" s="1"/>
  <c r="F27" i="23"/>
  <c r="F26" i="23"/>
  <c r="F25" i="23"/>
  <c r="F22" i="23"/>
  <c r="F21" i="23"/>
  <c r="F20" i="23"/>
  <c r="F19" i="23"/>
  <c r="F18" i="23"/>
  <c r="F13" i="23"/>
  <c r="F11" i="23"/>
  <c r="F10" i="23"/>
  <c r="F9" i="23"/>
  <c r="F8" i="23"/>
  <c r="F7" i="23" l="1"/>
  <c r="F5" i="23"/>
  <c r="F28" i="22"/>
  <c r="F27" i="22"/>
  <c r="F26" i="22"/>
  <c r="F25" i="22"/>
  <c r="F24" i="22"/>
  <c r="F23" i="22"/>
  <c r="F20" i="22"/>
  <c r="F16" i="22"/>
  <c r="F15" i="22"/>
  <c r="F14" i="22"/>
  <c r="F10" i="22"/>
  <c r="F9" i="22"/>
  <c r="F6" i="22"/>
  <c r="J5" i="22"/>
  <c r="F5" i="22"/>
  <c r="G364" i="5"/>
  <c r="AD364" i="5"/>
  <c r="AD227" i="5"/>
  <c r="X249" i="4"/>
  <c r="AD302" i="5"/>
  <c r="AD299" i="5"/>
  <c r="AD298" i="5" s="1"/>
  <c r="AD287" i="5"/>
  <c r="H364" i="5"/>
  <c r="F364" i="5"/>
  <c r="S45" i="5"/>
  <c r="AD45" i="5" s="1"/>
  <c r="AD44" i="5" s="1"/>
  <c r="S43" i="5"/>
  <c r="F4" i="22" l="1"/>
  <c r="F4" i="23"/>
  <c r="AD88" i="5"/>
  <c r="AD39" i="5"/>
  <c r="S49" i="5" s="1"/>
  <c r="S52" i="5"/>
  <c r="AD52" i="5" s="1"/>
  <c r="AD233" i="5"/>
  <c r="AD43" i="5"/>
  <c r="AD257" i="5"/>
  <c r="G255" i="5" s="1"/>
  <c r="X271" i="4"/>
  <c r="X214" i="4"/>
  <c r="X213" i="4" s="1"/>
  <c r="AD38" i="5" l="1"/>
  <c r="M218" i="4"/>
  <c r="X218" i="4" s="1"/>
  <c r="X211" i="4" l="1"/>
  <c r="X132" i="4" l="1"/>
  <c r="X131" i="4"/>
  <c r="X130" i="4"/>
  <c r="X74" i="4"/>
  <c r="X72" i="4"/>
  <c r="AD346" i="5"/>
  <c r="AD360" i="5"/>
  <c r="AD86" i="5"/>
  <c r="AD91" i="5"/>
  <c r="I81" i="5" s="1"/>
  <c r="AD90" i="5"/>
  <c r="X231" i="4"/>
  <c r="X225" i="4"/>
  <c r="AD115" i="5" l="1"/>
  <c r="L381" i="5"/>
  <c r="K381" i="5"/>
  <c r="J381" i="5"/>
  <c r="I381" i="5"/>
  <c r="H381" i="5"/>
  <c r="G381" i="5"/>
  <c r="F381" i="5"/>
  <c r="X79" i="4" l="1"/>
  <c r="X115" i="4"/>
  <c r="D271" i="5" l="1"/>
  <c r="D380" i="5"/>
  <c r="D377" i="5"/>
  <c r="D363" i="5"/>
  <c r="D196" i="5"/>
  <c r="D195" i="5" s="1"/>
  <c r="E245" i="4"/>
  <c r="E293" i="4"/>
  <c r="E281" i="4"/>
  <c r="E278" i="4"/>
  <c r="H275" i="4"/>
  <c r="E274" i="4"/>
  <c r="H274" i="4" s="1"/>
  <c r="E270" i="4"/>
  <c r="E194" i="4"/>
  <c r="E198" i="4"/>
  <c r="E173" i="4"/>
  <c r="E183" i="4"/>
  <c r="E169" i="4"/>
  <c r="E104" i="4"/>
  <c r="E193" i="4" l="1"/>
  <c r="E172" i="4"/>
  <c r="E277" i="4"/>
  <c r="E244" i="4"/>
  <c r="E40" i="4"/>
  <c r="H279" i="4"/>
  <c r="H278" i="4"/>
  <c r="H195" i="4"/>
  <c r="H194" i="4"/>
  <c r="H191" i="4"/>
  <c r="H188" i="4"/>
  <c r="H170" i="4"/>
  <c r="H169" i="4"/>
  <c r="X241" i="4"/>
  <c r="X236" i="4"/>
  <c r="X235" i="4"/>
  <c r="X234" i="4"/>
  <c r="X229" i="4"/>
  <c r="X224" i="4"/>
  <c r="X223" i="4"/>
  <c r="X222" i="4"/>
  <c r="X221" i="4"/>
  <c r="X210" i="4"/>
  <c r="X209" i="4" s="1"/>
  <c r="X201" i="4"/>
  <c r="M207" i="4" s="1"/>
  <c r="X207" i="4" s="1"/>
  <c r="X182" i="4"/>
  <c r="X181" i="4" s="1"/>
  <c r="F181" i="4" s="1"/>
  <c r="G181" i="4" s="1"/>
  <c r="H181" i="4" s="1"/>
  <c r="X298" i="4"/>
  <c r="X297" i="4"/>
  <c r="X296" i="4"/>
  <c r="X295" i="4"/>
  <c r="E11" i="4" l="1"/>
  <c r="X294" i="4"/>
  <c r="F294" i="4" s="1"/>
  <c r="F293" i="4" s="1"/>
  <c r="G293" i="4" s="1"/>
  <c r="H293" i="4" s="1"/>
  <c r="X228" i="4"/>
  <c r="X233" i="4"/>
  <c r="X220" i="4"/>
  <c r="M202" i="4"/>
  <c r="X202" i="4" s="1"/>
  <c r="M203" i="4"/>
  <c r="X203" i="4" s="1"/>
  <c r="M204" i="4" s="1"/>
  <c r="X204" i="4" s="1"/>
  <c r="M205" i="4"/>
  <c r="X205" i="4" s="1"/>
  <c r="M206" i="4"/>
  <c r="X206" i="4" s="1"/>
  <c r="M217" i="4" l="1"/>
  <c r="G294" i="4"/>
  <c r="H294" i="4" s="1"/>
  <c r="X200" i="4"/>
  <c r="X217" i="4" l="1"/>
  <c r="X216" i="4" s="1"/>
  <c r="X199" i="4" s="1"/>
  <c r="X282" i="4"/>
  <c r="F282" i="4" s="1"/>
  <c r="X270" i="4"/>
  <c r="X266" i="4"/>
  <c r="F266" i="4" s="1"/>
  <c r="G266" i="4" s="1"/>
  <c r="H266" i="4" s="1"/>
  <c r="X262" i="4"/>
  <c r="F262" i="4" s="1"/>
  <c r="G262" i="4" s="1"/>
  <c r="H262" i="4" s="1"/>
  <c r="F249" i="4"/>
  <c r="G249" i="4" s="1"/>
  <c r="H249" i="4" s="1"/>
  <c r="X246" i="4"/>
  <c r="F246" i="4" s="1"/>
  <c r="G246" i="4" s="1"/>
  <c r="H246" i="4" s="1"/>
  <c r="E190" i="4"/>
  <c r="H190" i="4" s="1"/>
  <c r="E187" i="4"/>
  <c r="H187" i="4" s="1"/>
  <c r="X190" i="4"/>
  <c r="X188" i="4"/>
  <c r="X187" i="4" s="1"/>
  <c r="F191" i="4"/>
  <c r="X167" i="4"/>
  <c r="X163" i="4"/>
  <c r="X102" i="4"/>
  <c r="X101" i="4" s="1"/>
  <c r="F101" i="4" s="1"/>
  <c r="G101" i="4" s="1"/>
  <c r="H101" i="4" s="1"/>
  <c r="X99" i="4"/>
  <c r="X98" i="4"/>
  <c r="X97" i="4"/>
  <c r="X86" i="4"/>
  <c r="X81" i="4"/>
  <c r="M88" i="4"/>
  <c r="X85" i="4"/>
  <c r="X84" i="4"/>
  <c r="X83" i="4"/>
  <c r="X133" i="4"/>
  <c r="X69" i="4"/>
  <c r="X135" i="4"/>
  <c r="X70" i="4"/>
  <c r="X71" i="4"/>
  <c r="X113" i="4"/>
  <c r="X114" i="4"/>
  <c r="X111" i="4"/>
  <c r="X53" i="4"/>
  <c r="X51" i="4"/>
  <c r="X50" i="4"/>
  <c r="X49" i="4"/>
  <c r="F188" i="4" l="1"/>
  <c r="F187" i="4" s="1"/>
  <c r="G187" i="4" s="1"/>
  <c r="M94" i="4"/>
  <c r="X94" i="4" s="1"/>
  <c r="X88" i="4"/>
  <c r="F199" i="4"/>
  <c r="X61" i="4"/>
  <c r="F61" i="4" s="1"/>
  <c r="G61" i="4" s="1"/>
  <c r="H61" i="4" s="1"/>
  <c r="X123" i="4"/>
  <c r="X117" i="4"/>
  <c r="X116" i="4" s="1"/>
  <c r="X59" i="4"/>
  <c r="X52" i="4"/>
  <c r="F190" i="4"/>
  <c r="G190" i="4" s="1"/>
  <c r="G191" i="4"/>
  <c r="F281" i="4"/>
  <c r="G281" i="4" s="1"/>
  <c r="H281" i="4" s="1"/>
  <c r="G282" i="4"/>
  <c r="H282" i="4" s="1"/>
  <c r="X96" i="4"/>
  <c r="X48" i="4"/>
  <c r="X162" i="4"/>
  <c r="F162" i="4" s="1"/>
  <c r="G162" i="4" s="1"/>
  <c r="H162" i="4" s="1"/>
  <c r="X125" i="4"/>
  <c r="X186" i="4"/>
  <c r="X245" i="4"/>
  <c r="X82" i="4"/>
  <c r="X78" i="4"/>
  <c r="F271" i="4"/>
  <c r="F245" i="4"/>
  <c r="G245" i="4" s="1"/>
  <c r="H245" i="4" s="1"/>
  <c r="E186" i="4"/>
  <c r="X87" i="4"/>
  <c r="X68" i="4"/>
  <c r="F68" i="4" s="1"/>
  <c r="G68" i="4" s="1"/>
  <c r="H68" i="4" s="1"/>
  <c r="M90" i="4"/>
  <c r="X90" i="4" s="1"/>
  <c r="M91" i="4"/>
  <c r="M93" i="4"/>
  <c r="X93" i="4" s="1"/>
  <c r="X129" i="4"/>
  <c r="F129" i="4" s="1"/>
  <c r="G129" i="4" s="1"/>
  <c r="H129" i="4" s="1"/>
  <c r="X112" i="4"/>
  <c r="X119" i="4"/>
  <c r="X122" i="4"/>
  <c r="X55" i="4"/>
  <c r="M57" i="4"/>
  <c r="G188" i="4" l="1"/>
  <c r="X91" i="4"/>
  <c r="F198" i="4"/>
  <c r="G198" i="4" s="1"/>
  <c r="H198" i="4" s="1"/>
  <c r="G199" i="4"/>
  <c r="H199" i="4" s="1"/>
  <c r="X120" i="4"/>
  <c r="F186" i="4"/>
  <c r="G186" i="4" s="1"/>
  <c r="E4" i="4"/>
  <c r="H186" i="4"/>
  <c r="F270" i="4"/>
  <c r="G270" i="4" s="1"/>
  <c r="H270" i="4" s="1"/>
  <c r="G271" i="4"/>
  <c r="H271" i="4" s="1"/>
  <c r="M121" i="4" l="1"/>
  <c r="X121" i="4" s="1"/>
  <c r="X118" i="4" s="1"/>
  <c r="X110" i="4" s="1"/>
  <c r="F110" i="4" s="1"/>
  <c r="G110" i="4" s="1"/>
  <c r="H110" i="4" s="1"/>
  <c r="M92" i="4"/>
  <c r="X92" i="4" s="1"/>
  <c r="X89" i="4" s="1"/>
  <c r="X77" i="4" s="1"/>
  <c r="X76" i="4" s="1"/>
  <c r="F76" i="4" s="1"/>
  <c r="G76" i="4" s="1"/>
  <c r="H76" i="4" s="1"/>
  <c r="F137" i="4" l="1"/>
  <c r="G137" i="4" s="1"/>
  <c r="H137" i="4" s="1"/>
  <c r="X47" i="4" l="1"/>
  <c r="X57" i="4" l="1"/>
  <c r="X54" i="4" s="1"/>
  <c r="X46" i="4" s="1"/>
  <c r="F46" i="4" s="1"/>
  <c r="G46" i="4" s="1"/>
  <c r="H46" i="4" s="1"/>
  <c r="X42" i="4" l="1"/>
  <c r="X14" i="4"/>
  <c r="X9" i="4"/>
  <c r="X43" i="4"/>
  <c r="F170" i="4"/>
  <c r="X293" i="4"/>
  <c r="X281" i="4"/>
  <c r="X280" i="4"/>
  <c r="X279" i="4" s="1"/>
  <c r="F279" i="4" s="1"/>
  <c r="X275" i="4"/>
  <c r="X198" i="4"/>
  <c r="X195" i="4"/>
  <c r="X169" i="4"/>
  <c r="F125" i="4" s="1"/>
  <c r="G125" i="4" s="1"/>
  <c r="H125" i="4" s="1"/>
  <c r="X107" i="4"/>
  <c r="X106" i="4"/>
  <c r="F278" i="4" l="1"/>
  <c r="G279" i="4"/>
  <c r="F169" i="4"/>
  <c r="G169" i="4" s="1"/>
  <c r="G170" i="4"/>
  <c r="X194" i="4"/>
  <c r="F195" i="4"/>
  <c r="X274" i="4"/>
  <c r="X244" i="4" s="1"/>
  <c r="F275" i="4"/>
  <c r="X13" i="4"/>
  <c r="X12" i="4" s="1"/>
  <c r="X105" i="4"/>
  <c r="X41" i="4"/>
  <c r="X40" i="4" s="1"/>
  <c r="X278" i="4"/>
  <c r="X277" i="4" s="1"/>
  <c r="X193" i="4"/>
  <c r="F277" i="4" l="1"/>
  <c r="G277" i="4" s="1"/>
  <c r="H277" i="4" s="1"/>
  <c r="G278" i="4"/>
  <c r="F274" i="4"/>
  <c r="G275" i="4"/>
  <c r="F194" i="4"/>
  <c r="G195" i="4"/>
  <c r="F105" i="4"/>
  <c r="X104" i="4"/>
  <c r="F13" i="4"/>
  <c r="F12" i="4" s="1"/>
  <c r="F41" i="4"/>
  <c r="F9" i="4"/>
  <c r="G9" i="4" s="1"/>
  <c r="H9" i="4"/>
  <c r="X7" i="4"/>
  <c r="X11" i="4" l="1"/>
  <c r="F193" i="4"/>
  <c r="G193" i="4" s="1"/>
  <c r="H193" i="4" s="1"/>
  <c r="G194" i="4"/>
  <c r="F244" i="4"/>
  <c r="G244" i="4" s="1"/>
  <c r="H244" i="4" s="1"/>
  <c r="G274" i="4"/>
  <c r="F104" i="4"/>
  <c r="G104" i="4" s="1"/>
  <c r="H104" i="4" s="1"/>
  <c r="G105" i="4"/>
  <c r="H105" i="4" s="1"/>
  <c r="F40" i="4"/>
  <c r="G40" i="4" s="1"/>
  <c r="H40" i="4" s="1"/>
  <c r="G41" i="4"/>
  <c r="H41" i="4" s="1"/>
  <c r="G12" i="4"/>
  <c r="H12" i="4" s="1"/>
  <c r="G13" i="4"/>
  <c r="H13" i="4" s="1"/>
  <c r="F7" i="4"/>
  <c r="G7" i="4" s="1"/>
  <c r="H7" i="4" s="1"/>
  <c r="K28" i="18"/>
  <c r="K27" i="18" s="1"/>
  <c r="F22" i="18"/>
  <c r="F21" i="18" s="1"/>
  <c r="F20" i="18"/>
  <c r="F19" i="18" s="1"/>
  <c r="F18" i="18"/>
  <c r="F17" i="18" s="1"/>
  <c r="F16" i="18"/>
  <c r="F15" i="18"/>
  <c r="F14" i="18" s="1"/>
  <c r="K13" i="18"/>
  <c r="K12" i="18" s="1"/>
  <c r="K7" i="18" s="1"/>
  <c r="F13" i="18"/>
  <c r="F12" i="18"/>
  <c r="F11" i="18"/>
  <c r="K9" i="18"/>
  <c r="K8" i="18" s="1"/>
  <c r="F9" i="18"/>
  <c r="F8" i="18" s="1"/>
  <c r="F10" i="18" l="1"/>
  <c r="F7" i="18" s="1"/>
  <c r="F11" i="4"/>
  <c r="G11" i="4" s="1"/>
  <c r="H11" i="4" s="1"/>
  <c r="AD49" i="5"/>
  <c r="AD171" i="5"/>
  <c r="AD169" i="5" s="1"/>
  <c r="AD89" i="5"/>
  <c r="G81" i="5" s="1"/>
  <c r="AD202" i="5"/>
  <c r="I200" i="5" s="1"/>
  <c r="X184" i="4" l="1"/>
  <c r="X175" i="4"/>
  <c r="X174" i="4" s="1"/>
  <c r="AD234" i="5"/>
  <c r="F226" i="5" s="1"/>
  <c r="AD230" i="5"/>
  <c r="AD318" i="5"/>
  <c r="AD20" i="5"/>
  <c r="D225" i="5"/>
  <c r="D224" i="5" s="1"/>
  <c r="D112" i="5"/>
  <c r="D100" i="5"/>
  <c r="S58" i="5"/>
  <c r="AD58" i="5" s="1"/>
  <c r="X173" i="4" l="1"/>
  <c r="X183" i="4"/>
  <c r="F184" i="4"/>
  <c r="S63" i="5"/>
  <c r="AD63" i="5" s="1"/>
  <c r="S57" i="5"/>
  <c r="AD57" i="5" s="1"/>
  <c r="F380" i="5"/>
  <c r="G380" i="5"/>
  <c r="H380" i="5"/>
  <c r="I380" i="5"/>
  <c r="J380" i="5"/>
  <c r="K380" i="5"/>
  <c r="L380" i="5"/>
  <c r="AD381" i="5"/>
  <c r="AD380" i="5" s="1"/>
  <c r="F377" i="5"/>
  <c r="G377" i="5"/>
  <c r="H377" i="5"/>
  <c r="I377" i="5"/>
  <c r="J377" i="5"/>
  <c r="K377" i="5"/>
  <c r="L377" i="5"/>
  <c r="I363" i="5"/>
  <c r="J363" i="5"/>
  <c r="K363" i="5"/>
  <c r="L363" i="5"/>
  <c r="H363" i="5"/>
  <c r="G363" i="5"/>
  <c r="F363" i="5"/>
  <c r="G112" i="5"/>
  <c r="H112" i="5"/>
  <c r="G271" i="5"/>
  <c r="H271" i="5"/>
  <c r="K271" i="5"/>
  <c r="L271" i="5"/>
  <c r="G225" i="5"/>
  <c r="K225" i="5"/>
  <c r="AD267" i="5"/>
  <c r="AD266" i="5"/>
  <c r="AD265" i="5"/>
  <c r="AD251" i="5"/>
  <c r="J250" i="5" s="1"/>
  <c r="AD241" i="5"/>
  <c r="AD238" i="5"/>
  <c r="AD213" i="5"/>
  <c r="AD212" i="5"/>
  <c r="G196" i="5"/>
  <c r="G195" i="5" s="1"/>
  <c r="H196" i="5"/>
  <c r="H195" i="5" s="1"/>
  <c r="I196" i="5"/>
  <c r="I195" i="5" s="1"/>
  <c r="J196" i="5"/>
  <c r="J195" i="5" s="1"/>
  <c r="K196" i="5"/>
  <c r="K195" i="5" s="1"/>
  <c r="L196" i="5"/>
  <c r="L195" i="5" s="1"/>
  <c r="AD200" i="5"/>
  <c r="AD197" i="5"/>
  <c r="E197" i="5" s="1"/>
  <c r="M197" i="5" s="1"/>
  <c r="N197" i="5" s="1"/>
  <c r="AD144" i="5"/>
  <c r="AD143" i="5"/>
  <c r="AD145" i="5"/>
  <c r="AD147" i="5"/>
  <c r="J112" i="5" s="1"/>
  <c r="AD146" i="5"/>
  <c r="AD134" i="5"/>
  <c r="AD114" i="5"/>
  <c r="AD113" i="5" s="1"/>
  <c r="H6" i="5"/>
  <c r="J6" i="5"/>
  <c r="F100" i="5"/>
  <c r="G100" i="5"/>
  <c r="H100" i="5"/>
  <c r="I100" i="5"/>
  <c r="J100" i="5"/>
  <c r="L100" i="5"/>
  <c r="AD101" i="5"/>
  <c r="K101" i="5" s="1"/>
  <c r="F211" i="5" l="1"/>
  <c r="F196" i="5" s="1"/>
  <c r="F195" i="5" s="1"/>
  <c r="AD211" i="5"/>
  <c r="AD196" i="5" s="1"/>
  <c r="AD142" i="5"/>
  <c r="AD264" i="5"/>
  <c r="F264" i="5"/>
  <c r="S73" i="5"/>
  <c r="AD73" i="5" s="1"/>
  <c r="S68" i="5"/>
  <c r="AD68" i="5" s="1"/>
  <c r="S62" i="5"/>
  <c r="S72" i="5" s="1"/>
  <c r="S77" i="5" s="1"/>
  <c r="AD77" i="5" s="1"/>
  <c r="F183" i="4"/>
  <c r="G183" i="4" s="1"/>
  <c r="H183" i="4" s="1"/>
  <c r="G184" i="4"/>
  <c r="H184" i="4" s="1"/>
  <c r="X172" i="4"/>
  <c r="F174" i="4"/>
  <c r="E381" i="5"/>
  <c r="K224" i="5"/>
  <c r="J5" i="5"/>
  <c r="G224" i="5"/>
  <c r="H5" i="5"/>
  <c r="AD79" i="5"/>
  <c r="AD74" i="5"/>
  <c r="S69" i="5"/>
  <c r="AD69" i="5" s="1"/>
  <c r="AD59" i="5"/>
  <c r="AD62" i="5" l="1"/>
  <c r="S67" i="5" s="1"/>
  <c r="AD67" i="5" s="1"/>
  <c r="AD72" i="5"/>
  <c r="S78" i="5"/>
  <c r="AD78" i="5" s="1"/>
  <c r="F173" i="4"/>
  <c r="G174" i="4"/>
  <c r="H174" i="4" s="1"/>
  <c r="F272" i="5"/>
  <c r="AD343" i="5"/>
  <c r="J225" i="5"/>
  <c r="AD252" i="5"/>
  <c r="AD258" i="5"/>
  <c r="AD325" i="5"/>
  <c r="I272" i="5" l="1"/>
  <c r="I271" i="5" s="1"/>
  <c r="J272" i="5"/>
  <c r="J271" i="5" s="1"/>
  <c r="J224" i="5" s="1"/>
  <c r="J4" i="5" s="1"/>
  <c r="I255" i="5"/>
  <c r="I225" i="5" s="1"/>
  <c r="AD272" i="5"/>
  <c r="F172" i="4"/>
  <c r="G172" i="4" s="1"/>
  <c r="H172" i="4" s="1"/>
  <c r="G173" i="4"/>
  <c r="H173" i="4" s="1"/>
  <c r="F271" i="5"/>
  <c r="H250" i="5"/>
  <c r="AD250" i="5"/>
  <c r="E250" i="5" s="1"/>
  <c r="I224" i="5" l="1"/>
  <c r="AD271" i="5"/>
  <c r="E272" i="5"/>
  <c r="K54" i="5"/>
  <c r="F54" i="5"/>
  <c r="G54" i="5"/>
  <c r="G19" i="5"/>
  <c r="F19" i="5"/>
  <c r="AD7" i="5"/>
  <c r="E7" i="5" s="1"/>
  <c r="K7" i="5"/>
  <c r="G7" i="5"/>
  <c r="F7" i="5"/>
  <c r="E271" i="5" l="1"/>
  <c r="M272" i="5"/>
  <c r="N272" i="5" s="1"/>
  <c r="X6" i="4"/>
  <c r="X5" i="4" s="1"/>
  <c r="F5" i="4" l="1"/>
  <c r="F4" i="4" s="1"/>
  <c r="X4" i="4"/>
  <c r="M7" i="5"/>
  <c r="AD47" i="5"/>
  <c r="AD36" i="5"/>
  <c r="AD35" i="5"/>
  <c r="AD76" i="5"/>
  <c r="AD71" i="5"/>
  <c r="AD66" i="5"/>
  <c r="AD61" i="5"/>
  <c r="AD56" i="5"/>
  <c r="G41" i="5"/>
  <c r="AD28" i="5"/>
  <c r="AD34" i="5" l="1"/>
  <c r="G5" i="4"/>
  <c r="G4" i="4" s="1"/>
  <c r="H4" i="4" s="1"/>
  <c r="AD51" i="5"/>
  <c r="I41" i="5" s="1"/>
  <c r="AD54" i="5"/>
  <c r="E54" i="5" s="1"/>
  <c r="M54" i="5" s="1"/>
  <c r="N54" i="5" s="1"/>
  <c r="AD42" i="5"/>
  <c r="S48" i="5" l="1"/>
  <c r="K19" i="5"/>
  <c r="F41" i="5"/>
  <c r="F6" i="5" s="1"/>
  <c r="AD48" i="5" l="1"/>
  <c r="AD46" i="5" s="1"/>
  <c r="AD363" i="5"/>
  <c r="AD239" i="5"/>
  <c r="L226" i="5" s="1"/>
  <c r="AD190" i="5"/>
  <c r="AD109" i="5"/>
  <c r="AD106" i="5" s="1"/>
  <c r="L81" i="5"/>
  <c r="AD84" i="5"/>
  <c r="AD83" i="5"/>
  <c r="AD82" i="5"/>
  <c r="K81" i="5" s="1"/>
  <c r="AD24" i="5"/>
  <c r="AD19" i="5" s="1"/>
  <c r="AD17" i="5"/>
  <c r="AD15" i="5" s="1"/>
  <c r="AD155" i="5"/>
  <c r="AD156" i="5"/>
  <c r="AD157" i="5"/>
  <c r="AD139" i="5"/>
  <c r="AD140" i="5"/>
  <c r="AD231" i="5"/>
  <c r="AD232" i="5"/>
  <c r="AD256" i="5"/>
  <c r="AD153" i="5" l="1"/>
  <c r="I153" i="5"/>
  <c r="F112" i="5"/>
  <c r="F5" i="5" s="1"/>
  <c r="K176" i="5"/>
  <c r="K112" i="5" s="1"/>
  <c r="AD255" i="5"/>
  <c r="E255" i="5" s="1"/>
  <c r="M255" i="5" s="1"/>
  <c r="N255" i="5" s="1"/>
  <c r="H255" i="5"/>
  <c r="AD41" i="5"/>
  <c r="E41" i="5" s="1"/>
  <c r="M41" i="5" s="1"/>
  <c r="N41" i="5" s="1"/>
  <c r="K41" i="5"/>
  <c r="E153" i="5"/>
  <c r="M153" i="5" s="1"/>
  <c r="N153" i="5" s="1"/>
  <c r="I6" i="5"/>
  <c r="L112" i="5"/>
  <c r="L6" i="5"/>
  <c r="L225" i="5"/>
  <c r="L224" i="5" s="1"/>
  <c r="H226" i="5"/>
  <c r="AD226" i="5"/>
  <c r="E200" i="5"/>
  <c r="M200" i="5" s="1"/>
  <c r="N200" i="5" s="1"/>
  <c r="AD176" i="5"/>
  <c r="K100" i="5"/>
  <c r="AD100" i="5"/>
  <c r="AD81" i="5"/>
  <c r="E81" i="5" s="1"/>
  <c r="E19" i="5"/>
  <c r="N7" i="5"/>
  <c r="E211" i="5"/>
  <c r="AD138" i="5"/>
  <c r="E101" i="5"/>
  <c r="E113" i="5"/>
  <c r="E241" i="5"/>
  <c r="M241" i="5" s="1"/>
  <c r="N241" i="5" s="1"/>
  <c r="E364" i="5"/>
  <c r="E106" i="5"/>
  <c r="M106" i="5" s="1"/>
  <c r="N106" i="5" s="1"/>
  <c r="AD120" i="5" l="1"/>
  <c r="AD112" i="5" s="1"/>
  <c r="I120" i="5"/>
  <c r="I112" i="5" s="1"/>
  <c r="I5" i="5" s="1"/>
  <c r="I4" i="5" s="1"/>
  <c r="H225" i="5"/>
  <c r="H224" i="5" s="1"/>
  <c r="H4" i="5" s="1"/>
  <c r="L5" i="5"/>
  <c r="L4" i="5" s="1"/>
  <c r="M81" i="5"/>
  <c r="N81" i="5" s="1"/>
  <c r="G15" i="5"/>
  <c r="G6" i="5" s="1"/>
  <c r="G5" i="5" s="1"/>
  <c r="G4" i="5" s="1"/>
  <c r="AD6" i="5"/>
  <c r="E226" i="5"/>
  <c r="M226" i="5" s="1"/>
  <c r="N226" i="5" s="1"/>
  <c r="AD225" i="5"/>
  <c r="AD224" i="5" s="1"/>
  <c r="M113" i="5"/>
  <c r="N113" i="5" s="1"/>
  <c r="F225" i="5"/>
  <c r="F224" i="5" s="1"/>
  <c r="F4" i="5" s="1"/>
  <c r="M211" i="5"/>
  <c r="N211" i="5" s="1"/>
  <c r="E196" i="5"/>
  <c r="E195" i="5" s="1"/>
  <c r="AD195" i="5"/>
  <c r="E176" i="5"/>
  <c r="M176" i="5" s="1"/>
  <c r="N176" i="5" s="1"/>
  <c r="E169" i="5"/>
  <c r="M169" i="5" s="1"/>
  <c r="N169" i="5" s="1"/>
  <c r="K6" i="5"/>
  <c r="K5" i="5" s="1"/>
  <c r="K4" i="5" s="1"/>
  <c r="M101" i="5"/>
  <c r="N101" i="5" s="1"/>
  <c r="E142" i="5"/>
  <c r="M142" i="5" s="1"/>
  <c r="N142" i="5" s="1"/>
  <c r="M250" i="5"/>
  <c r="N250" i="5" s="1"/>
  <c r="E264" i="5"/>
  <c r="M264" i="5" s="1"/>
  <c r="N264" i="5" s="1"/>
  <c r="M364" i="5"/>
  <c r="N364" i="5" s="1"/>
  <c r="E363" i="5"/>
  <c r="D6" i="5"/>
  <c r="D5" i="5" s="1"/>
  <c r="D4" i="5" s="1"/>
  <c r="E15" i="5"/>
  <c r="M271" i="5"/>
  <c r="N271" i="5" s="1"/>
  <c r="E104" i="5"/>
  <c r="M104" i="5" s="1"/>
  <c r="N104" i="5" s="1"/>
  <c r="H5" i="4"/>
  <c r="E6" i="5" l="1"/>
  <c r="M15" i="5"/>
  <c r="N15" i="5" s="1"/>
  <c r="AD5" i="5"/>
  <c r="M363" i="5"/>
  <c r="N363" i="5" s="1"/>
  <c r="E378" i="5"/>
  <c r="AD377" i="5"/>
  <c r="E225" i="5"/>
  <c r="E224" i="5" s="1"/>
  <c r="M195" i="5"/>
  <c r="N195" i="5" s="1"/>
  <c r="M196" i="5"/>
  <c r="N196" i="5" s="1"/>
  <c r="E100" i="5"/>
  <c r="M100" i="5" s="1"/>
  <c r="N100" i="5" s="1"/>
  <c r="M19" i="5"/>
  <c r="N19" i="5" s="1"/>
  <c r="E120" i="5"/>
  <c r="M381" i="5"/>
  <c r="N381" i="5" s="1"/>
  <c r="E380" i="5"/>
  <c r="M380" i="5" s="1"/>
  <c r="N380" i="5" s="1"/>
  <c r="AD4" i="5" l="1"/>
  <c r="M225" i="5"/>
  <c r="N225" i="5" s="1"/>
  <c r="M378" i="5"/>
  <c r="N378" i="5" s="1"/>
  <c r="E377" i="5"/>
  <c r="M377" i="5" s="1"/>
  <c r="N377" i="5" s="1"/>
  <c r="M120" i="5"/>
  <c r="N120" i="5" s="1"/>
  <c r="E112" i="5"/>
  <c r="M112" i="5" s="1"/>
  <c r="N112" i="5" s="1"/>
  <c r="M6" i="5"/>
  <c r="N6" i="5" s="1"/>
  <c r="E5" i="5" l="1"/>
  <c r="E4" i="5" s="1"/>
  <c r="M224" i="5"/>
  <c r="N224" i="5" s="1"/>
  <c r="M4" i="5" l="1"/>
  <c r="N4" i="5" s="1"/>
  <c r="M5" i="5"/>
  <c r="N5" i="5" s="1"/>
</calcChain>
</file>

<file path=xl/sharedStrings.xml><?xml version="1.0" encoding="utf-8"?>
<sst xmlns="http://schemas.openxmlformats.org/spreadsheetml/2006/main" count="3243" uniqueCount="1001">
  <si>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</si>
  <si>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</si>
  <si>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</si>
  <si>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</si>
  <si>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</si>
  <si>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</si>
  <si>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</si>
  <si>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</si>
  <si>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</si>
  <si>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</si>
  <si>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</si>
  <si>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</si>
  <si>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</si>
  <si>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</si>
  <si>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</si>
  <si>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</si>
  <si>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</si>
  <si>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</si>
  <si>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</si>
  <si>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</si>
  <si>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</si>
  <si>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</si>
  <si>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</si>
  <si>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</si>
  <si>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</si>
  <si>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</si>
  <si>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</si>
  <si>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</si>
  <si>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</si>
  <si>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</si>
  <si>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</si>
  <si>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</si>
  <si>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</si>
  <si>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</si>
  <si>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</si>
  <si>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</si>
  <si>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</si>
  <si>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</si>
  <si>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</si>
  <si>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</si>
  <si>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</si>
  <si>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</si>
  <si>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</si>
  <si>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</si>
  <si>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</si>
  <si>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</si>
  <si>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</si>
  <si>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</si>
  <si>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</si>
  <si>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</si>
  <si>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</si>
  <si>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</si>
  <si>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</si>
  <si>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</si>
  <si>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</si>
  <si>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</si>
  <si>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</si>
  <si>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</si>
  <si>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</si>
  <si>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</si>
  <si>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</si>
  <si>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</si>
  <si>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</si>
  <si>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</si>
  <si>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</si>
  <si>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</si>
  <si>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</si>
  <si>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</si>
  <si>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</si>
  <si>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</si>
  <si>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</si>
  <si>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</si>
  <si>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</si>
  <si>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</si>
  <si>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</si>
  <si>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</si>
  <si>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</si>
  <si>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</si>
  <si>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비지정</t>
    <phoneticPr fontId="7" type="noConversion"/>
  </si>
  <si>
    <t>전입금</t>
    <phoneticPr fontId="7" type="noConversion"/>
  </si>
  <si>
    <t>잡수입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</si>
  <si>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</si>
  <si>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</si>
  <si>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</si>
  <si>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</si>
  <si>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</si>
  <si>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</si>
  <si>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</si>
  <si>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</si>
  <si>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</si>
  <si>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</si>
  <si>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</si>
  <si>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</si>
  <si>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</si>
  <si>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</si>
  <si>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</si>
  <si>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</si>
  <si>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</si>
  <si>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</si>
  <si>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</si>
  <si>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</si>
  <si>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</si>
  <si>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</si>
  <si>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</si>
  <si>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</si>
  <si>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</si>
  <si>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</si>
  <si>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④자동차세/환경개선부담금(시설,자동차분)</t>
  </si>
  <si>
    <t>1.외부교육</t>
    <phoneticPr fontId="7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</si>
  <si>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</si>
  <si>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</si>
  <si>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</si>
  <si>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</si>
  <si>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</si>
  <si>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</si>
  <si>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</si>
  <si>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</si>
  <si>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</si>
  <si>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</si>
  <si>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</si>
  <si>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</si>
  <si>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</si>
  <si>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</si>
  <si>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</si>
  <si>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</si>
  <si>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</si>
  <si>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</si>
  <si>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</si>
  <si>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</si>
  <si>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</si>
  <si>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보조금   반납금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</si>
  <si>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</si>
  <si>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</si>
  <si>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</si>
  <si>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예      비      비</t>
    <phoneticPr fontId="29" type="noConversion"/>
  </si>
  <si>
    <t>원</t>
    <phoneticPr fontId="7" type="noConversion"/>
  </si>
  <si>
    <t xml:space="preserve">  *직원후생복지 및 직원교육</t>
    <phoneticPr fontId="7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</si>
  <si>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</si>
  <si>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</si>
  <si>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</si>
  <si>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</si>
  <si>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입   소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</si>
  <si>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</si>
  <si>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</si>
  <si>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</si>
  <si>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</si>
  <si>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</si>
  <si>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</si>
  <si>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프로그램</t>
    <phoneticPr fontId="7" type="noConversion"/>
  </si>
  <si>
    <t>사업비</t>
    <phoneticPr fontId="7" type="noConversion"/>
  </si>
  <si>
    <t>※ 프로그램사업비 합계</t>
    <phoneticPr fontId="7" type="noConversion"/>
  </si>
  <si>
    <t>원</t>
    <phoneticPr fontId="7" type="noConversion"/>
  </si>
  <si>
    <t>A. 가정연계 지원사업</t>
    <phoneticPr fontId="7" type="noConversion"/>
  </si>
  <si>
    <t>소  계 :</t>
    <phoneticPr fontId="7" type="noConversion"/>
  </si>
  <si>
    <t>B. 사회적응지원사업비</t>
    <phoneticPr fontId="7" type="noConversion"/>
  </si>
  <si>
    <t>D. 일상생활 지원사업비</t>
    <phoneticPr fontId="7" type="noConversion"/>
  </si>
  <si>
    <t>F. 지역사회연계 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</si>
  <si>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</si>
  <si>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</si>
  <si>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</si>
  <si>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</si>
  <si>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</si>
  <si>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</si>
  <si>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</si>
  <si>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</si>
  <si>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</si>
  <si>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</si>
  <si>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</si>
  <si>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</si>
  <si>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</si>
  <si>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</si>
  <si>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</si>
  <si>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</si>
  <si>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</si>
  <si>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</si>
  <si>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</si>
  <si>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</si>
  <si>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</si>
  <si>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</si>
  <si>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</si>
  <si>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</si>
  <si>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</si>
  <si>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</si>
  <si>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</si>
  <si>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9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</si>
  <si>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</si>
  <si>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</si>
  <si>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</si>
  <si>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</si>
  <si>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대</t>
    <phoneticPr fontId="7" type="noConversion"/>
  </si>
  <si>
    <t>2.사무실 노후 컴퓨터 교체</t>
    <phoneticPr fontId="7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</si>
  <si>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</si>
  <si>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</si>
  <si>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</si>
  <si>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</si>
  <si>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</si>
  <si>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</si>
  <si>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</si>
  <si>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</si>
  <si>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</si>
  <si>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</si>
  <si>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</si>
  <si>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</si>
  <si>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</si>
  <si>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</si>
  <si>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</si>
  <si>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</si>
  <si>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</si>
  <si>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</si>
  <si>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</si>
  <si>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</si>
  <si>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</si>
  <si>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</si>
  <si>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</si>
  <si>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</si>
  <si>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</si>
  <si>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</si>
  <si>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</si>
  <si>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</si>
  <si>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회</t>
  </si>
  <si>
    <t>*월동대책비(10월신청)</t>
  </si>
  <si>
    <t>*특별위로금(설날,추석)</t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</si>
  <si>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</si>
  <si>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</si>
  <si>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</si>
  <si>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</si>
  <si>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</si>
  <si>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</si>
  <si>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</si>
  <si>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</si>
  <si>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</si>
  <si>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</si>
  <si>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</si>
  <si>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</si>
  <si>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</si>
  <si>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</si>
  <si>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</si>
  <si>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</si>
  <si>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</si>
  <si>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</si>
  <si>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</si>
  <si>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</si>
  <si>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</si>
  <si>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</si>
  <si>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</si>
  <si>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</si>
  <si>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</si>
  <si>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</si>
  <si>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</si>
  <si>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</si>
  <si>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</si>
  <si>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</si>
  <si>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</si>
  <si>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</si>
  <si>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</si>
  <si>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</si>
  <si>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</si>
  <si>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</si>
  <si>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</si>
  <si>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</si>
  <si>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</si>
  <si>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</si>
  <si>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</si>
  <si>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</si>
  <si>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</si>
  <si>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</si>
  <si>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</si>
  <si>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</si>
  <si>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</si>
  <si>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</si>
  <si>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</si>
  <si>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</si>
  <si>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</si>
  <si>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</si>
  <si>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</si>
  <si>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</si>
  <si>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</si>
  <si>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</si>
  <si>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</si>
  <si>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</si>
  <si>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</si>
  <si>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</si>
  <si>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</si>
  <si>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</si>
  <si>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 xml:space="preserve"> 나.가족수당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</si>
  <si>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</si>
  <si>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</si>
  <si>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</si>
  <si>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</si>
  <si>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</si>
  <si>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</si>
  <si>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</si>
  <si>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</si>
  <si>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</si>
  <si>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 xml:space="preserve"> * 거주 장애인수 가중지원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</si>
  <si>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</si>
  <si>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</si>
  <si>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</si>
  <si>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</si>
  <si>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</si>
  <si>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</si>
  <si>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</si>
  <si>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</si>
  <si>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 xml:space="preserve">              (특별급식비)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</si>
  <si>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</si>
  <si>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</si>
  <si>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</si>
  <si>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(7종)</t>
    <phoneticPr fontId="7" type="noConversion"/>
  </si>
  <si>
    <t>&lt;시설운영지원금 : 7종&gt;</t>
    <phoneticPr fontId="7" type="noConversion"/>
  </si>
  <si>
    <t>A.. 인건비 지원금</t>
    <phoneticPr fontId="7" type="noConversion"/>
  </si>
  <si>
    <t xml:space="preserve"> 1.기본급 (인건비 산출내역 참조)</t>
    <phoneticPr fontId="7" type="noConversion"/>
  </si>
  <si>
    <t xml:space="preserve"> 2.제수당</t>
    <phoneticPr fontId="7" type="noConversion"/>
  </si>
  <si>
    <t xml:space="preserve"> 3.종사자퇴직금적립금</t>
    <phoneticPr fontId="7" type="noConversion"/>
  </si>
  <si>
    <t xml:space="preserve"> 4.종사자사회보험부담금</t>
    <phoneticPr fontId="7" type="noConversion"/>
  </si>
  <si>
    <t>중계 :</t>
    <phoneticPr fontId="7" type="noConversion"/>
  </si>
  <si>
    <t>B.. 운영비 지원금</t>
    <phoneticPr fontId="7" type="noConversion"/>
  </si>
  <si>
    <t>*차량운영비</t>
    <phoneticPr fontId="7" type="noConversion"/>
  </si>
  <si>
    <t>B.. 재활프로그램 지원금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</si>
  <si>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</si>
  <si>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</si>
  <si>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</si>
  <si>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</si>
  <si>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 xml:space="preserve"> * 여름캠프 지원금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</si>
  <si>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</si>
  <si>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</si>
  <si>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</si>
  <si>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</si>
  <si>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예금이자(운영비)</t>
    <phoneticPr fontId="7" type="noConversion"/>
  </si>
  <si>
    <t xml:space="preserve"> * 예금이자(4종)</t>
    <phoneticPr fontId="7" type="noConversion"/>
  </si>
  <si>
    <t xml:space="preserve"> * 예금이자(7종)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</si>
  <si>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</si>
  <si>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</si>
  <si>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</si>
  <si>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</si>
  <si>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</si>
  <si>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 xml:space="preserve"> * 예금이자(생계비)</t>
    <phoneticPr fontId="7" type="noConversion"/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</si>
  <si>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</si>
  <si>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</si>
  <si>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</si>
  <si>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</si>
  <si>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</si>
  <si>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</si>
  <si>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예금이자(재활프로그램)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</si>
  <si>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</si>
  <si>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</si>
  <si>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</si>
  <si>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</si>
  <si>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</si>
  <si>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</si>
  <si>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</si>
  <si>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직원급식비</t>
    <phoneticPr fontId="7" type="noConversion"/>
  </si>
  <si>
    <t>* 식권 수입</t>
    <phoneticPr fontId="7" type="noConversion"/>
  </si>
  <si>
    <t>* 기타 잡수입(공익실습비/경장협 행사지원금 수입 등)</t>
    <phoneticPr fontId="7" type="noConversion"/>
  </si>
  <si>
    <t>* 거주시설 직원급식비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</si>
  <si>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</si>
  <si>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</si>
  <si>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</si>
  <si>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</si>
  <si>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</si>
  <si>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</si>
  <si>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</si>
  <si>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</si>
  <si>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</si>
  <si>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</si>
  <si>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</si>
  <si>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</si>
  <si>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</si>
  <si>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</si>
  <si>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</si>
  <si>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</si>
  <si>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1.법인지원 직원 인건비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</si>
  <si>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</si>
  <si>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</si>
  <si>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 xml:space="preserve">  *국민연금부담금</t>
    <phoneticPr fontId="7" type="noConversion"/>
  </si>
  <si>
    <t xml:space="preserve">  *건강보험부담금</t>
    <phoneticPr fontId="7" type="noConversion"/>
  </si>
  <si>
    <t xml:space="preserve">  *장기요양보험부담금</t>
    <phoneticPr fontId="7" type="noConversion"/>
  </si>
  <si>
    <t xml:space="preserve">  *고용보험부담금</t>
    <phoneticPr fontId="7" type="noConversion"/>
  </si>
  <si>
    <t xml:space="preserve">  *산재보험부담금</t>
    <phoneticPr fontId="7" type="noConversion"/>
  </si>
  <si>
    <t xml:space="preserve">  *퇴직금적립금</t>
    <phoneticPr fontId="7" type="noConversion"/>
  </si>
  <si>
    <t>2.직책보조비 지원</t>
    <phoneticPr fontId="7" type="noConversion"/>
  </si>
  <si>
    <t>직책보조비 지원금 합계 :</t>
    <phoneticPr fontId="7" type="noConversion"/>
  </si>
  <si>
    <t>법인지원 퇴직금적립금 합계 :</t>
    <phoneticPr fontId="7" type="noConversion"/>
  </si>
  <si>
    <t>직원 기타후생경비 합계 :</t>
    <phoneticPr fontId="7" type="noConversion"/>
  </si>
  <si>
    <t>* 직원경조사비</t>
    <phoneticPr fontId="7" type="noConversion"/>
  </si>
  <si>
    <t>* 상조회 지원금(상,하반기)</t>
    <phoneticPr fontId="7" type="noConversion"/>
  </si>
  <si>
    <t>회</t>
    <phoneticPr fontId="7" type="noConversion"/>
  </si>
  <si>
    <t>* 직원 축일/생일 축하 문화상품권</t>
    <phoneticPr fontId="7" type="noConversion"/>
  </si>
  <si>
    <t>* 직원 다이어리 구입</t>
    <phoneticPr fontId="7" type="noConversion"/>
  </si>
  <si>
    <t>* 우수직원 포상금(12월)</t>
    <phoneticPr fontId="7" type="noConversion"/>
  </si>
  <si>
    <t>직원 교육훈련비 합계 :</t>
    <phoneticPr fontId="7" type="noConversion"/>
  </si>
  <si>
    <t>* 외부전문가 자문비</t>
    <phoneticPr fontId="7" type="noConversion"/>
  </si>
  <si>
    <t>* 사업평가및계획워크샵</t>
    <phoneticPr fontId="7" type="noConversion"/>
  </si>
  <si>
    <t>기타 운영비 지원금 :</t>
    <phoneticPr fontId="7" type="noConversion"/>
  </si>
  <si>
    <t>* 기관운영비(유관기관경조사비)</t>
    <phoneticPr fontId="7" type="noConversion"/>
  </si>
  <si>
    <t>* 시설장 여비</t>
    <phoneticPr fontId="7" type="noConversion"/>
  </si>
  <si>
    <t>회의비 :</t>
    <phoneticPr fontId="7" type="noConversion"/>
  </si>
  <si>
    <t>* 회의비</t>
    <phoneticPr fontId="7" type="noConversion"/>
  </si>
  <si>
    <t>원</t>
    <phoneticPr fontId="7" type="noConversion"/>
  </si>
  <si>
    <t xml:space="preserve"> * 여름캠프 이월금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</si>
  <si>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</si>
  <si>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</si>
  <si>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</si>
  <si>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</si>
  <si>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</si>
  <si>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</si>
  <si>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* 입소자 제작 물품판매 수입</t>
    <phoneticPr fontId="7" type="noConversion"/>
  </si>
  <si>
    <t>* 실무자 워크샵</t>
    <phoneticPr fontId="7" type="noConversion"/>
  </si>
  <si>
    <t>지후</t>
    <phoneticPr fontId="7" type="noConversion"/>
  </si>
  <si>
    <t>3. 일직근무수당 지원</t>
    <phoneticPr fontId="7" type="noConversion"/>
  </si>
  <si>
    <t xml:space="preserve">  *일직근무수당</t>
    <phoneticPr fontId="7" type="noConversion"/>
  </si>
  <si>
    <t>회</t>
    <phoneticPr fontId="7" type="noConversion"/>
  </si>
  <si>
    <t>4.법인지원 퇴직금적립금</t>
    <phoneticPr fontId="7" type="noConversion"/>
  </si>
  <si>
    <t>* 일직근무수당 퇴직금적립금</t>
    <phoneticPr fontId="7" type="noConversion"/>
  </si>
  <si>
    <t>일직근무수당 지원금 합계 :</t>
    <phoneticPr fontId="7" type="noConversion"/>
  </si>
  <si>
    <t>5.직원 기타후생경비</t>
    <phoneticPr fontId="7" type="noConversion"/>
  </si>
  <si>
    <t>6.직원 연수 및 교육훈련비</t>
    <phoneticPr fontId="7" type="noConversion"/>
  </si>
  <si>
    <t xml:space="preserve">7.기타 운영비 </t>
    <phoneticPr fontId="7" type="noConversion"/>
  </si>
  <si>
    <t>8.회의비</t>
    <phoneticPr fontId="7" type="noConversion"/>
  </si>
  <si>
    <t xml:space="preserve">  *부장</t>
    <phoneticPr fontId="7" type="noConversion"/>
  </si>
  <si>
    <t xml:space="preserve"> 나.가족수당</t>
    <phoneticPr fontId="7" type="noConversion"/>
  </si>
  <si>
    <t>E. 재활프로그램 사업비</t>
    <phoneticPr fontId="7" type="noConversion"/>
  </si>
  <si>
    <t xml:space="preserve">k. 자원봉사 및 후원 사업비 </t>
    <phoneticPr fontId="7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</si>
  <si>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</si>
  <si>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</si>
  <si>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</si>
  <si>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</si>
  <si>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</si>
  <si>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</si>
  <si>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</si>
  <si>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</si>
  <si>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</si>
  <si>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</si>
  <si>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</si>
  <si>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재활
프로그램
지원금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</si>
  <si>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</si>
  <si>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</si>
  <si>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</si>
  <si>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</si>
  <si>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</si>
  <si>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</si>
  <si>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</si>
  <si>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</si>
  <si>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</si>
  <si>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</si>
  <si>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</si>
  <si>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</si>
  <si>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</si>
  <si>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</si>
  <si>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</si>
  <si>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</si>
  <si>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</si>
  <si>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</si>
  <si>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</si>
  <si>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</si>
  <si>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</si>
  <si>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자산
취득비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</si>
  <si>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</si>
  <si>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</si>
  <si>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</si>
  <si>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</si>
  <si>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</si>
  <si>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</si>
  <si>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</si>
  <si>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</si>
  <si>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</si>
  <si>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</si>
  <si>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</si>
  <si>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</si>
  <si>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</si>
  <si>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</si>
  <si>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</si>
  <si>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</si>
  <si>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</si>
  <si>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</si>
  <si>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</si>
  <si>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 xml:space="preserve"> 다.연장근로수당</t>
    <phoneticPr fontId="7" type="noConversion"/>
  </si>
  <si>
    <t xml:space="preserve"> 라. 특수근무수당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</si>
  <si>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</si>
  <si>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</si>
  <si>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</si>
  <si>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</si>
  <si>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</si>
  <si>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</si>
  <si>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</si>
  <si>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</si>
  <si>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* 직원 건강진단비</t>
    <phoneticPr fontId="7" type="noConversion"/>
  </si>
  <si>
    <t>* 운영위원 참석수당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</si>
  <si>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</si>
  <si>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</si>
  <si>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</si>
  <si>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</si>
  <si>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생계비보조금이월액</t>
    <phoneticPr fontId="7" type="noConversion"/>
  </si>
  <si>
    <t xml:space="preserve"> * 예금이자(생계비)</t>
    <phoneticPr fontId="7" type="noConversion"/>
  </si>
  <si>
    <t xml:space="preserve"> * 4종 보조금이월액</t>
    <phoneticPr fontId="7" type="noConversion"/>
  </si>
  <si>
    <t xml:space="preserve"> * 예금이자(4종)</t>
    <phoneticPr fontId="7" type="noConversion"/>
  </si>
  <si>
    <t xml:space="preserve"> * 7종 보조금이월액</t>
    <phoneticPr fontId="7" type="noConversion"/>
  </si>
  <si>
    <t xml:space="preserve"> * 예금이자(7종)</t>
    <phoneticPr fontId="7" type="noConversion"/>
  </si>
  <si>
    <t xml:space="preserve"> * 재활프로그램(도예)이월금</t>
    <phoneticPr fontId="7" type="noConversion"/>
  </si>
  <si>
    <t xml:space="preserve"> * 예금이자(재활프로그램:도예)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</si>
  <si>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</si>
  <si>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</si>
  <si>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</si>
  <si>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</si>
  <si>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</si>
  <si>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</si>
  <si>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</si>
  <si>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운영비</t>
    <phoneticPr fontId="7" type="noConversion"/>
  </si>
  <si>
    <t>*간병인비 지원</t>
    <phoneticPr fontId="7" type="noConversion"/>
  </si>
  <si>
    <t xml:space="preserve"> * 가을여행지원금</t>
    <phoneticPr fontId="7" type="noConversion"/>
  </si>
  <si>
    <t>원</t>
    <phoneticPr fontId="7" type="noConversion"/>
  </si>
  <si>
    <t>원</t>
    <phoneticPr fontId="7" type="noConversion"/>
  </si>
  <si>
    <t>9.해외문화탐방 지원금</t>
    <phoneticPr fontId="7" type="noConversion"/>
  </si>
  <si>
    <t>해외문화탐방 지원금 :</t>
    <phoneticPr fontId="7" type="noConversion"/>
  </si>
  <si>
    <t>2015년
본예산</t>
    <phoneticPr fontId="29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</si>
  <si>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</si>
  <si>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</si>
  <si>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</si>
  <si>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</si>
  <si>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</si>
  <si>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</si>
  <si>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</si>
  <si>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후원</t>
    <phoneticPr fontId="7" type="noConversion"/>
  </si>
  <si>
    <t>1. 회의관련 다과비등</t>
    <phoneticPr fontId="7" type="noConversion"/>
  </si>
  <si>
    <t>보조</t>
    <phoneticPr fontId="7" type="noConversion"/>
  </si>
  <si>
    <t>소계:</t>
    <phoneticPr fontId="7" type="noConversion"/>
  </si>
  <si>
    <t>1. 전화료</t>
    <phoneticPr fontId="7" type="noConversion"/>
  </si>
  <si>
    <t>2. 체험홈 전화료</t>
    <phoneticPr fontId="7" type="noConversion"/>
  </si>
  <si>
    <t>2. 일반전기요금</t>
    <phoneticPr fontId="7" type="noConversion"/>
  </si>
  <si>
    <t>3. 상하수도요금</t>
    <phoneticPr fontId="7" type="noConversion"/>
  </si>
  <si>
    <t>4. 유선방송시청료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</si>
  <si>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</si>
  <si>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</si>
  <si>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</si>
  <si>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 xml:space="preserve"> ③ 경장협 사무국장 협의회비</t>
    <phoneticPr fontId="7" type="noConversion"/>
  </si>
  <si>
    <t xml:space="preserve"> ④ 기타 협회비(영양사협회,방화관리자 외)</t>
    <phoneticPr fontId="7" type="noConversion"/>
  </si>
  <si>
    <t>2.보험료 및 세금</t>
    <phoneticPr fontId="7" type="noConversion"/>
  </si>
  <si>
    <t>⑤신원보증보험갱신</t>
    <phoneticPr fontId="7" type="noConversion"/>
  </si>
  <si>
    <t xml:space="preserve"> 1)국립재활원, 한장협, 경장협, 등 </t>
    <phoneticPr fontId="7" type="noConversion"/>
  </si>
  <si>
    <t>5.타기관 견학 및 실습</t>
    <phoneticPr fontId="7" type="noConversion"/>
  </si>
  <si>
    <t>명</t>
    <phoneticPr fontId="7" type="noConversion"/>
  </si>
  <si>
    <t xml:space="preserve">6. 하계직원 교육 강사료, 점심식대 등) </t>
    <phoneticPr fontId="7" type="noConversion"/>
  </si>
  <si>
    <t>7.직무관련교재구입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</si>
  <si>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</si>
  <si>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</si>
  <si>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</si>
  <si>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</si>
  <si>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</si>
  <si>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</si>
  <si>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</si>
  <si>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</si>
  <si>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>원</t>
    <phoneticPr fontId="7" type="noConversion"/>
  </si>
  <si>
    <t xml:space="preserve"> 2)사회복지종사자 피정, 워크숍, 연찬회 등</t>
    <phoneticPr fontId="7" type="noConversion"/>
  </si>
  <si>
    <t>2.내부교육(고용보험 환급과정 300만원)</t>
    <phoneticPr fontId="7" type="noConversion"/>
  </si>
  <si>
    <t xml:space="preserve"> 1)직장내 성희롱 예방교육</t>
    <phoneticPr fontId="7" type="noConversion"/>
  </si>
  <si>
    <t xml:space="preserve"> 2)장애인 인권보장교육</t>
    <phoneticPr fontId="7" type="noConversion"/>
  </si>
  <si>
    <t xml:space="preserve"> 3)개인정보보호교육</t>
    <phoneticPr fontId="7" type="noConversion"/>
  </si>
  <si>
    <t xml:space="preserve"> 4)직무교육(개인별 교육계획서 6회)</t>
    <phoneticPr fontId="7" type="noConversion"/>
  </si>
  <si>
    <t>(공동모금회 지정후원금)-&gt;</t>
    <phoneticPr fontId="7" type="noConversion"/>
  </si>
  <si>
    <t>2015년
본예산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</si>
  <si>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</si>
  <si>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</si>
  <si>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</si>
  <si>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재활
프로그램
지원금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</si>
  <si>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</si>
  <si>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</si>
  <si>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</si>
  <si>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</si>
  <si>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 xml:space="preserve">  *공동모금회 지원사업비(스타렉스 12인승)</t>
    <phoneticPr fontId="7" type="noConversion"/>
  </si>
  <si>
    <t>* 해외문화탐방(스페인, 프랑스 등) 지원금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</si>
  <si>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</si>
  <si>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</si>
  <si>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</si>
  <si>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</si>
  <si>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</si>
  <si>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</si>
  <si>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</si>
  <si>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</si>
  <si>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</si>
  <si>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월동대책비</t>
    <phoneticPr fontId="7" type="noConversion"/>
  </si>
  <si>
    <t>특별위로금</t>
    <phoneticPr fontId="7" type="noConversion"/>
  </si>
  <si>
    <t>국비기능보강사업</t>
    <phoneticPr fontId="7" type="noConversion"/>
  </si>
  <si>
    <t>기본급</t>
    <phoneticPr fontId="7" type="noConversion"/>
  </si>
  <si>
    <t>명절휴가비</t>
    <phoneticPr fontId="7" type="noConversion"/>
  </si>
  <si>
    <t>가족수당</t>
    <phoneticPr fontId="7" type="noConversion"/>
  </si>
  <si>
    <t>연장근로수당</t>
    <phoneticPr fontId="7" type="noConversion"/>
  </si>
  <si>
    <t>퇴직금적립금</t>
    <phoneticPr fontId="7" type="noConversion"/>
  </si>
  <si>
    <t>국민연금부담금</t>
    <phoneticPr fontId="7" type="noConversion"/>
  </si>
  <si>
    <t>건강보험부담금</t>
    <phoneticPr fontId="7" type="noConversion"/>
  </si>
  <si>
    <t>장기요양보험부담금</t>
    <phoneticPr fontId="7" type="noConversion"/>
  </si>
  <si>
    <t>고용보험부담금</t>
    <phoneticPr fontId="7" type="noConversion"/>
  </si>
  <si>
    <t>산재보험부담금</t>
    <phoneticPr fontId="7" type="noConversion"/>
  </si>
  <si>
    <t>시설당 기본지원금</t>
    <phoneticPr fontId="7" type="noConversion"/>
  </si>
  <si>
    <t>거주장애인 가중지원</t>
    <phoneticPr fontId="7" type="noConversion"/>
  </si>
  <si>
    <t>기능보강</t>
    <phoneticPr fontId="7" type="noConversion"/>
  </si>
  <si>
    <t>입소자부식비</t>
    <phoneticPr fontId="7" type="noConversion"/>
  </si>
  <si>
    <t>입소자간식비</t>
    <phoneticPr fontId="7" type="noConversion"/>
  </si>
  <si>
    <t>입소자건강진단비</t>
    <phoneticPr fontId="7" type="noConversion"/>
  </si>
  <si>
    <t>특수근무수당</t>
    <phoneticPr fontId="7" type="noConversion"/>
  </si>
  <si>
    <t>차량운영비</t>
    <phoneticPr fontId="7" type="noConversion"/>
  </si>
  <si>
    <t>환경개선사업비</t>
    <phoneticPr fontId="7" type="noConversion"/>
  </si>
  <si>
    <t>간병인비</t>
    <phoneticPr fontId="7" type="noConversion"/>
  </si>
  <si>
    <t>기타</t>
    <phoneticPr fontId="7" type="noConversion"/>
  </si>
  <si>
    <t>경기도 재활P/G</t>
    <phoneticPr fontId="7" type="noConversion"/>
  </si>
  <si>
    <t>여름캠프</t>
    <phoneticPr fontId="7" type="noConversion"/>
  </si>
  <si>
    <t>가을여행</t>
    <phoneticPr fontId="7" type="noConversion"/>
  </si>
  <si>
    <t>시지원P/G</t>
    <phoneticPr fontId="7" type="noConversion"/>
  </si>
  <si>
    <t>직원건강진단비</t>
    <phoneticPr fontId="7" type="noConversion"/>
  </si>
  <si>
    <t>순수시비</t>
    <phoneticPr fontId="7" type="noConversion"/>
  </si>
  <si>
    <t>산  출  내  역</t>
  </si>
  <si>
    <t>(인건비 산출내역 참조)</t>
    <phoneticPr fontId="7" type="noConversion"/>
  </si>
  <si>
    <t>금   액</t>
    <phoneticPr fontId="7" type="noConversion"/>
  </si>
  <si>
    <t>부담비율</t>
    <phoneticPr fontId="7" type="noConversion"/>
  </si>
  <si>
    <t>산출액</t>
    <phoneticPr fontId="7" type="noConversion"/>
  </si>
  <si>
    <t>검증</t>
    <phoneticPr fontId="7" type="noConversion"/>
  </si>
  <si>
    <t>합계</t>
    <phoneticPr fontId="7" type="noConversion"/>
  </si>
  <si>
    <t>국비</t>
    <phoneticPr fontId="7" type="noConversion"/>
  </si>
  <si>
    <t>도비</t>
    <phoneticPr fontId="7" type="noConversion"/>
  </si>
  <si>
    <t>시비</t>
    <phoneticPr fontId="7" type="noConversion"/>
  </si>
  <si>
    <t>항 목</t>
    <phoneticPr fontId="7" type="noConversion"/>
  </si>
  <si>
    <t>총 계</t>
    <phoneticPr fontId="7" type="noConversion"/>
  </si>
  <si>
    <t>입소자구료비
(특별피복비)</t>
    <phoneticPr fontId="7" type="noConversion"/>
  </si>
  <si>
    <t>입소자구료비
(특별급식비)</t>
    <phoneticPr fontId="7" type="noConversion"/>
  </si>
  <si>
    <t>국비</t>
    <phoneticPr fontId="7" type="noConversion"/>
  </si>
  <si>
    <t>=</t>
    <phoneticPr fontId="7" type="noConversion"/>
  </si>
  <si>
    <t>원</t>
    <phoneticPr fontId="7" type="noConversion"/>
  </si>
  <si>
    <t>월</t>
    <phoneticPr fontId="7" type="noConversion"/>
  </si>
  <si>
    <t>×</t>
    <phoneticPr fontId="7" type="noConversion"/>
  </si>
  <si>
    <t>명</t>
    <phoneticPr fontId="7" type="noConversion"/>
  </si>
  <si>
    <t>일</t>
    <phoneticPr fontId="7" type="noConversion"/>
  </si>
  <si>
    <t>2015년
본예산액
(A)
(단위:천원)</t>
    <phoneticPr fontId="7" type="noConversion"/>
  </si>
  <si>
    <t>2015년
1차추경예산
(B)
(단위:천원)</t>
    <phoneticPr fontId="7" type="noConversion"/>
  </si>
  <si>
    <t>&lt;인건비 : 33명&gt;</t>
    <phoneticPr fontId="7" type="noConversion"/>
  </si>
  <si>
    <t xml:space="preserve"> *경상보조금 33명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</si>
  <si>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</si>
  <si>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</si>
  <si>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</si>
  <si>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*시설당 기본지원금</t>
    <phoneticPr fontId="7" type="noConversion"/>
  </si>
  <si>
    <t>명</t>
    <phoneticPr fontId="7" type="noConversion"/>
  </si>
  <si>
    <t>×</t>
    <phoneticPr fontId="7" type="noConversion"/>
  </si>
  <si>
    <t>=</t>
    <phoneticPr fontId="7" type="noConversion"/>
  </si>
  <si>
    <t>*거주장애인 가중지원</t>
    <phoneticPr fontId="7" type="noConversion"/>
  </si>
  <si>
    <t>&lt;기능보강사업비&gt;</t>
    <phoneticPr fontId="7" type="noConversion"/>
  </si>
  <si>
    <t xml:space="preserve"> 가. 운전원</t>
    <phoneticPr fontId="7" type="noConversion"/>
  </si>
  <si>
    <t xml:space="preserve"> 나. 생활지도원</t>
    <phoneticPr fontId="7" type="noConversion"/>
  </si>
  <si>
    <t xml:space="preserve"> 다. 조리보조원</t>
    <phoneticPr fontId="7" type="noConversion"/>
  </si>
  <si>
    <t>2015년 1차 추경 예산액(B)(단위:천원)</t>
    <phoneticPr fontId="7" type="noConversion"/>
  </si>
  <si>
    <t>2015년
본예산액(A)
(단위:천원)</t>
    <phoneticPr fontId="7" type="noConversion"/>
  </si>
  <si>
    <t xml:space="preserve">  *주임</t>
    <phoneticPr fontId="7" type="noConversion"/>
  </si>
  <si>
    <t>* 직책보조비 퇴직금적립금</t>
    <phoneticPr fontId="7" type="noConversion"/>
  </si>
  <si>
    <t>÷</t>
    <phoneticPr fontId="7" type="noConversion"/>
  </si>
  <si>
    <t>월</t>
    <phoneticPr fontId="7" type="noConversion"/>
  </si>
  <si>
    <t>* 장기근속자(10년 : 박은정)</t>
    <phoneticPr fontId="7" type="noConversion"/>
  </si>
  <si>
    <t>원</t>
    <phoneticPr fontId="7" type="noConversion"/>
  </si>
  <si>
    <t xml:space="preserve">  *경기도사회복지협의회 난방비 지원금</t>
    <phoneticPr fontId="7" type="noConversion"/>
  </si>
  <si>
    <t xml:space="preserve"> * 경기도 재활프로그램(도예)</t>
    <phoneticPr fontId="7" type="noConversion"/>
  </si>
  <si>
    <t>* 실습생 30명 실습비</t>
    <phoneticPr fontId="7" type="noConversion"/>
  </si>
  <si>
    <t>명</t>
    <phoneticPr fontId="7" type="noConversion"/>
  </si>
  <si>
    <t xml:space="preserve">  *경기도공동모금회 설빔 지원금(피복비)</t>
    <phoneticPr fontId="7" type="noConversion"/>
  </si>
  <si>
    <t xml:space="preserve"> * 시지원 프로그램비(아쿠아로빅)</t>
    <phoneticPr fontId="7" type="noConversion"/>
  </si>
  <si>
    <t xml:space="preserve">  *수원시장애인체육회(재활승마)</t>
    <phoneticPr fontId="7" type="noConversion"/>
  </si>
  <si>
    <t>1. 여름캠프</t>
    <phoneticPr fontId="7" type="noConversion"/>
  </si>
  <si>
    <t>4. 가을여행</t>
    <phoneticPr fontId="7" type="noConversion"/>
  </si>
  <si>
    <t>M. 결연사업</t>
    <phoneticPr fontId="7" type="noConversion"/>
  </si>
  <si>
    <t>1. 결연후원금 지급</t>
    <phoneticPr fontId="7" type="noConversion"/>
  </si>
  <si>
    <t>원</t>
    <phoneticPr fontId="7" type="noConversion"/>
  </si>
  <si>
    <t>C. 원내행사 지원사업비</t>
    <phoneticPr fontId="7" type="noConversion"/>
  </si>
  <si>
    <t>G. 질보장 지원사업</t>
    <phoneticPr fontId="7" type="noConversion"/>
  </si>
  <si>
    <t>1. 인권지킴이단 운영</t>
    <phoneticPr fontId="7" type="noConversion"/>
  </si>
  <si>
    <t xml:space="preserve"> - 홍보비재료비9포스터, 티셔츠, 공모전 등)</t>
    <phoneticPr fontId="7" type="noConversion"/>
  </si>
  <si>
    <t>원</t>
    <phoneticPr fontId="7" type="noConversion"/>
  </si>
  <si>
    <t xml:space="preserve"> - 다과비</t>
    <phoneticPr fontId="7" type="noConversion"/>
  </si>
  <si>
    <t>원</t>
    <phoneticPr fontId="7" type="noConversion"/>
  </si>
  <si>
    <t>월</t>
    <phoneticPr fontId="7" type="noConversion"/>
  </si>
  <si>
    <t xml:space="preserve"> - 이용인 인권교육</t>
    <phoneticPr fontId="7" type="noConversion"/>
  </si>
  <si>
    <t xml:space="preserve"> - 이용인 인권교육 준비물</t>
    <phoneticPr fontId="7" type="noConversion"/>
  </si>
  <si>
    <t xml:space="preserve"> - 인권지킴이단 정기회의수당</t>
    <phoneticPr fontId="7" type="noConversion"/>
  </si>
  <si>
    <t>2. 생활실 환경미화</t>
    <phoneticPr fontId="7" type="noConversion"/>
  </si>
  <si>
    <t>1. 부모회의(교육 및 다과비)</t>
    <phoneticPr fontId="7" type="noConversion"/>
  </si>
  <si>
    <t>2. 어버이날 행사</t>
    <phoneticPr fontId="7" type="noConversion"/>
  </si>
  <si>
    <t>1. 부활절 부활계란 나눔행사</t>
    <phoneticPr fontId="7" type="noConversion"/>
  </si>
  <si>
    <t>2. 빈자리축제</t>
    <phoneticPr fontId="7" type="noConversion"/>
  </si>
  <si>
    <t>3. 비둘기캠프</t>
    <phoneticPr fontId="7" type="noConversion"/>
  </si>
  <si>
    <t>4. 경로잔치</t>
    <phoneticPr fontId="7" type="noConversion"/>
  </si>
  <si>
    <t>5. 경기도장애인체육대회</t>
    <phoneticPr fontId="7" type="noConversion"/>
  </si>
  <si>
    <t>1. 생일잔치</t>
    <phoneticPr fontId="7" type="noConversion"/>
  </si>
  <si>
    <t>명</t>
    <phoneticPr fontId="7" type="noConversion"/>
  </si>
  <si>
    <t>3. 가정방문</t>
    <phoneticPr fontId="7" type="noConversion"/>
  </si>
  <si>
    <t>원</t>
    <phoneticPr fontId="7" type="noConversion"/>
  </si>
  <si>
    <t>후원</t>
    <phoneticPr fontId="7" type="noConversion"/>
  </si>
  <si>
    <t>1. 하나 사회적응프로그램(렛츠고)</t>
    <phoneticPr fontId="7" type="noConversion"/>
  </si>
  <si>
    <t>2. 둘 사회적응프로그램(렛츠고)</t>
    <phoneticPr fontId="7" type="noConversion"/>
  </si>
  <si>
    <t>3. 셋 사회적응프로그램(렛츠고)</t>
    <phoneticPr fontId="7" type="noConversion"/>
  </si>
  <si>
    <t>4. 넷 사회적응프로그램(렛츠고)</t>
    <phoneticPr fontId="7" type="noConversion"/>
  </si>
  <si>
    <t>5. 여가프로그램(투게더 하나)</t>
    <phoneticPr fontId="7" type="noConversion"/>
  </si>
  <si>
    <t>6. 여가프로그램(투게더 둘)</t>
    <phoneticPr fontId="7" type="noConversion"/>
  </si>
  <si>
    <t>H. 자립활동지원 사업</t>
    <phoneticPr fontId="7" type="noConversion"/>
  </si>
  <si>
    <t>1. 자립준비가정</t>
    <phoneticPr fontId="7" type="noConversion"/>
  </si>
  <si>
    <t>2. 작업훈련(행복공장)</t>
    <phoneticPr fontId="7" type="noConversion"/>
  </si>
  <si>
    <t>2. 추석/설날 명절 행사</t>
    <phoneticPr fontId="7" type="noConversion"/>
  </si>
  <si>
    <t>3. 가을행사(등반대회)</t>
    <phoneticPr fontId="7" type="noConversion"/>
  </si>
  <si>
    <t>5. 개원기념일 행사</t>
    <phoneticPr fontId="7" type="noConversion"/>
  </si>
  <si>
    <t>6. 연말 송년회</t>
    <phoneticPr fontId="7" type="noConversion"/>
  </si>
  <si>
    <t>5. 미귀가 이용인 프로그램</t>
    <phoneticPr fontId="7" type="noConversion"/>
  </si>
  <si>
    <t>2. 일상생활지원(문화여가, 목욕탕, 이미용, 외식 등)</t>
    <phoneticPr fontId="7" type="noConversion"/>
  </si>
  <si>
    <t>3. 등산(메아리) - 주말 프로그램</t>
    <phoneticPr fontId="7" type="noConversion"/>
  </si>
  <si>
    <t>4. 사랑담아(봉사동아리)</t>
    <phoneticPr fontId="7" type="noConversion"/>
  </si>
  <si>
    <t>5. 경기도재활프로그램사업(도예)</t>
    <phoneticPr fontId="7" type="noConversion"/>
  </si>
  <si>
    <t>6. 계절프로그램(소소한 행복여행)</t>
    <phoneticPr fontId="7" type="noConversion"/>
  </si>
  <si>
    <t>7. 이용인 자치회의</t>
    <phoneticPr fontId="7" type="noConversion"/>
  </si>
  <si>
    <t>8. 미술심리치료</t>
    <phoneticPr fontId="7" type="noConversion"/>
  </si>
  <si>
    <t>9. 동물매개활동</t>
    <phoneticPr fontId="7" type="noConversion"/>
  </si>
  <si>
    <t>10. 신체활동 프로그램(우리 함께 움직여요~~~)</t>
    <phoneticPr fontId="7" type="noConversion"/>
  </si>
  <si>
    <t>11. 테마여행</t>
    <phoneticPr fontId="7" type="noConversion"/>
  </si>
  <si>
    <t>1. 자원봉사자 교육 및 프로그램</t>
    <phoneticPr fontId="7" type="noConversion"/>
  </si>
  <si>
    <t>2. 자원봉사자 나들이</t>
    <phoneticPr fontId="7" type="noConversion"/>
  </si>
  <si>
    <t>3. 후원/자원봉사 포상(감사패 제작 등)</t>
    <phoneticPr fontId="7" type="noConversion"/>
  </si>
  <si>
    <t>J. 이용인 성교육</t>
    <phoneticPr fontId="7" type="noConversion"/>
  </si>
  <si>
    <t>1. 이용인 성교육(체험관 이용 : 식대 및 다과비 등)</t>
    <phoneticPr fontId="7" type="noConversion"/>
  </si>
  <si>
    <t>L. 기타 프로그램 사업비</t>
    <phoneticPr fontId="7" type="noConversion"/>
  </si>
  <si>
    <t>1. 기타 프로그램 사업비</t>
    <phoneticPr fontId="7" type="noConversion"/>
  </si>
  <si>
    <t>I. 물리치료실 몸짱 프로그램</t>
    <phoneticPr fontId="7" type="noConversion"/>
  </si>
  <si>
    <t>2. 아쿠아로빅(수원시 보조금 200만원)</t>
    <phoneticPr fontId="7" type="noConversion"/>
  </si>
  <si>
    <t>1. 재활승마(수원시장애인체육회 200만원)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</si>
  <si>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</si>
  <si>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</si>
  <si>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</si>
  <si>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</si>
  <si>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</si>
  <si>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2. 소방안전교육 훈련(소방훈련용 연막탄)</t>
    <phoneticPr fontId="7" type="noConversion"/>
  </si>
  <si>
    <t>회</t>
    <phoneticPr fontId="7" type="noConversion"/>
  </si>
  <si>
    <t>보조</t>
    <phoneticPr fontId="7" type="noConversion"/>
  </si>
  <si>
    <t>보조</t>
    <phoneticPr fontId="7" type="noConversion"/>
  </si>
  <si>
    <t>1.물리치료실 풋보드(Q-board) 구입</t>
    <phoneticPr fontId="7" type="noConversion"/>
  </si>
  <si>
    <t>1. 몸짱 원내 프로그램(몸짱다과, 게시판, 숙소운동 선물비)</t>
    <phoneticPr fontId="7" type="noConversion"/>
  </si>
  <si>
    <t>2. 몸짱 원외 프로그램(마라톤, 몸짱나들이, BMW-Ex)</t>
    <phoneticPr fontId="7" type="noConversion"/>
  </si>
  <si>
    <t>1.경상보조금 (종사자33명)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</si>
  <si>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</si>
  <si>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</si>
  <si>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</si>
  <si>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3.법인지원직원 : 상담원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</si>
  <si>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</si>
  <si>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</si>
  <si>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A.경상보조금 33명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</si>
  <si>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</si>
  <si>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</si>
  <si>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</si>
  <si>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4.특수근무수당(7종) : 36명</t>
    <phoneticPr fontId="7" type="noConversion"/>
  </si>
  <si>
    <t>5.직책보조비(법인전입금)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</si>
  <si>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</si>
  <si>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</si>
  <si>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6.일직근무수당(법인전입금)</t>
    <phoneticPr fontId="7" type="noConversion"/>
  </si>
  <si>
    <t xml:space="preserve"> * 일직근무수당</t>
    <phoneticPr fontId="7" type="noConversion"/>
  </si>
  <si>
    <t>1.경상보조금 33명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</si>
  <si>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</si>
  <si>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</si>
  <si>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</si>
  <si>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 xml:space="preserve">  가.법인지원직원 1명(상담원)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</si>
  <si>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</si>
  <si>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</si>
  <si>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</si>
  <si>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 xml:space="preserve">  나.직책보조비</t>
    <phoneticPr fontId="7" type="noConversion"/>
  </si>
  <si>
    <t xml:space="preserve">  다.일직근무수당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</si>
  <si>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</si>
  <si>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</si>
  <si>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</si>
  <si>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</si>
  <si>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</si>
  <si>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 xml:space="preserve"> C.법인지원직원 1명(상담원)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</si>
  <si>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</si>
  <si>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</si>
  <si>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A.경상보조금 33명</t>
    <phoneticPr fontId="7" type="noConversion"/>
  </si>
  <si>
    <t xml:space="preserve"> B.인건비지원(7종)</t>
    <phoneticPr fontId="7" type="noConversion"/>
  </si>
  <si>
    <t xml:space="preserve"> C.법인지원직원 1명(상담원)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</si>
  <si>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</si>
  <si>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</si>
  <si>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</si>
  <si>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 xml:space="preserve"> 3)영양사 및 조리원 위생교육 및 보수교육</t>
    <phoneticPr fontId="7" type="noConversion"/>
  </si>
  <si>
    <t>3. 도시락 이벤트 및 잔반 이벤트</t>
    <phoneticPr fontId="7" type="noConversion"/>
  </si>
  <si>
    <t>4. 이용인 식습관 및 기호도 조사</t>
    <phoneticPr fontId="7" type="noConversion"/>
  </si>
  <si>
    <t>5. 이용인 해외여행(스페인/프랑스)</t>
    <phoneticPr fontId="7" type="noConversion"/>
  </si>
  <si>
    <t>후원</t>
    <phoneticPr fontId="7" type="noConversion"/>
  </si>
  <si>
    <t>후원</t>
    <phoneticPr fontId="7" type="noConversion"/>
  </si>
  <si>
    <t>⑥스타렉스 취득세/탁송료 등</t>
    <phoneticPr fontId="7" type="noConversion"/>
  </si>
  <si>
    <t>3. 업무용 12인승 스타렉스 1대 구입(네비게이션 및 후방카메라 부착)</t>
    <phoneticPr fontId="7" type="noConversion"/>
  </si>
  <si>
    <t>후원</t>
    <phoneticPr fontId="7" type="noConversion"/>
  </si>
  <si>
    <t xml:space="preserve">                      (자원봉사자 실내화 구입)</t>
    <phoneticPr fontId="7" type="noConversion"/>
  </si>
  <si>
    <t>7. 우편물발송료 및 택배료</t>
    <phoneticPr fontId="7" type="noConversion"/>
  </si>
  <si>
    <t>8. 일반전기요금/ 상하수도요금 자부담 보충액</t>
    <phoneticPr fontId="7" type="noConversion"/>
  </si>
  <si>
    <t>(보조금 200만원/ 후원금 700만원)</t>
    <phoneticPr fontId="7" type="noConversion"/>
  </si>
  <si>
    <t>후원</t>
    <phoneticPr fontId="7" type="noConversion"/>
  </si>
  <si>
    <t>잡수</t>
    <phoneticPr fontId="7" type="noConversion"/>
  </si>
  <si>
    <t>(수직구조대설치)</t>
    <phoneticPr fontId="7" type="noConversion"/>
  </si>
  <si>
    <t>2015년 1차추경 보조금 산출내역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</si>
  <si>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</si>
  <si>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</si>
  <si>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</si>
  <si>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</si>
  <si>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</si>
  <si>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</si>
  <si>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* 직원경조사비</t>
    <phoneticPr fontId="7" type="noConversion"/>
  </si>
  <si>
    <t>* 상조회 지원금(상,하반기)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</si>
  <si>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</si>
  <si>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</si>
  <si>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</si>
  <si>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장기근속자 포상(10년 박은정)</t>
    <phoneticPr fontId="7" type="noConversion"/>
  </si>
  <si>
    <t>* 우수직원 포상금(12월)</t>
    <phoneticPr fontId="7" type="noConversion"/>
  </si>
  <si>
    <t>* 정부지원 단체 상해공제보험</t>
    <phoneticPr fontId="7" type="noConversion"/>
  </si>
  <si>
    <t>후원</t>
    <phoneticPr fontId="7" type="noConversion"/>
  </si>
  <si>
    <t>* 직원건강검진비(순수시비)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</si>
  <si>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</si>
  <si>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</si>
  <si>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</si>
  <si>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직원다이어리구입비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</si>
  <si>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</si>
  <si>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</si>
  <si>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 xml:space="preserve">                  (소집해제자 이문영 감사패 등)</t>
    <phoneticPr fontId="7" type="noConversion"/>
  </si>
  <si>
    <t>* 조리원 위생복</t>
    <phoneticPr fontId="7" type="noConversion"/>
  </si>
  <si>
    <t>* 주방직원 건강진단비</t>
    <phoneticPr fontId="7" type="noConversion"/>
  </si>
  <si>
    <t>* 직원독감예방접종</t>
    <phoneticPr fontId="7" type="noConversion"/>
  </si>
  <si>
    <t>* 유관기관경조사비,무료봉사진료기관감사선물비등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</si>
  <si>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</si>
  <si>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</si>
  <si>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</si>
  <si>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</si>
  <si>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</si>
  <si>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</si>
  <si>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</si>
  <si>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3. 공익근무요원 실습 다과비</t>
    <phoneticPr fontId="7" type="noConversion"/>
  </si>
  <si>
    <t>회</t>
    <phoneticPr fontId="7" type="noConversion"/>
  </si>
  <si>
    <t>잡수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</si>
  <si>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</si>
  <si>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</si>
  <si>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</si>
  <si>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</si>
  <si>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3. 프린터 터너, 잉크 등</t>
    <phoneticPr fontId="7" type="noConversion"/>
  </si>
  <si>
    <t>4. 인쇄비(회지, 사업계획 및 평가서 등)</t>
    <phoneticPr fontId="7" type="noConversion"/>
  </si>
  <si>
    <t>5. 소식지(아름다운 사람) 인쇄</t>
    <phoneticPr fontId="7" type="noConversion"/>
  </si>
  <si>
    <t>6. 연하장, 감사장 카드 제작 등</t>
    <phoneticPr fontId="7" type="noConversion"/>
  </si>
  <si>
    <t>후원</t>
    <phoneticPr fontId="7" type="noConversion"/>
  </si>
  <si>
    <t>7. 시설 리플렛 제작</t>
    <phoneticPr fontId="7" type="noConversion"/>
  </si>
  <si>
    <t>8. 소규모수선비(시설잡자재, 비품 수리, 전산장비 등)</t>
    <phoneticPr fontId="7" type="noConversion"/>
  </si>
  <si>
    <t>9. 주차료, 통행료, 택배료, 김장 운송비 등</t>
    <phoneticPr fontId="7" type="noConversion"/>
  </si>
  <si>
    <t>10.주방 소모품비</t>
    <phoneticPr fontId="7" type="noConversion"/>
  </si>
  <si>
    <t>11.주방식기세척기 린스, 세제, 유지방분해제 구입비</t>
    <phoneticPr fontId="7" type="noConversion"/>
  </si>
  <si>
    <t>12.홈페이지 유지관리(도메인/호스트/ 보안서버/유지보수비)</t>
    <phoneticPr fontId="7" type="noConversion"/>
  </si>
  <si>
    <t>13. 기타 수용비 및 수수료</t>
    <phoneticPr fontId="7" type="noConversion"/>
  </si>
  <si>
    <t>14. 체험홈 APT관리비</t>
    <phoneticPr fontId="7" type="noConversion"/>
  </si>
  <si>
    <t>입소</t>
    <phoneticPr fontId="7" type="noConversion"/>
  </si>
  <si>
    <t>15. 크리스마스 트리장식</t>
    <phoneticPr fontId="7" type="noConversion"/>
  </si>
  <si>
    <t>16. 퇴직연금 관리 수수료</t>
    <phoneticPr fontId="7" type="noConversion"/>
  </si>
  <si>
    <t>17. CMS가입비,보증보험료,이용료</t>
    <phoneticPr fontId="7" type="noConversion"/>
  </si>
  <si>
    <t>5. 가정통신문 발송 / 기부금발송 / 연하장 발송우편료</t>
    <phoneticPr fontId="7" type="noConversion"/>
  </si>
  <si>
    <t>6. 소식지(아름다운 사람) 및 달력 발송</t>
    <phoneticPr fontId="7" type="noConversion"/>
  </si>
  <si>
    <t>①자동차보험료(32인승, 25인승, 15인승, 마티즈, 모닝, 스타렉스 12인승)</t>
    <phoneticPr fontId="7" type="noConversion"/>
  </si>
  <si>
    <t>②일반화재보험(대물)</t>
    <phoneticPr fontId="7" type="noConversion"/>
  </si>
  <si>
    <t>③영업배상책임보험(대인)</t>
    <phoneticPr fontId="7" type="noConversion"/>
  </si>
  <si>
    <t>1.차량유류대(운영비)</t>
    <phoneticPr fontId="7" type="noConversion"/>
  </si>
  <si>
    <t xml:space="preserve">                (7종)</t>
    <phoneticPr fontId="7" type="noConversion"/>
  </si>
  <si>
    <t>2.차량 점검 및 정비비 등</t>
    <phoneticPr fontId="7" type="noConversion"/>
  </si>
  <si>
    <t>월</t>
    <phoneticPr fontId="7" type="noConversion"/>
  </si>
  <si>
    <t>3.차량 정기검사</t>
    <phoneticPr fontId="7" type="noConversion"/>
  </si>
  <si>
    <t>4.차량수리비 등(15인승 등)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</si>
  <si>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</si>
  <si>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</si>
  <si>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</si>
  <si>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</si>
  <si>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3.환경개선사업(7종)</t>
    <phoneticPr fontId="7" type="noConversion"/>
  </si>
  <si>
    <t>4.물리치료기기 수리비</t>
    <phoneticPr fontId="7" type="noConversion"/>
  </si>
  <si>
    <t>5. 국비기능보강사업(수직구조대 설치)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</si>
  <si>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</si>
  <si>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</si>
  <si>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</si>
  <si>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</si>
  <si>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</si>
  <si>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</si>
  <si>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</si>
  <si>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</si>
  <si>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</si>
  <si>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</si>
  <si>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</si>
  <si>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</si>
  <si>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10.식권수입</t>
    <phoneticPr fontId="7" type="noConversion"/>
  </si>
  <si>
    <t>1. 생활용품구입비</t>
    <phoneticPr fontId="7" type="noConversion"/>
  </si>
  <si>
    <t>2. 쓰레기봉투 및 폐기물 마대 구입비/ 맨홀청소</t>
    <phoneticPr fontId="7" type="noConversion"/>
  </si>
  <si>
    <t>3. 시설방역</t>
    <phoneticPr fontId="7" type="noConversion"/>
  </si>
  <si>
    <t>3. 정수기 임대료 및 필터교환</t>
    <phoneticPr fontId="7" type="noConversion"/>
  </si>
  <si>
    <t>4. 주방식기류 및 그릇 보강</t>
    <phoneticPr fontId="7" type="noConversion"/>
  </si>
  <si>
    <t>5. 기타 수용기관경비(자립준비가정 조리도구 및 그릇 구입비 포함)</t>
    <phoneticPr fontId="7" type="noConversion"/>
  </si>
  <si>
    <t>1.일반피복비(아쿠아로빅 수영복 포함)</t>
    <phoneticPr fontId="7" type="noConversion"/>
  </si>
  <si>
    <t>입소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</si>
  <si>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</si>
  <si>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</si>
  <si>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</si>
  <si>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</si>
  <si>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</si>
  <si>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</si>
  <si>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</si>
  <si>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</si>
  <si>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</si>
  <si>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</si>
  <si>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 주방가스요금</t>
    <phoneticPr fontId="7" type="noConversion"/>
  </si>
  <si>
    <t>3. 체험홈 취사용 가스 등</t>
    <phoneticPr fontId="7" type="noConversion"/>
  </si>
  <si>
    <t>4. 경기도사회복지협의회 난방비 지원금</t>
    <phoneticPr fontId="7" type="noConversion"/>
  </si>
  <si>
    <t>지후</t>
    <phoneticPr fontId="7" type="noConversion"/>
  </si>
  <si>
    <t>5. 연료비 자부담 보충액</t>
    <phoneticPr fontId="7" type="noConversion"/>
  </si>
  <si>
    <t>1.보조금 운영비 이월금</t>
    <phoneticPr fontId="7" type="noConversion"/>
  </si>
  <si>
    <t>2.보조금 운영비 예금이자</t>
    <phoneticPr fontId="7" type="noConversion"/>
  </si>
  <si>
    <t>3.보조금 생계비 이월금</t>
    <phoneticPr fontId="7" type="noConversion"/>
  </si>
  <si>
    <t>4.보조금 생계비 예금이자</t>
    <phoneticPr fontId="7" type="noConversion"/>
  </si>
  <si>
    <t>5.보조금(4종)이월금</t>
    <phoneticPr fontId="7" type="noConversion"/>
  </si>
  <si>
    <t>6.보조금(4종) 예금이자</t>
    <phoneticPr fontId="7" type="noConversion"/>
  </si>
  <si>
    <t>7.보조금(7종) 이월금</t>
    <phoneticPr fontId="7" type="noConversion"/>
  </si>
  <si>
    <t>8.보조금(7종) 예금이자</t>
    <phoneticPr fontId="7" type="noConversion"/>
  </si>
  <si>
    <t>9.재활프로그램(도예) 보조금 이월액</t>
    <phoneticPr fontId="7" type="noConversion"/>
  </si>
  <si>
    <t>10.재활프로그램(도예) 예금이자</t>
    <phoneticPr fontId="7" type="noConversion"/>
  </si>
  <si>
    <t>11.여름캠프 이월금</t>
    <phoneticPr fontId="7" type="noConversion"/>
  </si>
  <si>
    <t>1. 예금이자(운영비)</t>
    <phoneticPr fontId="7" type="noConversion"/>
  </si>
  <si>
    <t>2. 예금이자(생계비)</t>
    <phoneticPr fontId="7" type="noConversion"/>
  </si>
  <si>
    <t>3. 예금이자(4종)</t>
    <phoneticPr fontId="7" type="noConversion"/>
  </si>
  <si>
    <t>4. 예금이자(7종)</t>
    <phoneticPr fontId="7" type="noConversion"/>
  </si>
  <si>
    <t>5. 예금이자(경기도재활프로그램)</t>
    <phoneticPr fontId="7" type="noConversion"/>
  </si>
  <si>
    <t>6. 예금이자(입소비용)</t>
    <phoneticPr fontId="7" type="noConversion"/>
  </si>
  <si>
    <t>7. 예금이자(후원금)</t>
    <phoneticPr fontId="7" type="noConversion"/>
  </si>
  <si>
    <t>8. 예금이자(법인전입금)</t>
    <phoneticPr fontId="7" type="noConversion"/>
  </si>
  <si>
    <t>9. 예금이자(잡수입)</t>
    <phoneticPr fontId="7" type="noConversion"/>
  </si>
  <si>
    <t>2015년
1차 추경 예산</t>
    <phoneticPr fontId="29" type="noConversion"/>
  </si>
  <si>
    <t>□ 2015년도 1차 추경 세 입 · 세 출 총  괄  표</t>
    <phoneticPr fontId="29" type="noConversion"/>
  </si>
  <si>
    <t>&lt;2015년도 1차 추경 세입내역&gt;</t>
    <phoneticPr fontId="7" type="noConversion"/>
  </si>
  <si>
    <t>&lt;2015년도 1차 추경 세출내역&gt;</t>
    <phoneticPr fontId="7" type="noConversion"/>
  </si>
  <si>
    <t>*기능보강사업비(수직구조대설치)</t>
    <phoneticPr fontId="7" type="noConversion"/>
  </si>
  <si>
    <t>&lt;인건비 : 33명&gt;</t>
    <phoneticPr fontId="7" type="noConversion"/>
  </si>
  <si>
    <t xml:space="preserve"> *경상보조금 33명</t>
    <phoneticPr fontId="7" type="noConversion"/>
  </si>
  <si>
    <t xml:space="preserve"> *운전원/생활지도원/조리보조원(3명)</t>
    <phoneticPr fontId="7" type="noConversion"/>
  </si>
  <si>
    <t>2015년
1차 추경 예산</t>
    <phoneticPr fontId="7" type="noConversion"/>
  </si>
  <si>
    <t>소계</t>
    <phoneticPr fontId="7" type="noConversion"/>
  </si>
  <si>
    <t>인건비</t>
    <phoneticPr fontId="7" type="noConversion"/>
  </si>
  <si>
    <t>* 실비입소자(김경민) -&gt;수급자로 전환
   (실비입소자 30명-&gt;29명으로 감소)</t>
    <phoneticPr fontId="7" type="noConversion"/>
  </si>
  <si>
    <t>* 본예산은 회계마감 전이므로 추정치임 -&gt; 1차추경 확정금액 반영</t>
    <phoneticPr fontId="7" type="noConversion"/>
  </si>
  <si>
    <t>* 신규직원 증원으로 종사자급식비 수입 증가</t>
    <phoneticPr fontId="7" type="noConversion"/>
  </si>
  <si>
    <t>* 보조금 부담비율 80%-&gt;90%
* 수급자 인원 23명 -&gt; 25명으로 2명 증가
* 1인당 수급비용 월 약 20만원 -&gt;23만원으로 인상 지원</t>
    <phoneticPr fontId="7" type="noConversion"/>
  </si>
  <si>
    <t>* 보조금 부담비율 10%-&gt;7%
* 수급자 인원 23명 -&gt; 25명으로 2명 증가
* 1인당 수급비용 월 약 20만원 -&gt;23만원으로 인상 지원</t>
    <phoneticPr fontId="7" type="noConversion"/>
  </si>
  <si>
    <t>* 2015년 장애인거주시설 중앙정부로 환원
* 보조금 부담비율 0%-&gt;70%(기능보강사업 50%)</t>
    <phoneticPr fontId="7" type="noConversion"/>
  </si>
  <si>
    <t>* 2015년 장애인거주시설 중앙정부로 환원
* 보조금 부담비율 57.3%-&gt;4.5%(기능보강사업 50%)</t>
    <phoneticPr fontId="7" type="noConversion"/>
  </si>
  <si>
    <t>* 2014년 지원기준과 동일
* 보조금 지원비율 18.3%-&gt;15%</t>
    <phoneticPr fontId="7" type="noConversion"/>
  </si>
  <si>
    <t>* 보조금 부담요율 21%-&gt;20%로 하향지원</t>
    <phoneticPr fontId="7" type="noConversion"/>
  </si>
  <si>
    <t>* 보조금 부담비율 10%-&gt;3%
* 수급자 인원 23명 -&gt; 25명으로 2명 증가
* 1인당 수급비용 월 약 20만원 -&gt;23만원으로 인상 지원</t>
    <phoneticPr fontId="7" type="noConversion"/>
  </si>
  <si>
    <t>* 2015년 장애인거주시설 중앙정부로 환원
* 보조금 부담비율 42.7%-&gt;25.5%</t>
    <phoneticPr fontId="7" type="noConversion"/>
  </si>
  <si>
    <t>* 2014년 지원기준과 동일
* 보조금 지원비율 81.7%-&gt;85%</t>
    <phoneticPr fontId="7" type="noConversion"/>
  </si>
  <si>
    <t>* 간병비, 대체인력 인건비 지원일수 30일-&gt;180일로 반영
* 보조금 지원비율 79%-&gt;80%
* 중앙환원으로 7종 생활지도원 1명 증원 -&gt;인건비 증가</t>
    <phoneticPr fontId="7" type="noConversion"/>
  </si>
  <si>
    <t>* 간병비, 대체인력 인건비 지원일수 30일-&gt;180일로 반영
* 보조금 지원비율 15%-&gt;10%
* 중앙환원으로 7종 생활지도원 1명 증원 -&gt;인건비 증가</t>
    <phoneticPr fontId="7" type="noConversion"/>
  </si>
  <si>
    <t>* 경기도공동모금회 설빔 지원 600만원 증가
* 경기도사회복지협의회 난방비 지원금 300만원 증가
* 수원시장애인체육회 재활승마 지원금 200만원 증가</t>
    <phoneticPr fontId="7" type="noConversion"/>
  </si>
  <si>
    <t>* 후원자 모집으로 월 550만원 -&gt;월 700만원 증액</t>
    <phoneticPr fontId="7" type="noConversion"/>
  </si>
  <si>
    <t>* 법인전입금 감액(연합행사)</t>
    <phoneticPr fontId="7" type="noConversion"/>
  </si>
  <si>
    <t>2015년 1차 추경 세입명세서</t>
    <phoneticPr fontId="7" type="noConversion"/>
  </si>
  <si>
    <t>2015년 1차 추경 세출명세서</t>
    <phoneticPr fontId="7" type="noConversion"/>
  </si>
  <si>
    <t>* 2015년 장애인거주시설 중앙정부로 환원
* 보조금 부담비율 0%-&gt;70%
* 중앙환원으로 조리원 1명, 사무원원 1명 신규 지원 -&gt;인건비 증가</t>
    <phoneticPr fontId="7" type="noConversion"/>
  </si>
  <si>
    <t>* 2015년 장애인거주시설 중앙정부로 환원
* 보조금 부담비율 57.3%-&gt;4.5%
* 중앙환원으로 조리원 1명, 사무원 2명 신규 지원 -&gt;인건비 증가</t>
    <phoneticPr fontId="7" type="noConversion"/>
  </si>
  <si>
    <t>* 2015년 장애인거주시설 중앙정부로 환원
* 보조금 부담비율 42.7%-&gt;25.5%
* 중앙환원으로 조리원 1명, 사무원 1명 신규 지원 -&gt;인건비 증가</t>
    <phoneticPr fontId="7" type="noConversion"/>
  </si>
  <si>
    <t>* 장애인거주시설 사업 중앙환원으로 신규직원 3명 증원-&gt;인건비 증액
* 운영비 : 조리원 1명, 사무원 1명/ 7종 생활지도원 1명 증원</t>
    <phoneticPr fontId="7" type="noConversion"/>
  </si>
  <si>
    <t>* 종사자 병가 및 출산휴가시 해당 종사자의 인건비 범위내에서 
   대체인력 활용(7종에서 지원 중단)</t>
    <phoneticPr fontId="7" type="noConversion"/>
  </si>
  <si>
    <t>* 신규 종사자 3명 증원에 따른 제수당 증액</t>
    <phoneticPr fontId="7" type="noConversion"/>
  </si>
  <si>
    <t>* 신규 종사자 3명 증원에 따른 퇴직금적립금 증액</t>
    <phoneticPr fontId="7" type="noConversion"/>
  </si>
  <si>
    <t>* 신규 종사자 3명 증원에 따른 사회보험부담금 증액</t>
    <phoneticPr fontId="7" type="noConversion"/>
  </si>
  <si>
    <t>* 신규 직원 3명 증원에 따른 후생경비 증가액 767천원
* 연합행사 140만원, 직원연찬회 404천원, 공익회식 81천원 감액</t>
    <phoneticPr fontId="7" type="noConversion"/>
  </si>
  <si>
    <t>* 변동없음</t>
    <phoneticPr fontId="7" type="noConversion"/>
  </si>
  <si>
    <t>* 공익근무요원 실습 다과비 반영</t>
    <phoneticPr fontId="7" type="noConversion"/>
  </si>
  <si>
    <t>* 직원교육 및 출장여비 감액</t>
    <phoneticPr fontId="7" type="noConversion"/>
  </si>
  <si>
    <t>* CMS관리비용 증액</t>
    <phoneticPr fontId="7" type="noConversion"/>
  </si>
  <si>
    <t>* 가정통신문, 소식지 등 우편물 발송비 증액</t>
    <phoneticPr fontId="7" type="noConversion"/>
  </si>
  <si>
    <t>* 신규 스타렉스 취득세, 탁송료 등 증액</t>
    <phoneticPr fontId="7" type="noConversion"/>
  </si>
  <si>
    <t>* 15인승 수리비 2,753천원 증액
* 유류대 120만원 증액</t>
    <phoneticPr fontId="7" type="noConversion"/>
  </si>
  <si>
    <t>* 직원 외부교육 150만원 증액
* 외부전문가 자문비 50만원 감액
* 영양사 및 조리원 교육 20만원 증액</t>
    <phoneticPr fontId="7" type="noConversion"/>
  </si>
  <si>
    <t>* 수급자 인원 23명 -&gt; 25명으로 2명 증가
* 1인당 수급비용 월 약 20만원 -&gt;23만원으로 인상 지원</t>
    <phoneticPr fontId="7" type="noConversion"/>
  </si>
  <si>
    <t>* 시설방역 60만원 반영(증액)
* 기타 수용기관경비 120만원 증액</t>
    <phoneticPr fontId="7" type="noConversion"/>
  </si>
  <si>
    <t>3.경기도공동모금회 설빔지원(피복비)</t>
    <phoneticPr fontId="7" type="noConversion"/>
  </si>
  <si>
    <t>* 경기도공동모금회 설빔지원(피복비) 600만원</t>
    <phoneticPr fontId="7" type="noConversion"/>
  </si>
  <si>
    <t>* 간병인비 지원일수 120일-&gt;180일로 증일(420만원 증가)
* 외래진료비 60만원 감액/ 특수검사비 60만원 삭감
* 의약품비 240만원 증액/ 독감에방접종 108만원 증액
* 구충제 15만원 삭감, 치료용 겔 등 306천원 감액</t>
    <phoneticPr fontId="7" type="noConversion"/>
  </si>
  <si>
    <t>* 경기도사회복지협의회 난방비 지원금 300만원(지정후원금)</t>
    <phoneticPr fontId="7" type="noConversion"/>
  </si>
  <si>
    <t>* 가정연계 25만원/ 사회적응 3,613천원/ 원내행사 96만원/ 
  일상생활 2,093천원/ 재활프로그램 15,772천원/ 지역사회 5만원
  질보장(인권 등) 270만원/ 자립활동 5,818천원/ 성교육 1,369천원 증액
* 특화사업 685만원/ 물리치료실 프로그램 5,765천원/ 기타 124만원 삭감</t>
    <phoneticPr fontId="7" type="noConversion"/>
  </si>
  <si>
    <t>* 본예산은 회계마감 전이므로 추정치임 -&gt; 1차추경 확정금액 반영</t>
    <phoneticPr fontId="7" type="noConversion"/>
  </si>
  <si>
    <t>지후</t>
    <phoneticPr fontId="7" type="noConversion"/>
  </si>
  <si>
    <t>원</t>
    <phoneticPr fontId="7" type="noConversion"/>
  </si>
  <si>
    <t>입소</t>
    <phoneticPr fontId="7" type="noConversion"/>
  </si>
  <si>
    <t>6. 체험홈 주거환경개선사업</t>
    <phoneticPr fontId="7" type="noConversion"/>
  </si>
  <si>
    <t xml:space="preserve">  - 체험홈 바닥장판 교체 작업</t>
    <phoneticPr fontId="7" type="noConversion"/>
  </si>
  <si>
    <t xml:space="preserve">  - 체험홈 LED전등교체 작업</t>
    <phoneticPr fontId="7" type="noConversion"/>
  </si>
  <si>
    <t>7.기타 시설물 관리유지비</t>
    <phoneticPr fontId="7" type="noConversion"/>
  </si>
  <si>
    <t>4. 체험홈 주거환경개선사업(붙박이장 등 가구 구입)</t>
    <phoneticPr fontId="7" type="noConversion"/>
  </si>
  <si>
    <t>5. 이용인 개인정보 보호용 금고구입</t>
    <phoneticPr fontId="7" type="noConversion"/>
  </si>
  <si>
    <t xml:space="preserve">6.기타 </t>
    <phoneticPr fontId="7" type="noConversion"/>
  </si>
  <si>
    <t>입소</t>
    <phoneticPr fontId="7" type="noConversion"/>
  </si>
  <si>
    <t>후원</t>
    <phoneticPr fontId="7" type="noConversion"/>
  </si>
  <si>
    <t>(단위:원)</t>
    <phoneticPr fontId="29" type="noConversion"/>
  </si>
  <si>
    <t>예 산 액
(단위:천원)</t>
    <phoneticPr fontId="7" type="noConversion"/>
  </si>
  <si>
    <t>* 물리치료 풋보드 20만원 감액
* 업무용 차량(12인승 스타렉스) 구입비 2,500만원 -&gt;2,320만원으로 감액
   180만원은 취등록세, 탁송료는 제세공과금으로 변경
* 체험홈 주거환경개선사업(붙박이장 등 가구 구입(7,035천원 증액)</t>
    <phoneticPr fontId="7" type="noConversion"/>
  </si>
  <si>
    <t>* 7종 환경개선사업비 700만원-&gt;500만원(200만원 감액)
* 물리치료기기 수리비 100만원-&gt;30만원(70만원 감액)
* 국비기능보강사업(수직구조대 설치) 310만원 반영(증액)
* 체험홈 주거환경개선사업(장판교체, LED전등교체) 5,577천원 증액</t>
    <phoneticPr fontId="7" type="noConversion"/>
  </si>
  <si>
    <t>예 산 액
(단위:원)</t>
    <phoneticPr fontId="7" type="noConversion"/>
  </si>
  <si>
    <t>사   무   비</t>
    <phoneticPr fontId="29" type="noConversion"/>
  </si>
  <si>
    <t>□ 2014년도 세 입 · 세 출 총 괄 결 산 서</t>
    <phoneticPr fontId="29" type="noConversion"/>
  </si>
  <si>
    <t>2014년
결산액</t>
    <phoneticPr fontId="29" type="noConversion"/>
  </si>
  <si>
    <t>2014년
예산액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</si>
</sst>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#,##0&quot;대&quot;;[Red]#,##0\ &quot;개&quot;"/>
    <numFmt numFmtId="190" formatCode="0.0%"/>
    <numFmt numFmtId="191" formatCode="&quot;×&quot;0.0%"/>
    <numFmt numFmtId="192" formatCode="#,##0;&quot;△&quot;#,##0"/>
    <numFmt numFmtId="193" formatCode="#,##0&quot;원×&quot;;\-#,##0&quot;원×&quot;"/>
    <numFmt numFmtId="194" formatCode="#,##0&quot;명×&quot;;\-#,##0"/>
    <numFmt numFmtId="195" formatCode="#,##0&quot;월=&quot;;&quot;△&quot;#,##0"/>
    <numFmt numFmtId="196" formatCode="#,##0_ ;[Red]\-#,##0\ "/>
    <numFmt numFmtId="197" formatCode="#,##0&quot;시간&quot;;[Red]#,##0"/>
    <numFmt numFmtId="198" formatCode="#,##0&quot;명&quot;;[Red]#,##0"/>
  </numFmts>
  <fonts count="5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sz val="9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15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 wrapText="1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1" fontId="14" fillId="0" borderId="0" xfId="1" applyNumberFormat="1" applyFont="1" applyFill="1" applyBorder="1" applyAlignment="1">
      <alignment vertical="center"/>
    </xf>
    <xf numFmtId="9" fontId="14" fillId="0" borderId="0" xfId="1" applyFont="1" applyFill="1" applyBorder="1" applyAlignment="1">
      <alignment horizontal="center" vertical="center"/>
    </xf>
    <xf numFmtId="41" fontId="14" fillId="0" borderId="0" xfId="2" applyNumberFormat="1" applyFont="1" applyFill="1" applyBorder="1" applyAlignment="1">
      <alignment horizontal="left" vertical="center"/>
    </xf>
    <xf numFmtId="10" fontId="14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180" fontId="23" fillId="0" borderId="0" xfId="2" applyNumberFormat="1" applyFont="1" applyFill="1" applyBorder="1" applyAlignment="1">
      <alignment horizontal="center" vertical="center"/>
    </xf>
    <xf numFmtId="178" fontId="24" fillId="0" borderId="0" xfId="0" applyNumberFormat="1" applyFont="1" applyBorder="1">
      <alignment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0" fontId="16" fillId="0" borderId="3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176" fontId="27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horizontal="right" vertical="center"/>
    </xf>
    <xf numFmtId="176" fontId="14" fillId="0" borderId="55" xfId="3" applyNumberFormat="1" applyFont="1" applyFill="1" applyBorder="1" applyAlignment="1">
      <alignment vertical="center"/>
    </xf>
    <xf numFmtId="0" fontId="14" fillId="0" borderId="54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4" xfId="3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5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horizontal="right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4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176" fontId="14" fillId="0" borderId="0" xfId="3" applyNumberFormat="1" applyFont="1" applyFill="1" applyBorder="1" applyAlignment="1">
      <alignment vertical="center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4" xfId="3" applyFont="1" applyFill="1" applyBorder="1" applyAlignment="1">
      <alignment vertical="center"/>
    </xf>
    <xf numFmtId="176" fontId="21" fillId="0" borderId="54" xfId="3" applyNumberFormat="1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7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8" fontId="27" fillId="0" borderId="27" xfId="3" applyNumberFormat="1" applyFont="1" applyFill="1" applyBorder="1" applyAlignment="1">
      <alignment vertical="center"/>
    </xf>
    <xf numFmtId="9" fontId="14" fillId="0" borderId="54" xfId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8" fontId="25" fillId="0" borderId="27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3" fillId="0" borderId="54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41" fontId="14" fillId="0" borderId="30" xfId="2" applyNumberFormat="1" applyFont="1" applyFill="1" applyBorder="1" applyAlignment="1">
      <alignment vertical="center"/>
    </xf>
    <xf numFmtId="178" fontId="27" fillId="0" borderId="30" xfId="0" applyNumberFormat="1" applyFont="1" applyBorder="1">
      <alignment vertical="center"/>
    </xf>
    <xf numFmtId="177" fontId="14" fillId="0" borderId="14" xfId="3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80" fontId="14" fillId="0" borderId="14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6" xfId="1" applyFont="1" applyFill="1" applyBorder="1" applyAlignment="1">
      <alignment vertical="center"/>
    </xf>
    <xf numFmtId="176" fontId="14" fillId="0" borderId="56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9" fontId="14" fillId="0" borderId="0" xfId="1" applyFont="1" applyFill="1" applyBorder="1" applyAlignment="1">
      <alignment horizontal="left" vertical="center"/>
    </xf>
    <xf numFmtId="185" fontId="14" fillId="0" borderId="0" xfId="3" applyNumberFormat="1" applyFont="1" applyFill="1" applyBorder="1" applyAlignment="1">
      <alignment vertical="center"/>
    </xf>
    <xf numFmtId="186" fontId="14" fillId="0" borderId="0" xfId="3" applyNumberFormat="1" applyFont="1" applyFill="1" applyBorder="1" applyAlignment="1">
      <alignment vertical="center"/>
    </xf>
    <xf numFmtId="187" fontId="14" fillId="0" borderId="0" xfId="1" applyNumberFormat="1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1" xfId="3" applyFont="1" applyFill="1" applyBorder="1" applyAlignment="1">
      <alignment vertical="center"/>
    </xf>
    <xf numFmtId="176" fontId="35" fillId="0" borderId="54" xfId="3" applyNumberFormat="1" applyFont="1" applyFill="1" applyBorder="1" applyAlignment="1">
      <alignment vertical="center"/>
    </xf>
    <xf numFmtId="0" fontId="35" fillId="0" borderId="54" xfId="3" applyFont="1" applyFill="1" applyBorder="1" applyAlignment="1">
      <alignment horizontal="center" vertical="center"/>
    </xf>
    <xf numFmtId="0" fontId="35" fillId="0" borderId="54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78" fontId="34" fillId="0" borderId="0" xfId="3" applyNumberFormat="1" applyFont="1" applyFill="1" applyBorder="1" applyAlignment="1">
      <alignment vertical="center"/>
    </xf>
    <xf numFmtId="177" fontId="34" fillId="0" borderId="0" xfId="3" applyNumberFormat="1" applyFont="1" applyFill="1" applyBorder="1" applyAlignment="1">
      <alignment vertical="center"/>
    </xf>
    <xf numFmtId="9" fontId="34" fillId="0" borderId="0" xfId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4" xfId="3" applyNumberFormat="1" applyFont="1" applyFill="1" applyBorder="1" applyAlignment="1">
      <alignment horizontal="right" vertical="center"/>
    </xf>
    <xf numFmtId="178" fontId="32" fillId="0" borderId="20" xfId="3" applyNumberFormat="1" applyFont="1" applyFill="1" applyBorder="1" applyAlignment="1">
      <alignment horizontal="center" vertical="center"/>
    </xf>
    <xf numFmtId="176" fontId="17" fillId="0" borderId="37" xfId="3" applyNumberFormat="1" applyFont="1" applyFill="1" applyBorder="1" applyAlignment="1">
      <alignment vertical="center"/>
    </xf>
    <xf numFmtId="176" fontId="35" fillId="0" borderId="55" xfId="3" applyNumberFormat="1" applyFont="1" applyFill="1" applyBorder="1" applyAlignment="1">
      <alignment vertical="center"/>
    </xf>
    <xf numFmtId="176" fontId="33" fillId="0" borderId="55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176" fontId="14" fillId="0" borderId="31" xfId="3" applyNumberFormat="1" applyFont="1" applyFill="1" applyBorder="1" applyAlignment="1">
      <alignment horizontal="right" vertical="center"/>
    </xf>
    <xf numFmtId="0" fontId="14" fillId="0" borderId="17" xfId="3" applyFont="1" applyFill="1" applyBorder="1" applyAlignment="1">
      <alignment vertical="center" wrapText="1"/>
    </xf>
    <xf numFmtId="0" fontId="34" fillId="0" borderId="55" xfId="3" applyFont="1" applyFill="1" applyBorder="1" applyAlignment="1">
      <alignment vertical="center" wrapText="1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6" fillId="0" borderId="39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6" fillId="0" borderId="13" xfId="3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89" fontId="14" fillId="0" borderId="0" xfId="3" applyNumberFormat="1" applyFont="1" applyFill="1" applyBorder="1" applyAlignment="1">
      <alignment horizontal="center" vertical="center"/>
    </xf>
    <xf numFmtId="176" fontId="16" fillId="0" borderId="54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90" fontId="14" fillId="0" borderId="0" xfId="1" applyNumberFormat="1" applyFont="1" applyFill="1" applyBorder="1" applyAlignment="1">
      <alignment horizontal="center" vertical="center"/>
    </xf>
    <xf numFmtId="191" fontId="14" fillId="0" borderId="0" xfId="1" applyNumberFormat="1" applyFont="1" applyFill="1" applyBorder="1" applyAlignment="1">
      <alignment horizontal="center" vertical="center"/>
    </xf>
    <xf numFmtId="9" fontId="14" fillId="0" borderId="33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0" fontId="25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3" fontId="0" fillId="0" borderId="63" xfId="0" applyNumberFormat="1" applyFill="1" applyBorder="1" applyAlignment="1">
      <alignment vertical="center"/>
    </xf>
    <xf numFmtId="194" fontId="0" fillId="0" borderId="64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2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2" fontId="36" fillId="0" borderId="26" xfId="0" applyNumberFormat="1" applyFont="1" applyFill="1" applyBorder="1" applyAlignment="1">
      <alignment vertical="center"/>
    </xf>
    <xf numFmtId="192" fontId="0" fillId="0" borderId="53" xfId="0" applyNumberFormat="1" applyFill="1" applyBorder="1" applyAlignment="1">
      <alignment vertical="center"/>
    </xf>
    <xf numFmtId="192" fontId="0" fillId="0" borderId="68" xfId="0" applyNumberFormat="1" applyFill="1" applyBorder="1" applyAlignment="1">
      <alignment vertical="center"/>
    </xf>
    <xf numFmtId="192" fontId="0" fillId="0" borderId="42" xfId="0" applyNumberFormat="1" applyFill="1" applyBorder="1" applyAlignment="1">
      <alignment vertical="center"/>
    </xf>
    <xf numFmtId="41" fontId="36" fillId="0" borderId="32" xfId="0" applyNumberFormat="1" applyFont="1" applyFill="1" applyBorder="1" applyAlignment="1">
      <alignment horizontal="center" vertical="center"/>
    </xf>
    <xf numFmtId="41" fontId="36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2" fontId="0" fillId="0" borderId="64" xfId="0" applyNumberFormat="1" applyFill="1" applyBorder="1" applyAlignment="1">
      <alignment vertical="center"/>
    </xf>
    <xf numFmtId="0" fontId="36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2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2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7" fillId="0" borderId="33" xfId="3" applyFont="1" applyFill="1" applyBorder="1" applyAlignment="1">
      <alignment horizontal="left" vertical="center"/>
    </xf>
    <xf numFmtId="0" fontId="27" fillId="0" borderId="33" xfId="3" applyFont="1" applyFill="1" applyBorder="1" applyAlignment="1">
      <alignment vertical="center"/>
    </xf>
    <xf numFmtId="0" fontId="27" fillId="0" borderId="36" xfId="3" applyFont="1" applyFill="1" applyBorder="1" applyAlignment="1">
      <alignment vertical="center"/>
    </xf>
    <xf numFmtId="0" fontId="27" fillId="0" borderId="41" xfId="3" applyFont="1" applyFill="1" applyBorder="1" applyAlignment="1">
      <alignment vertical="center"/>
    </xf>
    <xf numFmtId="0" fontId="27" fillId="0" borderId="34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96" fontId="17" fillId="0" borderId="2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186" fontId="27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horizontal="center" vertical="center"/>
    </xf>
    <xf numFmtId="176" fontId="34" fillId="0" borderId="14" xfId="3" applyNumberFormat="1" applyFont="1" applyFill="1" applyBorder="1" applyAlignment="1">
      <alignment horizontal="right" vertical="center"/>
    </xf>
    <xf numFmtId="176" fontId="34" fillId="0" borderId="37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176" fontId="38" fillId="0" borderId="54" xfId="3" applyNumberFormat="1" applyFont="1" applyFill="1" applyBorder="1" applyAlignment="1">
      <alignment vertical="center"/>
    </xf>
    <xf numFmtId="176" fontId="38" fillId="0" borderId="54" xfId="3" applyNumberFormat="1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4" xfId="3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176" fontId="35" fillId="0" borderId="45" xfId="3" applyNumberFormat="1" applyFont="1" applyFill="1" applyBorder="1" applyAlignment="1">
      <alignment vertical="center"/>
    </xf>
    <xf numFmtId="41" fontId="33" fillId="0" borderId="27" xfId="0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1" fillId="0" borderId="20" xfId="3" applyFont="1" applyFill="1" applyBorder="1" applyAlignment="1">
      <alignment horizontal="center" vertical="center" wrapText="1"/>
    </xf>
    <xf numFmtId="176" fontId="41" fillId="0" borderId="20" xfId="0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9" fontId="41" fillId="0" borderId="20" xfId="1" applyFont="1" applyFill="1" applyBorder="1" applyAlignment="1">
      <alignment horizontal="center" vertical="center"/>
    </xf>
    <xf numFmtId="0" fontId="42" fillId="0" borderId="54" xfId="3" applyFont="1" applyFill="1" applyBorder="1" applyAlignment="1">
      <alignment vertical="center"/>
    </xf>
    <xf numFmtId="176" fontId="42" fillId="0" borderId="54" xfId="3" applyNumberFormat="1" applyFont="1" applyFill="1" applyBorder="1" applyAlignment="1">
      <alignment vertical="center"/>
    </xf>
    <xf numFmtId="176" fontId="42" fillId="0" borderId="55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3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4" fillId="0" borderId="14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176" fontId="44" fillId="0" borderId="54" xfId="3" applyNumberFormat="1" applyFont="1" applyFill="1" applyBorder="1" applyAlignment="1">
      <alignment vertical="center"/>
    </xf>
    <xf numFmtId="176" fontId="44" fillId="0" borderId="54" xfId="3" applyNumberFormat="1" applyFont="1" applyFill="1" applyBorder="1" applyAlignment="1">
      <alignment horizontal="right" vertical="center"/>
    </xf>
    <xf numFmtId="176" fontId="44" fillId="0" borderId="55" xfId="3" applyNumberFormat="1" applyFont="1" applyFill="1" applyBorder="1" applyAlignment="1">
      <alignment vertical="center"/>
    </xf>
    <xf numFmtId="0" fontId="25" fillId="0" borderId="3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vertical="center"/>
    </xf>
    <xf numFmtId="0" fontId="44" fillId="0" borderId="41" xfId="3" applyFont="1" applyFill="1" applyBorder="1" applyAlignment="1">
      <alignment vertical="center"/>
    </xf>
    <xf numFmtId="0" fontId="44" fillId="0" borderId="30" xfId="3" applyFont="1" applyFill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5" fillId="0" borderId="36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7" xfId="3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2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20" xfId="0" applyFont="1" applyFill="1" applyBorder="1" applyAlignment="1">
      <alignment vertical="center"/>
    </xf>
    <xf numFmtId="41" fontId="46" fillId="4" borderId="20" xfId="2" applyFont="1" applyFill="1" applyBorder="1" applyAlignment="1">
      <alignment vertical="center"/>
    </xf>
    <xf numFmtId="41" fontId="46" fillId="0" borderId="20" xfId="2" applyFont="1" applyFill="1" applyBorder="1" applyAlignment="1">
      <alignment vertical="center"/>
    </xf>
    <xf numFmtId="9" fontId="46" fillId="0" borderId="20" xfId="1" applyFont="1" applyFill="1" applyBorder="1" applyAlignment="1">
      <alignment vertical="center"/>
    </xf>
    <xf numFmtId="41" fontId="46" fillId="2" borderId="20" xfId="2" applyFont="1" applyFill="1" applyBorder="1" applyAlignment="1">
      <alignment vertical="center"/>
    </xf>
    <xf numFmtId="190" fontId="46" fillId="0" borderId="20" xfId="1" applyNumberFormat="1" applyFont="1" applyFill="1" applyBorder="1" applyAlignment="1">
      <alignment vertical="center"/>
    </xf>
    <xf numFmtId="176" fontId="46" fillId="0" borderId="41" xfId="3" applyNumberFormat="1" applyFont="1" applyFill="1" applyBorder="1" applyAlignment="1">
      <alignment horizontal="center" vertical="center"/>
    </xf>
    <xf numFmtId="176" fontId="46" fillId="0" borderId="54" xfId="3" applyNumberFormat="1" applyFont="1" applyFill="1" applyBorder="1" applyAlignment="1">
      <alignment vertical="center"/>
    </xf>
    <xf numFmtId="0" fontId="46" fillId="0" borderId="54" xfId="3" applyFont="1" applyFill="1" applyBorder="1" applyAlignment="1">
      <alignment horizontal="center" vertical="center"/>
    </xf>
    <xf numFmtId="176" fontId="22" fillId="0" borderId="54" xfId="3" applyNumberFormat="1" applyFont="1" applyFill="1" applyBorder="1" applyAlignment="1">
      <alignment vertical="center"/>
    </xf>
    <xf numFmtId="176" fontId="46" fillId="0" borderId="19" xfId="3" applyNumberFormat="1" applyFont="1" applyFill="1" applyBorder="1" applyAlignment="1">
      <alignment vertical="center"/>
    </xf>
    <xf numFmtId="176" fontId="43" fillId="0" borderId="41" xfId="3" applyNumberFormat="1" applyFont="1" applyFill="1" applyBorder="1" applyAlignment="1">
      <alignment horizontal="center" vertical="center"/>
    </xf>
    <xf numFmtId="176" fontId="43" fillId="0" borderId="54" xfId="3" applyNumberFormat="1" applyFont="1" applyFill="1" applyBorder="1" applyAlignment="1">
      <alignment vertical="center"/>
    </xf>
    <xf numFmtId="0" fontId="43" fillId="0" borderId="54" xfId="3" applyFont="1" applyFill="1" applyBorder="1" applyAlignment="1">
      <alignment horizontal="center" vertical="center"/>
    </xf>
    <xf numFmtId="176" fontId="43" fillId="0" borderId="19" xfId="3" applyNumberFormat="1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center" vertical="center"/>
    </xf>
    <xf numFmtId="42" fontId="22" fillId="0" borderId="54" xfId="3" applyNumberFormat="1" applyFont="1" applyFill="1" applyBorder="1" applyAlignment="1">
      <alignment horizontal="left" vertical="center"/>
    </xf>
    <xf numFmtId="9" fontId="22" fillId="0" borderId="54" xfId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horizontal="left" vertical="center"/>
    </xf>
    <xf numFmtId="180" fontId="22" fillId="0" borderId="54" xfId="2" applyNumberFormat="1" applyFont="1" applyFill="1" applyBorder="1" applyAlignment="1">
      <alignment vertical="center"/>
    </xf>
    <xf numFmtId="41" fontId="22" fillId="0" borderId="54" xfId="2" applyFont="1" applyFill="1" applyBorder="1" applyAlignment="1">
      <alignment vertical="center"/>
    </xf>
    <xf numFmtId="176" fontId="22" fillId="0" borderId="19" xfId="3" applyNumberFormat="1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176" fontId="46" fillId="0" borderId="54" xfId="3" applyNumberFormat="1" applyFont="1" applyFill="1" applyBorder="1" applyAlignment="1">
      <alignment horizontal="left" vertical="center"/>
    </xf>
    <xf numFmtId="176" fontId="46" fillId="0" borderId="54" xfId="3" applyNumberFormat="1" applyFont="1" applyFill="1" applyBorder="1" applyAlignment="1">
      <alignment horizontal="center" vertical="center"/>
    </xf>
    <xf numFmtId="181" fontId="46" fillId="0" borderId="54" xfId="1" applyNumberFormat="1" applyFont="1" applyFill="1" applyBorder="1" applyAlignment="1">
      <alignment vertical="center"/>
    </xf>
    <xf numFmtId="42" fontId="46" fillId="0" borderId="54" xfId="3" applyNumberFormat="1" applyFont="1" applyFill="1" applyBorder="1" applyAlignment="1">
      <alignment horizontal="left" vertical="center"/>
    </xf>
    <xf numFmtId="42" fontId="46" fillId="0" borderId="54" xfId="3" applyNumberFormat="1" applyFont="1" applyFill="1" applyBorder="1" applyAlignment="1">
      <alignment horizontal="center" vertical="center"/>
    </xf>
    <xf numFmtId="9" fontId="46" fillId="0" borderId="54" xfId="1" applyFont="1" applyFill="1" applyBorder="1" applyAlignment="1">
      <alignment horizontal="center" vertical="center"/>
    </xf>
    <xf numFmtId="183" fontId="46" fillId="0" borderId="54" xfId="1" applyNumberFormat="1" applyFont="1" applyFill="1" applyBorder="1" applyAlignment="1">
      <alignment horizontal="center" vertical="center"/>
    </xf>
    <xf numFmtId="178" fontId="22" fillId="0" borderId="19" xfId="0" applyNumberFormat="1" applyFont="1" applyBorder="1">
      <alignment vertical="center"/>
    </xf>
    <xf numFmtId="184" fontId="46" fillId="0" borderId="54" xfId="1" applyNumberFormat="1" applyFont="1" applyFill="1" applyBorder="1" applyAlignment="1">
      <alignment horizontal="center" vertical="center"/>
    </xf>
    <xf numFmtId="10" fontId="46" fillId="0" borderId="54" xfId="1" applyNumberFormat="1" applyFont="1" applyFill="1" applyBorder="1" applyAlignment="1">
      <alignment horizontal="center" vertical="center"/>
    </xf>
    <xf numFmtId="42" fontId="24" fillId="0" borderId="54" xfId="3" applyNumberFormat="1" applyFont="1" applyFill="1" applyBorder="1" applyAlignment="1">
      <alignment horizontal="center" vertical="center"/>
    </xf>
    <xf numFmtId="178" fontId="24" fillId="0" borderId="19" xfId="0" applyNumberFormat="1" applyFont="1" applyBorder="1">
      <alignment vertical="center"/>
    </xf>
    <xf numFmtId="188" fontId="46" fillId="0" borderId="54" xfId="1" applyNumberFormat="1" applyFont="1" applyFill="1" applyBorder="1" applyAlignment="1">
      <alignment horizontal="center" vertical="center"/>
    </xf>
    <xf numFmtId="190" fontId="46" fillId="0" borderId="54" xfId="1" applyNumberFormat="1" applyFont="1" applyFill="1" applyBorder="1" applyAlignment="1">
      <alignment horizontal="center" vertical="center"/>
    </xf>
    <xf numFmtId="0" fontId="43" fillId="0" borderId="54" xfId="3" applyFont="1" applyFill="1" applyBorder="1" applyAlignment="1">
      <alignment vertical="center"/>
    </xf>
    <xf numFmtId="0" fontId="46" fillId="0" borderId="54" xfId="3" applyFont="1" applyFill="1" applyBorder="1" applyAlignment="1">
      <alignment vertical="center"/>
    </xf>
    <xf numFmtId="178" fontId="43" fillId="0" borderId="54" xfId="0" applyNumberFormat="1" applyFont="1" applyBorder="1">
      <alignment vertical="center"/>
    </xf>
    <xf numFmtId="178" fontId="43" fillId="0" borderId="19" xfId="0" applyNumberFormat="1" applyFont="1" applyBorder="1">
      <alignment vertical="center"/>
    </xf>
    <xf numFmtId="0" fontId="46" fillId="3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 wrapText="1"/>
    </xf>
    <xf numFmtId="41" fontId="47" fillId="6" borderId="20" xfId="0" applyNumberFormat="1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54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vertical="center" wrapText="1"/>
    </xf>
    <xf numFmtId="0" fontId="22" fillId="0" borderId="54" xfId="3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center" vertical="center"/>
    </xf>
    <xf numFmtId="42" fontId="43" fillId="0" borderId="54" xfId="3" applyNumberFormat="1" applyFont="1" applyFill="1" applyBorder="1" applyAlignment="1">
      <alignment horizontal="center" vertical="center"/>
    </xf>
    <xf numFmtId="178" fontId="43" fillId="0" borderId="54" xfId="3" applyNumberFormat="1" applyFont="1" applyFill="1" applyBorder="1" applyAlignment="1">
      <alignment horizontal="center" vertical="center"/>
    </xf>
    <xf numFmtId="180" fontId="43" fillId="0" borderId="54" xfId="2" applyNumberFormat="1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0" fontId="25" fillId="0" borderId="41" xfId="3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horizontal="right" vertical="center"/>
    </xf>
    <xf numFmtId="177" fontId="25" fillId="0" borderId="30" xfId="3" applyNumberFormat="1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vertical="center"/>
    </xf>
    <xf numFmtId="42" fontId="25" fillId="0" borderId="30" xfId="3" applyNumberFormat="1" applyFont="1" applyFill="1" applyBorder="1" applyAlignment="1">
      <alignment horizontal="left" vertical="center"/>
    </xf>
    <xf numFmtId="176" fontId="25" fillId="0" borderId="30" xfId="3" applyNumberFormat="1" applyFont="1" applyFill="1" applyBorder="1" applyAlignment="1">
      <alignment horizontal="left" vertical="center"/>
    </xf>
    <xf numFmtId="180" fontId="25" fillId="0" borderId="30" xfId="2" applyNumberFormat="1" applyFont="1" applyFill="1" applyBorder="1" applyAlignment="1">
      <alignment vertical="center"/>
    </xf>
    <xf numFmtId="41" fontId="25" fillId="0" borderId="30" xfId="2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horizontal="center" vertical="center"/>
    </xf>
    <xf numFmtId="9" fontId="25" fillId="0" borderId="54" xfId="1" applyFont="1" applyFill="1" applyBorder="1" applyAlignment="1">
      <alignment vertical="center"/>
    </xf>
    <xf numFmtId="176" fontId="25" fillId="0" borderId="54" xfId="3" applyNumberFormat="1" applyFont="1" applyFill="1" applyBorder="1" applyAlignment="1">
      <alignment horizontal="right" vertical="center"/>
    </xf>
    <xf numFmtId="176" fontId="25" fillId="0" borderId="55" xfId="3" applyNumberFormat="1" applyFont="1" applyFill="1" applyBorder="1" applyAlignment="1">
      <alignment vertical="center"/>
    </xf>
    <xf numFmtId="177" fontId="25" fillId="0" borderId="0" xfId="3" applyNumberFormat="1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90" fontId="25" fillId="0" borderId="0" xfId="1" applyNumberFormat="1" applyFont="1" applyFill="1" applyBorder="1" applyAlignment="1">
      <alignment horizontal="center" vertical="center"/>
    </xf>
    <xf numFmtId="9" fontId="25" fillId="0" borderId="0" xfId="1" applyFont="1" applyFill="1" applyBorder="1" applyAlignment="1">
      <alignment horizontal="left" vertical="center"/>
    </xf>
    <xf numFmtId="9" fontId="25" fillId="0" borderId="0" xfId="1" applyFont="1" applyFill="1" applyBorder="1" applyAlignment="1">
      <alignment horizontal="right" vertical="center"/>
    </xf>
    <xf numFmtId="180" fontId="25" fillId="0" borderId="0" xfId="2" applyNumberFormat="1" applyFont="1" applyFill="1" applyBorder="1" applyAlignment="1">
      <alignment vertical="center"/>
    </xf>
    <xf numFmtId="41" fontId="25" fillId="0" borderId="0" xfId="2" applyFont="1" applyFill="1" applyBorder="1" applyAlignment="1">
      <alignment vertical="center"/>
    </xf>
    <xf numFmtId="9" fontId="25" fillId="0" borderId="14" xfId="1" applyFont="1" applyFill="1" applyBorder="1" applyAlignment="1">
      <alignment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horizontal="center" vertical="center"/>
    </xf>
    <xf numFmtId="176" fontId="49" fillId="0" borderId="5" xfId="3" applyNumberFormat="1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3" fontId="34" fillId="0" borderId="14" xfId="0" applyNumberFormat="1" applyFont="1" applyFill="1" applyBorder="1" applyAlignment="1">
      <alignment vertical="center"/>
    </xf>
    <xf numFmtId="176" fontId="49" fillId="0" borderId="37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right"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8" fontId="25" fillId="0" borderId="0" xfId="1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76" fontId="27" fillId="0" borderId="31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left" vertical="center" wrapText="1"/>
    </xf>
    <xf numFmtId="0" fontId="27" fillId="0" borderId="14" xfId="3" applyFont="1" applyFill="1" applyBorder="1" applyAlignment="1">
      <alignment horizontal="center" vertical="center"/>
    </xf>
    <xf numFmtId="176" fontId="27" fillId="0" borderId="37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176" fontId="40" fillId="0" borderId="5" xfId="3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176" fontId="27" fillId="0" borderId="0" xfId="4" applyNumberFormat="1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78" fontId="27" fillId="0" borderId="0" xfId="0" applyNumberFormat="1" applyFont="1" applyFill="1" applyAlignment="1">
      <alignment horizontal="right"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178" fontId="27" fillId="0" borderId="0" xfId="3" applyNumberFormat="1" applyFont="1" applyFill="1" applyBorder="1" applyAlignment="1">
      <alignment horizontal="right" vertical="center"/>
    </xf>
    <xf numFmtId="197" fontId="27" fillId="0" borderId="0" xfId="3" applyNumberFormat="1" applyFont="1" applyFill="1" applyBorder="1" applyAlignment="1">
      <alignment vertical="center"/>
    </xf>
    <xf numFmtId="198" fontId="27" fillId="0" borderId="0" xfId="3" applyNumberFormat="1" applyFont="1" applyFill="1" applyBorder="1" applyAlignment="1">
      <alignment vertical="center"/>
    </xf>
    <xf numFmtId="176" fontId="38" fillId="0" borderId="5" xfId="3" applyNumberFormat="1" applyFont="1" applyFill="1" applyBorder="1" applyAlignment="1">
      <alignment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9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52" fillId="0" borderId="11" xfId="8" applyFont="1" applyBorder="1" applyAlignment="1">
      <alignment vertical="center"/>
    </xf>
    <xf numFmtId="182" fontId="52" fillId="0" borderId="36" xfId="8" applyNumberFormat="1" applyFont="1" applyBorder="1" applyAlignment="1">
      <alignment vertical="center"/>
    </xf>
    <xf numFmtId="182" fontId="52" fillId="0" borderId="12" xfId="8" applyNumberFormat="1" applyFont="1" applyBorder="1" applyAlignment="1">
      <alignment vertical="center"/>
    </xf>
    <xf numFmtId="0" fontId="53" fillId="0" borderId="11" xfId="7" applyFont="1" applyBorder="1" applyAlignment="1">
      <alignment horizontal="center" vertical="center"/>
    </xf>
    <xf numFmtId="41" fontId="54" fillId="0" borderId="11" xfId="8" applyFont="1" applyBorder="1" applyAlignment="1">
      <alignment vertical="center"/>
    </xf>
    <xf numFmtId="182" fontId="54" fillId="0" borderId="36" xfId="8" applyNumberFormat="1" applyFont="1" applyBorder="1" applyAlignment="1">
      <alignment vertical="center"/>
    </xf>
    <xf numFmtId="0" fontId="53" fillId="0" borderId="20" xfId="7" applyFont="1" applyBorder="1" applyAlignment="1">
      <alignment horizontal="center" vertical="center"/>
    </xf>
    <xf numFmtId="41" fontId="54" fillId="0" borderId="20" xfId="8" applyFont="1" applyBorder="1">
      <alignment vertical="center"/>
    </xf>
    <xf numFmtId="182" fontId="54" fillId="0" borderId="41" xfId="8" applyNumberFormat="1" applyFont="1" applyBorder="1">
      <alignment vertical="center"/>
    </xf>
    <xf numFmtId="182" fontId="54" fillId="0" borderId="12" xfId="8" applyNumberFormat="1" applyFont="1" applyBorder="1" applyAlignment="1">
      <alignment vertical="center"/>
    </xf>
    <xf numFmtId="182" fontId="54" fillId="0" borderId="18" xfId="8" applyNumberFormat="1" applyFont="1" applyBorder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71" xfId="0" applyFill="1" applyBorder="1" applyAlignment="1">
      <alignment vertical="center"/>
    </xf>
    <xf numFmtId="38" fontId="25" fillId="0" borderId="27" xfId="3" applyNumberFormat="1" applyFont="1" applyFill="1" applyBorder="1" applyAlignment="1">
      <alignment vertical="center"/>
    </xf>
    <xf numFmtId="0" fontId="4" fillId="0" borderId="52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51" fillId="0" borderId="17" xfId="7" applyFont="1" applyBorder="1" applyAlignment="1">
      <alignment horizontal="center" vertical="center"/>
    </xf>
    <xf numFmtId="0" fontId="51" fillId="0" borderId="11" xfId="7" applyFont="1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31" fillId="0" borderId="43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9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31" fillId="0" borderId="51" xfId="7" applyFont="1" applyBorder="1" applyAlignment="1">
      <alignment horizontal="center" vertical="center"/>
    </xf>
    <xf numFmtId="0" fontId="1" fillId="0" borderId="2" xfId="7" applyFont="1" applyBorder="1" applyAlignment="1">
      <alignment horizontal="center" vertical="center"/>
    </xf>
    <xf numFmtId="176" fontId="14" fillId="0" borderId="54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0" fontId="34" fillId="0" borderId="41" xfId="3" applyFont="1" applyFill="1" applyBorder="1" applyAlignment="1">
      <alignment horizontal="center" vertical="center" wrapText="1"/>
    </xf>
    <xf numFmtId="0" fontId="34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47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0" fontId="16" fillId="0" borderId="54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 wrapText="1"/>
    </xf>
    <xf numFmtId="0" fontId="33" fillId="0" borderId="33" xfId="3" applyFont="1" applyFill="1" applyBorder="1" applyAlignment="1">
      <alignment horizontal="center" vertical="center" wrapText="1"/>
    </xf>
    <xf numFmtId="0" fontId="33" fillId="0" borderId="26" xfId="3" applyFont="1" applyFill="1" applyBorder="1" applyAlignment="1">
      <alignment horizontal="center" vertical="center" wrapText="1"/>
    </xf>
    <xf numFmtId="0" fontId="35" fillId="0" borderId="43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29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3" xfId="3" applyNumberFormat="1" applyFont="1" applyFill="1" applyBorder="1" applyAlignment="1">
      <alignment horizontal="center" vertical="center" wrapText="1"/>
    </xf>
    <xf numFmtId="0" fontId="25" fillId="0" borderId="33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3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/>
    </xf>
    <xf numFmtId="0" fontId="47" fillId="6" borderId="19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A4" zoomScale="85" zoomScaleNormal="85" workbookViewId="0">
      <selection activeCell="H25" sqref="H25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998</v>
      </c>
      <c r="K2" s="221" t="s">
        <v>992</v>
      </c>
    </row>
    <row r="3" spans="2:11" ht="9.9499999999999993" customHeight="1" thickBot="1"/>
    <row r="4" spans="2:11" ht="30" customHeight="1">
      <c r="B4" s="727" t="s">
        <v>191</v>
      </c>
      <c r="C4" s="728"/>
      <c r="D4" s="728"/>
      <c r="E4" s="728"/>
      <c r="F4" s="729"/>
      <c r="G4" s="727" t="s">
        <v>192</v>
      </c>
      <c r="H4" s="728"/>
      <c r="I4" s="728"/>
      <c r="J4" s="728"/>
      <c r="K4" s="730"/>
    </row>
    <row r="5" spans="2:11" ht="16.5" customHeight="1">
      <c r="B5" s="731" t="s">
        <v>193</v>
      </c>
      <c r="C5" s="732"/>
      <c r="D5" s="735" t="str">
        <f>'몬띠의 집'!D5:D6</f>
        <v>2014년
예산액</v>
      </c>
      <c r="E5" s="735" t="str">
        <f>'몬띠의 집'!E5:E6</f>
        <v>2014년
결산액</v>
      </c>
      <c r="F5" s="737" t="s">
        <v>194</v>
      </c>
      <c r="G5" s="731" t="s">
        <v>193</v>
      </c>
      <c r="H5" s="732"/>
      <c r="I5" s="735" t="str">
        <f>'몬띠의 집'!I5:I6</f>
        <v>2014년
예산액</v>
      </c>
      <c r="J5" s="735" t="str">
        <f>'몬띠의 집'!J5:J6</f>
        <v>2014년
결산액</v>
      </c>
      <c r="K5" s="739" t="s">
        <v>194</v>
      </c>
    </row>
    <row r="6" spans="2:11" ht="22.5" customHeight="1" thickBot="1">
      <c r="B6" s="733"/>
      <c r="C6" s="734"/>
      <c r="D6" s="736"/>
      <c r="E6" s="736"/>
      <c r="F6" s="738"/>
      <c r="G6" s="733"/>
      <c r="H6" s="734"/>
      <c r="I6" s="736"/>
      <c r="J6" s="736"/>
      <c r="K6" s="740"/>
    </row>
    <row r="7" spans="2:11" ht="24.95" customHeight="1" thickTop="1">
      <c r="B7" s="724" t="s">
        <v>195</v>
      </c>
      <c r="C7" s="725"/>
      <c r="D7" s="699">
        <f>SUM(D8:D22)/2</f>
        <v>60858867</v>
      </c>
      <c r="E7" s="699">
        <f>SUM(E8:E22)/2</f>
        <v>62175235</v>
      </c>
      <c r="F7" s="700">
        <f>SUM(F8:F22)/2</f>
        <v>1316368</v>
      </c>
      <c r="G7" s="724" t="s">
        <v>195</v>
      </c>
      <c r="H7" s="725"/>
      <c r="I7" s="699">
        <f>SUM(I8:I28)/2</f>
        <v>60858867</v>
      </c>
      <c r="J7" s="699">
        <f>SUM(J8:J28)/2</f>
        <v>54704209</v>
      </c>
      <c r="K7" s="701">
        <f>SUM(K8:K28)/2</f>
        <v>-6154658</v>
      </c>
    </row>
    <row r="8" spans="2:11" ht="24.95" customHeight="1">
      <c r="B8" s="721" t="s">
        <v>196</v>
      </c>
      <c r="C8" s="702" t="s">
        <v>934</v>
      </c>
      <c r="D8" s="703">
        <f>D9</f>
        <v>6450000</v>
      </c>
      <c r="E8" s="703">
        <f>E9</f>
        <v>7200000</v>
      </c>
      <c r="F8" s="704">
        <f>F9</f>
        <v>750000</v>
      </c>
      <c r="G8" s="721" t="s">
        <v>198</v>
      </c>
      <c r="H8" s="702" t="s">
        <v>934</v>
      </c>
      <c r="I8" s="703">
        <f>SUM(I9:I11)</f>
        <v>41064630</v>
      </c>
      <c r="J8" s="703">
        <f>SUM(J9:J11)</f>
        <v>41073210</v>
      </c>
      <c r="K8" s="708">
        <f>SUM(K9:K11)</f>
        <v>8580</v>
      </c>
    </row>
    <row r="9" spans="2:11" ht="24.95" customHeight="1">
      <c r="B9" s="722"/>
      <c r="C9" s="222" t="s">
        <v>197</v>
      </c>
      <c r="D9" s="223">
        <v>6450000</v>
      </c>
      <c r="E9" s="223">
        <v>7200000</v>
      </c>
      <c r="F9" s="224">
        <f>E9-D9</f>
        <v>750000</v>
      </c>
      <c r="G9" s="726"/>
      <c r="H9" s="222" t="s">
        <v>199</v>
      </c>
      <c r="I9" s="223">
        <v>35060130</v>
      </c>
      <c r="J9" s="223">
        <v>35226260</v>
      </c>
      <c r="K9" s="225">
        <f>J9-I9</f>
        <v>166130</v>
      </c>
    </row>
    <row r="10" spans="2:11" ht="24.95" customHeight="1">
      <c r="B10" s="721" t="s">
        <v>200</v>
      </c>
      <c r="C10" s="705" t="s">
        <v>934</v>
      </c>
      <c r="D10" s="706">
        <f>SUM(D11:D13)</f>
        <v>49525000</v>
      </c>
      <c r="E10" s="706">
        <f>SUM(E11:E13)</f>
        <v>49525000</v>
      </c>
      <c r="F10" s="707">
        <f>SUM(F11:F13)</f>
        <v>0</v>
      </c>
      <c r="G10" s="726"/>
      <c r="H10" s="222" t="s">
        <v>201</v>
      </c>
      <c r="I10" s="223">
        <v>20000</v>
      </c>
      <c r="J10" s="223">
        <v>0</v>
      </c>
      <c r="K10" s="225">
        <f t="shared" ref="K10:K11" si="0">J10-I10</f>
        <v>-20000</v>
      </c>
    </row>
    <row r="11" spans="2:11" ht="24.95" customHeight="1">
      <c r="B11" s="726"/>
      <c r="C11" s="346" t="s">
        <v>402</v>
      </c>
      <c r="D11" s="223">
        <v>0</v>
      </c>
      <c r="E11" s="223">
        <v>0</v>
      </c>
      <c r="F11" s="224">
        <f t="shared" ref="F11:F22" si="1">E11-D11</f>
        <v>0</v>
      </c>
      <c r="G11" s="722"/>
      <c r="H11" s="222" t="s">
        <v>109</v>
      </c>
      <c r="I11" s="223">
        <v>5984500</v>
      </c>
      <c r="J11" s="223">
        <v>5846950</v>
      </c>
      <c r="K11" s="225">
        <f t="shared" si="0"/>
        <v>-137550</v>
      </c>
    </row>
    <row r="12" spans="2:11" ht="24.95" customHeight="1">
      <c r="B12" s="726"/>
      <c r="C12" s="346" t="s">
        <v>403</v>
      </c>
      <c r="D12" s="223">
        <v>3325000</v>
      </c>
      <c r="E12" s="223">
        <v>4873120</v>
      </c>
      <c r="F12" s="224">
        <f t="shared" si="1"/>
        <v>1548120</v>
      </c>
      <c r="G12" s="721" t="s">
        <v>110</v>
      </c>
      <c r="H12" s="705" t="s">
        <v>934</v>
      </c>
      <c r="I12" s="706">
        <f>SUM(I13:I15)</f>
        <v>1069900</v>
      </c>
      <c r="J12" s="706">
        <f>SUM(J13:J15)</f>
        <v>369900</v>
      </c>
      <c r="K12" s="709">
        <f>SUM(K13:K15)</f>
        <v>-700000</v>
      </c>
    </row>
    <row r="13" spans="2:11" ht="24.95" customHeight="1">
      <c r="B13" s="722"/>
      <c r="C13" s="346" t="s">
        <v>404</v>
      </c>
      <c r="D13" s="223">
        <v>46200000</v>
      </c>
      <c r="E13" s="223">
        <v>44651880</v>
      </c>
      <c r="F13" s="224">
        <f t="shared" si="1"/>
        <v>-1548120</v>
      </c>
      <c r="G13" s="726"/>
      <c r="H13" s="222" t="s">
        <v>111</v>
      </c>
      <c r="I13" s="223">
        <v>0</v>
      </c>
      <c r="J13" s="223">
        <v>0</v>
      </c>
      <c r="K13" s="225">
        <f t="shared" ref="K13:K15" si="2">J13-I13</f>
        <v>0</v>
      </c>
    </row>
    <row r="14" spans="2:11" ht="24.95" customHeight="1">
      <c r="B14" s="721" t="s">
        <v>112</v>
      </c>
      <c r="C14" s="705" t="s">
        <v>934</v>
      </c>
      <c r="D14" s="706">
        <f>SUM(D15:D16)</f>
        <v>300000</v>
      </c>
      <c r="E14" s="706">
        <f>SUM(E15:E16)</f>
        <v>800000</v>
      </c>
      <c r="F14" s="707">
        <f>SUM(F15:F16)</f>
        <v>500000</v>
      </c>
      <c r="G14" s="726"/>
      <c r="H14" s="222" t="s">
        <v>114</v>
      </c>
      <c r="I14" s="223">
        <v>1069900</v>
      </c>
      <c r="J14" s="223">
        <v>369900</v>
      </c>
      <c r="K14" s="225">
        <f t="shared" si="2"/>
        <v>-700000</v>
      </c>
    </row>
    <row r="15" spans="2:11" ht="24.95" customHeight="1">
      <c r="B15" s="726"/>
      <c r="C15" s="222" t="s">
        <v>113</v>
      </c>
      <c r="D15" s="223">
        <v>0</v>
      </c>
      <c r="E15" s="223">
        <v>0</v>
      </c>
      <c r="F15" s="224">
        <f t="shared" si="1"/>
        <v>0</v>
      </c>
      <c r="G15" s="722"/>
      <c r="H15" s="222" t="s">
        <v>116</v>
      </c>
      <c r="I15" s="223">
        <v>0</v>
      </c>
      <c r="J15" s="223">
        <v>0</v>
      </c>
      <c r="K15" s="225">
        <f t="shared" si="2"/>
        <v>0</v>
      </c>
    </row>
    <row r="16" spans="2:11" ht="24.95" customHeight="1">
      <c r="B16" s="722"/>
      <c r="C16" s="222" t="s">
        <v>115</v>
      </c>
      <c r="D16" s="223">
        <v>300000</v>
      </c>
      <c r="E16" s="223">
        <v>800000</v>
      </c>
      <c r="F16" s="224">
        <f t="shared" si="1"/>
        <v>500000</v>
      </c>
      <c r="G16" s="721" t="s">
        <v>119</v>
      </c>
      <c r="H16" s="705" t="s">
        <v>934</v>
      </c>
      <c r="I16" s="706">
        <f>SUM(I17:I22)</f>
        <v>18412127</v>
      </c>
      <c r="J16" s="706">
        <f>SUM(J17:J22)</f>
        <v>12948889</v>
      </c>
      <c r="K16" s="709">
        <f>SUM(K17:K22)</f>
        <v>-5463238</v>
      </c>
    </row>
    <row r="17" spans="2:11" ht="24.95" customHeight="1">
      <c r="B17" s="721" t="s">
        <v>117</v>
      </c>
      <c r="C17" s="705" t="s">
        <v>934</v>
      </c>
      <c r="D17" s="706">
        <f>D18</f>
        <v>1932160</v>
      </c>
      <c r="E17" s="706">
        <f>E18</f>
        <v>1917570</v>
      </c>
      <c r="F17" s="707">
        <f>F18</f>
        <v>-14590</v>
      </c>
      <c r="G17" s="726"/>
      <c r="H17" s="222" t="s">
        <v>120</v>
      </c>
      <c r="I17" s="223">
        <v>13432400</v>
      </c>
      <c r="J17" s="223">
        <v>9701510</v>
      </c>
      <c r="K17" s="225">
        <f t="shared" ref="K17:K22" si="3">J17-I17</f>
        <v>-3730890</v>
      </c>
    </row>
    <row r="18" spans="2:11" ht="24.95" customHeight="1">
      <c r="B18" s="722"/>
      <c r="C18" s="222" t="s">
        <v>118</v>
      </c>
      <c r="D18" s="223">
        <v>1932160</v>
      </c>
      <c r="E18" s="223">
        <v>1917570</v>
      </c>
      <c r="F18" s="224">
        <f t="shared" si="1"/>
        <v>-14590</v>
      </c>
      <c r="G18" s="726"/>
      <c r="H18" s="222" t="s">
        <v>123</v>
      </c>
      <c r="I18" s="223">
        <v>459084</v>
      </c>
      <c r="J18" s="223">
        <v>515600</v>
      </c>
      <c r="K18" s="225">
        <f t="shared" si="3"/>
        <v>56516</v>
      </c>
    </row>
    <row r="19" spans="2:11" ht="24.95" customHeight="1">
      <c r="B19" s="721" t="s">
        <v>121</v>
      </c>
      <c r="C19" s="705" t="s">
        <v>934</v>
      </c>
      <c r="D19" s="706">
        <f>D20</f>
        <v>2607707</v>
      </c>
      <c r="E19" s="706">
        <f>E20</f>
        <v>2720398</v>
      </c>
      <c r="F19" s="707">
        <f>F20</f>
        <v>112691</v>
      </c>
      <c r="G19" s="726"/>
      <c r="H19" s="222" t="s">
        <v>126</v>
      </c>
      <c r="I19" s="223">
        <v>1355000</v>
      </c>
      <c r="J19" s="223">
        <v>943960</v>
      </c>
      <c r="K19" s="225">
        <f t="shared" si="3"/>
        <v>-411040</v>
      </c>
    </row>
    <row r="20" spans="2:11" ht="24.95" customHeight="1">
      <c r="B20" s="722"/>
      <c r="C20" s="222" t="s">
        <v>122</v>
      </c>
      <c r="D20" s="223">
        <v>2607707</v>
      </c>
      <c r="E20" s="223">
        <v>2720398</v>
      </c>
      <c r="F20" s="224">
        <f t="shared" si="1"/>
        <v>112691</v>
      </c>
      <c r="G20" s="726"/>
      <c r="H20" s="222" t="s">
        <v>127</v>
      </c>
      <c r="I20" s="223">
        <v>192600</v>
      </c>
      <c r="J20" s="223">
        <v>266900</v>
      </c>
      <c r="K20" s="225">
        <f t="shared" si="3"/>
        <v>74300</v>
      </c>
    </row>
    <row r="21" spans="2:11" ht="24.95" customHeight="1">
      <c r="B21" s="721" t="s">
        <v>124</v>
      </c>
      <c r="C21" s="705" t="s">
        <v>934</v>
      </c>
      <c r="D21" s="706">
        <f>D22</f>
        <v>44000</v>
      </c>
      <c r="E21" s="706">
        <f>E22</f>
        <v>12267</v>
      </c>
      <c r="F21" s="707">
        <f>F22</f>
        <v>-31733</v>
      </c>
      <c r="G21" s="726"/>
      <c r="H21" s="222" t="s">
        <v>128</v>
      </c>
      <c r="I21" s="223">
        <v>129000</v>
      </c>
      <c r="J21" s="223">
        <v>57919</v>
      </c>
      <c r="K21" s="225">
        <f t="shared" si="3"/>
        <v>-71081</v>
      </c>
    </row>
    <row r="22" spans="2:11" ht="24.95" customHeight="1">
      <c r="B22" s="722"/>
      <c r="C22" s="222" t="s">
        <v>125</v>
      </c>
      <c r="D22" s="223">
        <v>44000</v>
      </c>
      <c r="E22" s="223">
        <v>12267</v>
      </c>
      <c r="F22" s="224">
        <f t="shared" si="1"/>
        <v>-31733</v>
      </c>
      <c r="G22" s="722"/>
      <c r="H22" s="222" t="s">
        <v>129</v>
      </c>
      <c r="I22" s="223">
        <v>2844043</v>
      </c>
      <c r="J22" s="223">
        <v>1463000</v>
      </c>
      <c r="K22" s="225">
        <f t="shared" si="3"/>
        <v>-1381043</v>
      </c>
    </row>
    <row r="23" spans="2:11" ht="24.95" customHeight="1">
      <c r="B23" s="713"/>
      <c r="C23" s="714"/>
      <c r="D23" s="714"/>
      <c r="E23" s="714"/>
      <c r="F23" s="714"/>
      <c r="G23" s="719" t="s">
        <v>184</v>
      </c>
      <c r="H23" s="705" t="s">
        <v>934</v>
      </c>
      <c r="I23" s="706">
        <f>I24</f>
        <v>312210</v>
      </c>
      <c r="J23" s="706">
        <f>J24</f>
        <v>312210</v>
      </c>
      <c r="K23" s="709">
        <f>K24</f>
        <v>0</v>
      </c>
    </row>
    <row r="24" spans="2:11" ht="24.95" customHeight="1">
      <c r="B24" s="715"/>
      <c r="C24" s="716"/>
      <c r="D24" s="716"/>
      <c r="E24" s="716"/>
      <c r="F24" s="716"/>
      <c r="G24" s="720"/>
      <c r="H24" s="222" t="s">
        <v>130</v>
      </c>
      <c r="I24" s="223">
        <v>312210</v>
      </c>
      <c r="J24" s="223">
        <v>312210</v>
      </c>
      <c r="K24" s="225">
        <f t="shared" ref="K24" si="4">J24-I24</f>
        <v>0</v>
      </c>
    </row>
    <row r="25" spans="2:11" ht="24.95" customHeight="1">
      <c r="B25" s="715"/>
      <c r="C25" s="716"/>
      <c r="D25" s="716"/>
      <c r="E25" s="716"/>
      <c r="F25" s="716"/>
      <c r="G25" s="721" t="s">
        <v>131</v>
      </c>
      <c r="H25" s="705" t="s">
        <v>934</v>
      </c>
      <c r="I25" s="706">
        <f>I26</f>
        <v>0</v>
      </c>
      <c r="J25" s="706">
        <f>J26</f>
        <v>0</v>
      </c>
      <c r="K25" s="709">
        <f>K26</f>
        <v>0</v>
      </c>
    </row>
    <row r="26" spans="2:11" ht="24.95" customHeight="1">
      <c r="B26" s="715"/>
      <c r="C26" s="716"/>
      <c r="D26" s="716"/>
      <c r="E26" s="716"/>
      <c r="F26" s="716"/>
      <c r="G26" s="722"/>
      <c r="H26" s="222" t="s">
        <v>132</v>
      </c>
      <c r="I26" s="223">
        <v>0</v>
      </c>
      <c r="J26" s="223">
        <v>0</v>
      </c>
      <c r="K26" s="225">
        <f t="shared" ref="K26" si="5">J26-I26</f>
        <v>0</v>
      </c>
    </row>
    <row r="27" spans="2:11" ht="24.95" customHeight="1">
      <c r="B27" s="715"/>
      <c r="C27" s="716"/>
      <c r="D27" s="716"/>
      <c r="E27" s="716"/>
      <c r="F27" s="716"/>
      <c r="G27" s="721" t="s">
        <v>133</v>
      </c>
      <c r="H27" s="705" t="s">
        <v>934</v>
      </c>
      <c r="I27" s="706">
        <f>I28</f>
        <v>0</v>
      </c>
      <c r="J27" s="706">
        <f>J28</f>
        <v>0</v>
      </c>
      <c r="K27" s="709">
        <f>K28</f>
        <v>0</v>
      </c>
    </row>
    <row r="28" spans="2:11" ht="24.95" customHeight="1" thickBot="1">
      <c r="B28" s="717"/>
      <c r="C28" s="718"/>
      <c r="D28" s="718"/>
      <c r="E28" s="718"/>
      <c r="F28" s="718"/>
      <c r="G28" s="723"/>
      <c r="H28" s="226" t="s">
        <v>134</v>
      </c>
      <c r="I28" s="227">
        <v>0</v>
      </c>
      <c r="J28" s="227">
        <v>0</v>
      </c>
      <c r="K28" s="228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zoomScale="85" zoomScaleNormal="85" workbookViewId="0">
      <selection activeCell="J15" sqref="J15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998</v>
      </c>
      <c r="K2" s="221" t="s">
        <v>992</v>
      </c>
    </row>
    <row r="3" spans="2:11" ht="9.9499999999999993" customHeight="1" thickBot="1"/>
    <row r="4" spans="2:11" ht="30" customHeight="1">
      <c r="B4" s="727" t="s">
        <v>191</v>
      </c>
      <c r="C4" s="728"/>
      <c r="D4" s="728"/>
      <c r="E4" s="728"/>
      <c r="F4" s="729"/>
      <c r="G4" s="727" t="s">
        <v>192</v>
      </c>
      <c r="H4" s="728"/>
      <c r="I4" s="728"/>
      <c r="J4" s="728"/>
      <c r="K4" s="730"/>
    </row>
    <row r="5" spans="2:11" ht="16.5" customHeight="1">
      <c r="B5" s="731" t="s">
        <v>193</v>
      </c>
      <c r="C5" s="732"/>
      <c r="D5" s="735" t="str">
        <f>'몬띠의 집'!D5:D6</f>
        <v>2014년
예산액</v>
      </c>
      <c r="E5" s="735" t="str">
        <f>'몬띠의 집'!E5:E6</f>
        <v>2014년
결산액</v>
      </c>
      <c r="F5" s="737" t="s">
        <v>194</v>
      </c>
      <c r="G5" s="731" t="s">
        <v>193</v>
      </c>
      <c r="H5" s="732"/>
      <c r="I5" s="735" t="str">
        <f>'몬띠의 집'!I5:I6</f>
        <v>2014년
예산액</v>
      </c>
      <c r="J5" s="735" t="str">
        <f>'몬띠의 집'!J5:J6</f>
        <v>2014년
결산액</v>
      </c>
      <c r="K5" s="739" t="s">
        <v>194</v>
      </c>
    </row>
    <row r="6" spans="2:11" ht="22.5" customHeight="1" thickBot="1">
      <c r="B6" s="733"/>
      <c r="C6" s="734"/>
      <c r="D6" s="736"/>
      <c r="E6" s="736"/>
      <c r="F6" s="738"/>
      <c r="G6" s="733"/>
      <c r="H6" s="734"/>
      <c r="I6" s="736"/>
      <c r="J6" s="736"/>
      <c r="K6" s="740"/>
    </row>
    <row r="7" spans="2:11" ht="24.95" customHeight="1" thickTop="1">
      <c r="B7" s="724" t="s">
        <v>195</v>
      </c>
      <c r="C7" s="725"/>
      <c r="D7" s="699">
        <f>SUM(D8:D22)/2</f>
        <v>64342919</v>
      </c>
      <c r="E7" s="699">
        <f>SUM(E8:E22)/2</f>
        <v>65175282</v>
      </c>
      <c r="F7" s="700">
        <f>SUM(F8:F22)/2</f>
        <v>832363</v>
      </c>
      <c r="G7" s="724" t="s">
        <v>195</v>
      </c>
      <c r="H7" s="725"/>
      <c r="I7" s="699">
        <f>SUM(I8:I28)/2</f>
        <v>64342919</v>
      </c>
      <c r="J7" s="699">
        <f>SUM(J8:J28)/2</f>
        <v>58352536</v>
      </c>
      <c r="K7" s="701">
        <f>SUM(K8:K28)/2</f>
        <v>-5990383</v>
      </c>
    </row>
    <row r="8" spans="2:11" ht="24.95" customHeight="1">
      <c r="B8" s="721" t="s">
        <v>196</v>
      </c>
      <c r="C8" s="702" t="s">
        <v>934</v>
      </c>
      <c r="D8" s="703">
        <f>D9</f>
        <v>11998637</v>
      </c>
      <c r="E8" s="703">
        <f>E9</f>
        <v>7200000</v>
      </c>
      <c r="F8" s="704">
        <f>F9</f>
        <v>-4798637</v>
      </c>
      <c r="G8" s="721" t="s">
        <v>198</v>
      </c>
      <c r="H8" s="702" t="s">
        <v>934</v>
      </c>
      <c r="I8" s="703">
        <f>SUM(I9:I11)</f>
        <v>41709990</v>
      </c>
      <c r="J8" s="703">
        <f>SUM(J9:J11)</f>
        <v>40511340</v>
      </c>
      <c r="K8" s="708">
        <f>SUM(K9:K11)</f>
        <v>-1198650</v>
      </c>
    </row>
    <row r="9" spans="2:11" ht="24.95" customHeight="1">
      <c r="B9" s="722"/>
      <c r="C9" s="222" t="s">
        <v>197</v>
      </c>
      <c r="D9" s="223">
        <v>11998637</v>
      </c>
      <c r="E9" s="223">
        <v>7200000</v>
      </c>
      <c r="F9" s="224">
        <f>E9-D9</f>
        <v>-4798637</v>
      </c>
      <c r="G9" s="726"/>
      <c r="H9" s="222" t="s">
        <v>199</v>
      </c>
      <c r="I9" s="223">
        <v>33758220</v>
      </c>
      <c r="J9" s="223">
        <v>34073530</v>
      </c>
      <c r="K9" s="225">
        <f>J9-I9</f>
        <v>315310</v>
      </c>
    </row>
    <row r="10" spans="2:11" ht="24.95" customHeight="1">
      <c r="B10" s="721" t="s">
        <v>200</v>
      </c>
      <c r="C10" s="705" t="s">
        <v>934</v>
      </c>
      <c r="D10" s="706">
        <f>SUM(D11:D13)</f>
        <v>49525000</v>
      </c>
      <c r="E10" s="706">
        <f>SUM(E11:E13)</f>
        <v>49525000</v>
      </c>
      <c r="F10" s="707">
        <f>SUM(F11:F13)</f>
        <v>0</v>
      </c>
      <c r="G10" s="726"/>
      <c r="H10" s="222" t="s">
        <v>201</v>
      </c>
      <c r="I10" s="223">
        <v>148510</v>
      </c>
      <c r="J10" s="223">
        <v>96600</v>
      </c>
      <c r="K10" s="225">
        <f t="shared" ref="K10:K11" si="0">J10-I10</f>
        <v>-51910</v>
      </c>
    </row>
    <row r="11" spans="2:11" ht="24.95" customHeight="1">
      <c r="B11" s="726"/>
      <c r="C11" s="346" t="s">
        <v>402</v>
      </c>
      <c r="D11" s="223">
        <v>0</v>
      </c>
      <c r="E11" s="223">
        <v>0</v>
      </c>
      <c r="F11" s="224">
        <f t="shared" ref="F11:F22" si="1">E11-D11</f>
        <v>0</v>
      </c>
      <c r="G11" s="722"/>
      <c r="H11" s="222" t="s">
        <v>109</v>
      </c>
      <c r="I11" s="223">
        <v>7803260</v>
      </c>
      <c r="J11" s="223">
        <v>6341210</v>
      </c>
      <c r="K11" s="225">
        <f t="shared" si="0"/>
        <v>-1462050</v>
      </c>
    </row>
    <row r="12" spans="2:11" ht="24.95" customHeight="1">
      <c r="B12" s="726"/>
      <c r="C12" s="346" t="s">
        <v>403</v>
      </c>
      <c r="D12" s="223">
        <v>3325000</v>
      </c>
      <c r="E12" s="223">
        <v>3599470</v>
      </c>
      <c r="F12" s="224">
        <f t="shared" si="1"/>
        <v>274470</v>
      </c>
      <c r="G12" s="721" t="s">
        <v>110</v>
      </c>
      <c r="H12" s="705" t="s">
        <v>934</v>
      </c>
      <c r="I12" s="706">
        <f>SUM(I13:I15)</f>
        <v>4079000</v>
      </c>
      <c r="J12" s="706">
        <f>SUM(J13:J15)</f>
        <v>3485950</v>
      </c>
      <c r="K12" s="709">
        <f>SUM(K13:K15)</f>
        <v>-593050</v>
      </c>
    </row>
    <row r="13" spans="2:11" ht="24.95" customHeight="1">
      <c r="B13" s="722"/>
      <c r="C13" s="346" t="s">
        <v>404</v>
      </c>
      <c r="D13" s="223">
        <v>46200000</v>
      </c>
      <c r="E13" s="223">
        <v>45925530</v>
      </c>
      <c r="F13" s="224">
        <f t="shared" si="1"/>
        <v>-274470</v>
      </c>
      <c r="G13" s="726"/>
      <c r="H13" s="222" t="s">
        <v>111</v>
      </c>
      <c r="I13" s="223">
        <v>0</v>
      </c>
      <c r="J13" s="223">
        <v>0</v>
      </c>
      <c r="K13" s="225">
        <f t="shared" ref="K13:K15" si="2">J13-I13</f>
        <v>0</v>
      </c>
    </row>
    <row r="14" spans="2:11" ht="24.95" customHeight="1">
      <c r="B14" s="721" t="s">
        <v>112</v>
      </c>
      <c r="C14" s="705" t="s">
        <v>934</v>
      </c>
      <c r="D14" s="706">
        <f>SUM(D15:D16)</f>
        <v>600155</v>
      </c>
      <c r="E14" s="706">
        <f>SUM(E15:E16)</f>
        <v>800000</v>
      </c>
      <c r="F14" s="707">
        <f>SUM(F15:F16)</f>
        <v>199845</v>
      </c>
      <c r="G14" s="726"/>
      <c r="H14" s="222" t="s">
        <v>114</v>
      </c>
      <c r="I14" s="223">
        <v>4079000</v>
      </c>
      <c r="J14" s="223">
        <v>3485950</v>
      </c>
      <c r="K14" s="225">
        <f t="shared" si="2"/>
        <v>-593050</v>
      </c>
    </row>
    <row r="15" spans="2:11" ht="24.95" customHeight="1">
      <c r="B15" s="726"/>
      <c r="C15" s="222" t="s">
        <v>113</v>
      </c>
      <c r="D15" s="223">
        <v>0</v>
      </c>
      <c r="E15" s="223">
        <v>0</v>
      </c>
      <c r="F15" s="224">
        <f t="shared" si="1"/>
        <v>0</v>
      </c>
      <c r="G15" s="722"/>
      <c r="H15" s="222" t="s">
        <v>116</v>
      </c>
      <c r="I15" s="223">
        <v>0</v>
      </c>
      <c r="J15" s="223">
        <v>0</v>
      </c>
      <c r="K15" s="225">
        <f t="shared" si="2"/>
        <v>0</v>
      </c>
    </row>
    <row r="16" spans="2:11" ht="24.95" customHeight="1">
      <c r="B16" s="722"/>
      <c r="C16" s="222" t="s">
        <v>115</v>
      </c>
      <c r="D16" s="223">
        <v>600155</v>
      </c>
      <c r="E16" s="223">
        <v>800000</v>
      </c>
      <c r="F16" s="224">
        <f t="shared" si="1"/>
        <v>199845</v>
      </c>
      <c r="G16" s="721" t="s">
        <v>119</v>
      </c>
      <c r="H16" s="705" t="s">
        <v>934</v>
      </c>
      <c r="I16" s="706">
        <f>SUM(I17:I22)</f>
        <v>18537203</v>
      </c>
      <c r="J16" s="706">
        <f>SUM(J17:J22)</f>
        <v>14348520</v>
      </c>
      <c r="K16" s="709">
        <f>SUM(K17:K22)</f>
        <v>-4188683</v>
      </c>
    </row>
    <row r="17" spans="2:11" ht="24.95" customHeight="1">
      <c r="B17" s="721" t="s">
        <v>117</v>
      </c>
      <c r="C17" s="705" t="s">
        <v>934</v>
      </c>
      <c r="D17" s="706">
        <f>D18</f>
        <v>2158561</v>
      </c>
      <c r="E17" s="706">
        <f>E18</f>
        <v>2158380</v>
      </c>
      <c r="F17" s="707">
        <f>F18</f>
        <v>-181</v>
      </c>
      <c r="G17" s="726"/>
      <c r="H17" s="222" t="s">
        <v>120</v>
      </c>
      <c r="I17" s="223">
        <v>12461060</v>
      </c>
      <c r="J17" s="223">
        <v>10109710</v>
      </c>
      <c r="K17" s="225">
        <f t="shared" ref="K17:K22" si="3">J17-I17</f>
        <v>-2351350</v>
      </c>
    </row>
    <row r="18" spans="2:11" ht="24.95" customHeight="1">
      <c r="B18" s="722"/>
      <c r="C18" s="222" t="s">
        <v>118</v>
      </c>
      <c r="D18" s="223">
        <v>2158561</v>
      </c>
      <c r="E18" s="223">
        <v>2158380</v>
      </c>
      <c r="F18" s="224">
        <f t="shared" si="1"/>
        <v>-181</v>
      </c>
      <c r="G18" s="726"/>
      <c r="H18" s="222" t="s">
        <v>123</v>
      </c>
      <c r="I18" s="223">
        <v>1272793</v>
      </c>
      <c r="J18" s="223">
        <v>568950</v>
      </c>
      <c r="K18" s="225">
        <f t="shared" si="3"/>
        <v>-703843</v>
      </c>
    </row>
    <row r="19" spans="2:11" ht="24.95" customHeight="1">
      <c r="B19" s="721" t="s">
        <v>121</v>
      </c>
      <c r="C19" s="705" t="s">
        <v>934</v>
      </c>
      <c r="D19" s="706">
        <f>D20</f>
        <v>0</v>
      </c>
      <c r="E19" s="706">
        <f>E20</f>
        <v>5111539</v>
      </c>
      <c r="F19" s="707">
        <f>F20</f>
        <v>5111539</v>
      </c>
      <c r="G19" s="726"/>
      <c r="H19" s="222" t="s">
        <v>126</v>
      </c>
      <c r="I19" s="223">
        <v>892000</v>
      </c>
      <c r="J19" s="223">
        <v>770800</v>
      </c>
      <c r="K19" s="225">
        <f t="shared" si="3"/>
        <v>-121200</v>
      </c>
    </row>
    <row r="20" spans="2:11" ht="24.95" customHeight="1">
      <c r="B20" s="722"/>
      <c r="C20" s="222" t="s">
        <v>122</v>
      </c>
      <c r="D20" s="223">
        <v>0</v>
      </c>
      <c r="E20" s="223">
        <v>5111539</v>
      </c>
      <c r="F20" s="224">
        <f t="shared" si="1"/>
        <v>5111539</v>
      </c>
      <c r="G20" s="726"/>
      <c r="H20" s="222" t="s">
        <v>127</v>
      </c>
      <c r="I20" s="223">
        <v>310000</v>
      </c>
      <c r="J20" s="223">
        <v>389900</v>
      </c>
      <c r="K20" s="225">
        <f t="shared" si="3"/>
        <v>79900</v>
      </c>
    </row>
    <row r="21" spans="2:11" ht="24.95" customHeight="1">
      <c r="B21" s="721" t="s">
        <v>124</v>
      </c>
      <c r="C21" s="705" t="s">
        <v>934</v>
      </c>
      <c r="D21" s="706">
        <f>D22</f>
        <v>60566</v>
      </c>
      <c r="E21" s="706">
        <f>E22</f>
        <v>380363</v>
      </c>
      <c r="F21" s="707">
        <f>F22</f>
        <v>319797</v>
      </c>
      <c r="G21" s="726"/>
      <c r="H21" s="222" t="s">
        <v>128</v>
      </c>
      <c r="I21" s="223">
        <v>105000</v>
      </c>
      <c r="J21" s="223">
        <v>87760</v>
      </c>
      <c r="K21" s="225">
        <f t="shared" si="3"/>
        <v>-17240</v>
      </c>
    </row>
    <row r="22" spans="2:11" ht="24.95" customHeight="1">
      <c r="B22" s="722"/>
      <c r="C22" s="222" t="s">
        <v>125</v>
      </c>
      <c r="D22" s="223">
        <v>60566</v>
      </c>
      <c r="E22" s="223">
        <v>380363</v>
      </c>
      <c r="F22" s="224">
        <f t="shared" si="1"/>
        <v>319797</v>
      </c>
      <c r="G22" s="722"/>
      <c r="H22" s="222" t="s">
        <v>129</v>
      </c>
      <c r="I22" s="223">
        <v>3496350</v>
      </c>
      <c r="J22" s="223">
        <v>2421400</v>
      </c>
      <c r="K22" s="225">
        <f t="shared" si="3"/>
        <v>-1074950</v>
      </c>
    </row>
    <row r="23" spans="2:11" ht="24.95" customHeight="1">
      <c r="B23" s="713"/>
      <c r="C23" s="714"/>
      <c r="D23" s="714"/>
      <c r="E23" s="714"/>
      <c r="F23" s="714"/>
      <c r="G23" s="719" t="s">
        <v>184</v>
      </c>
      <c r="H23" s="705" t="s">
        <v>934</v>
      </c>
      <c r="I23" s="706">
        <f>I24</f>
        <v>16726</v>
      </c>
      <c r="J23" s="706">
        <f>J24</f>
        <v>6726</v>
      </c>
      <c r="K23" s="709">
        <f>K24</f>
        <v>-10000</v>
      </c>
    </row>
    <row r="24" spans="2:11" ht="24.95" customHeight="1">
      <c r="B24" s="715"/>
      <c r="C24" s="716"/>
      <c r="D24" s="716"/>
      <c r="E24" s="716"/>
      <c r="F24" s="716"/>
      <c r="G24" s="720"/>
      <c r="H24" s="222" t="s">
        <v>130</v>
      </c>
      <c r="I24" s="223">
        <v>16726</v>
      </c>
      <c r="J24" s="223">
        <v>6726</v>
      </c>
      <c r="K24" s="225">
        <f t="shared" ref="K24" si="4">J24-I24</f>
        <v>-10000</v>
      </c>
    </row>
    <row r="25" spans="2:11" ht="24.95" customHeight="1">
      <c r="B25" s="715"/>
      <c r="C25" s="716"/>
      <c r="D25" s="716"/>
      <c r="E25" s="716"/>
      <c r="F25" s="716"/>
      <c r="G25" s="721" t="s">
        <v>131</v>
      </c>
      <c r="H25" s="705" t="s">
        <v>934</v>
      </c>
      <c r="I25" s="706">
        <f>I26</f>
        <v>0</v>
      </c>
      <c r="J25" s="706">
        <f>J26</f>
        <v>0</v>
      </c>
      <c r="K25" s="709">
        <f>K26</f>
        <v>0</v>
      </c>
    </row>
    <row r="26" spans="2:11" ht="24.95" customHeight="1">
      <c r="B26" s="715"/>
      <c r="C26" s="716"/>
      <c r="D26" s="716"/>
      <c r="E26" s="716"/>
      <c r="F26" s="716"/>
      <c r="G26" s="722"/>
      <c r="H26" s="222" t="s">
        <v>132</v>
      </c>
      <c r="I26" s="223">
        <v>0</v>
      </c>
      <c r="J26" s="223">
        <v>0</v>
      </c>
      <c r="K26" s="225">
        <f t="shared" ref="K26" si="5">J26-I26</f>
        <v>0</v>
      </c>
    </row>
    <row r="27" spans="2:11" ht="24.95" customHeight="1">
      <c r="B27" s="715"/>
      <c r="C27" s="716"/>
      <c r="D27" s="716"/>
      <c r="E27" s="716"/>
      <c r="F27" s="716"/>
      <c r="G27" s="721" t="s">
        <v>133</v>
      </c>
      <c r="H27" s="705" t="s">
        <v>934</v>
      </c>
      <c r="I27" s="706">
        <f>I28</f>
        <v>0</v>
      </c>
      <c r="J27" s="706">
        <f>J28</f>
        <v>0</v>
      </c>
      <c r="K27" s="709">
        <f>K28</f>
        <v>0</v>
      </c>
    </row>
    <row r="28" spans="2:11" ht="24.95" customHeight="1" thickBot="1">
      <c r="B28" s="717"/>
      <c r="C28" s="718"/>
      <c r="D28" s="718"/>
      <c r="E28" s="718"/>
      <c r="F28" s="718"/>
      <c r="G28" s="723"/>
      <c r="H28" s="226" t="s">
        <v>134</v>
      </c>
      <c r="I28" s="227">
        <v>0</v>
      </c>
      <c r="J28" s="227">
        <v>0</v>
      </c>
      <c r="K28" s="228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A4" zoomScale="85" zoomScaleNormal="85" workbookViewId="0">
      <selection activeCell="B23" sqref="B23:F28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998</v>
      </c>
      <c r="K2" s="221" t="s">
        <v>992</v>
      </c>
    </row>
    <row r="3" spans="2:11" ht="9.9499999999999993" customHeight="1" thickBot="1"/>
    <row r="4" spans="2:11" ht="30" customHeight="1">
      <c r="B4" s="727" t="s">
        <v>191</v>
      </c>
      <c r="C4" s="728"/>
      <c r="D4" s="728"/>
      <c r="E4" s="728"/>
      <c r="F4" s="729"/>
      <c r="G4" s="727" t="s">
        <v>192</v>
      </c>
      <c r="H4" s="728"/>
      <c r="I4" s="728"/>
      <c r="J4" s="728"/>
      <c r="K4" s="730"/>
    </row>
    <row r="5" spans="2:11" ht="16.5" customHeight="1">
      <c r="B5" s="731" t="s">
        <v>193</v>
      </c>
      <c r="C5" s="732"/>
      <c r="D5" s="735" t="s">
        <v>1000</v>
      </c>
      <c r="E5" s="735" t="s">
        <v>999</v>
      </c>
      <c r="F5" s="737" t="s">
        <v>194</v>
      </c>
      <c r="G5" s="731" t="s">
        <v>193</v>
      </c>
      <c r="H5" s="732"/>
      <c r="I5" s="735" t="str">
        <f>D5</f>
        <v>2014년
예산액</v>
      </c>
      <c r="J5" s="735" t="str">
        <f>E5</f>
        <v>2014년
결산액</v>
      </c>
      <c r="K5" s="739" t="s">
        <v>194</v>
      </c>
    </row>
    <row r="6" spans="2:11" ht="22.5" customHeight="1" thickBot="1">
      <c r="B6" s="733"/>
      <c r="C6" s="734"/>
      <c r="D6" s="736"/>
      <c r="E6" s="736"/>
      <c r="F6" s="738"/>
      <c r="G6" s="733"/>
      <c r="H6" s="734"/>
      <c r="I6" s="736"/>
      <c r="J6" s="736"/>
      <c r="K6" s="740"/>
    </row>
    <row r="7" spans="2:11" ht="24.95" customHeight="1" thickTop="1">
      <c r="B7" s="724" t="s">
        <v>195</v>
      </c>
      <c r="C7" s="725"/>
      <c r="D7" s="699">
        <f>SUM(D8:D22)/2</f>
        <v>63073614</v>
      </c>
      <c r="E7" s="699">
        <f>SUM(E8:E22)/2</f>
        <v>63918462</v>
      </c>
      <c r="F7" s="700">
        <f>SUM(F8:F22)/2</f>
        <v>844848</v>
      </c>
      <c r="G7" s="724" t="s">
        <v>195</v>
      </c>
      <c r="H7" s="725"/>
      <c r="I7" s="699">
        <f>SUM(I8:I28)/2</f>
        <v>63073614</v>
      </c>
      <c r="J7" s="699">
        <f>SUM(J8:J28)/2</f>
        <v>62043986</v>
      </c>
      <c r="K7" s="701">
        <f>SUM(K8:K28)/2</f>
        <v>-1029628</v>
      </c>
    </row>
    <row r="8" spans="2:11" ht="24.95" customHeight="1">
      <c r="B8" s="721" t="s">
        <v>196</v>
      </c>
      <c r="C8" s="702" t="s">
        <v>934</v>
      </c>
      <c r="D8" s="703">
        <f>D9</f>
        <v>8120082</v>
      </c>
      <c r="E8" s="703">
        <f>E9</f>
        <v>8250064</v>
      </c>
      <c r="F8" s="704">
        <f>F9</f>
        <v>129982</v>
      </c>
      <c r="G8" s="741" t="s">
        <v>997</v>
      </c>
      <c r="H8" s="702" t="s">
        <v>934</v>
      </c>
      <c r="I8" s="703">
        <f>SUM(I9:I11)</f>
        <v>46340500</v>
      </c>
      <c r="J8" s="703">
        <f>SUM(J9:J11)</f>
        <v>46201210</v>
      </c>
      <c r="K8" s="708">
        <f>SUM(K9:K11)</f>
        <v>-139290</v>
      </c>
    </row>
    <row r="9" spans="2:11" ht="24.95" customHeight="1">
      <c r="B9" s="722"/>
      <c r="C9" s="222" t="s">
        <v>197</v>
      </c>
      <c r="D9" s="223">
        <v>8120082</v>
      </c>
      <c r="E9" s="223">
        <v>8250064</v>
      </c>
      <c r="F9" s="224">
        <f>E9-D9</f>
        <v>129982</v>
      </c>
      <c r="G9" s="726"/>
      <c r="H9" s="222" t="s">
        <v>199</v>
      </c>
      <c r="I9" s="223">
        <v>39779400</v>
      </c>
      <c r="J9" s="223">
        <v>40303640</v>
      </c>
      <c r="K9" s="225">
        <f>J9-I9</f>
        <v>524240</v>
      </c>
    </row>
    <row r="10" spans="2:11" ht="24.95" customHeight="1">
      <c r="B10" s="721" t="s">
        <v>200</v>
      </c>
      <c r="C10" s="705" t="s">
        <v>934</v>
      </c>
      <c r="D10" s="706">
        <f>SUM(D11:D13)</f>
        <v>50125000</v>
      </c>
      <c r="E10" s="706">
        <f>SUM(E11:E13)</f>
        <v>50125000</v>
      </c>
      <c r="F10" s="707">
        <f>SUM(F11:F13)</f>
        <v>0</v>
      </c>
      <c r="G10" s="726"/>
      <c r="H10" s="222" t="s">
        <v>201</v>
      </c>
      <c r="I10" s="223">
        <v>0</v>
      </c>
      <c r="J10" s="223">
        <v>0</v>
      </c>
      <c r="K10" s="225">
        <f t="shared" ref="K10:K11" si="0">J10-I10</f>
        <v>0</v>
      </c>
    </row>
    <row r="11" spans="2:11" ht="24.95" customHeight="1">
      <c r="B11" s="726"/>
      <c r="C11" s="346" t="s">
        <v>402</v>
      </c>
      <c r="D11" s="223">
        <v>0</v>
      </c>
      <c r="E11" s="223">
        <v>0</v>
      </c>
      <c r="F11" s="224">
        <f t="shared" ref="F11:F22" si="1">E11-D11</f>
        <v>0</v>
      </c>
      <c r="G11" s="722"/>
      <c r="H11" s="222" t="s">
        <v>109</v>
      </c>
      <c r="I11" s="223">
        <v>6561100</v>
      </c>
      <c r="J11" s="223">
        <v>5897570</v>
      </c>
      <c r="K11" s="225">
        <f t="shared" si="0"/>
        <v>-663530</v>
      </c>
    </row>
    <row r="12" spans="2:11" ht="24.95" customHeight="1">
      <c r="B12" s="726"/>
      <c r="C12" s="346" t="s">
        <v>403</v>
      </c>
      <c r="D12" s="223">
        <v>3375000</v>
      </c>
      <c r="E12" s="223">
        <v>6097920</v>
      </c>
      <c r="F12" s="224">
        <f t="shared" si="1"/>
        <v>2722920</v>
      </c>
      <c r="G12" s="721" t="s">
        <v>110</v>
      </c>
      <c r="H12" s="705" t="s">
        <v>934</v>
      </c>
      <c r="I12" s="706">
        <f>SUM(I13:I15)</f>
        <v>128000</v>
      </c>
      <c r="J12" s="706">
        <f>SUM(J13:J15)</f>
        <v>260840</v>
      </c>
      <c r="K12" s="709">
        <f>SUM(K13:K15)</f>
        <v>132840</v>
      </c>
    </row>
    <row r="13" spans="2:11" ht="24.95" customHeight="1">
      <c r="B13" s="722"/>
      <c r="C13" s="346" t="s">
        <v>404</v>
      </c>
      <c r="D13" s="223">
        <v>46750000</v>
      </c>
      <c r="E13" s="223">
        <v>44027080</v>
      </c>
      <c r="F13" s="224">
        <f t="shared" si="1"/>
        <v>-2722920</v>
      </c>
      <c r="G13" s="726"/>
      <c r="H13" s="222" t="s">
        <v>111</v>
      </c>
      <c r="I13" s="223">
        <v>0</v>
      </c>
      <c r="J13" s="223">
        <v>0</v>
      </c>
      <c r="K13" s="225">
        <f t="shared" ref="K13:K15" si="2">J13-I13</f>
        <v>0</v>
      </c>
    </row>
    <row r="14" spans="2:11" ht="24.95" customHeight="1">
      <c r="B14" s="721" t="s">
        <v>112</v>
      </c>
      <c r="C14" s="705" t="s">
        <v>934</v>
      </c>
      <c r="D14" s="706">
        <f>SUM(D15:D16)</f>
        <v>316000</v>
      </c>
      <c r="E14" s="706">
        <f>SUM(E15:E16)</f>
        <v>800002</v>
      </c>
      <c r="F14" s="707">
        <f>SUM(F15:F16)</f>
        <v>484002</v>
      </c>
      <c r="G14" s="726"/>
      <c r="H14" s="222" t="s">
        <v>114</v>
      </c>
      <c r="I14" s="223">
        <v>128000</v>
      </c>
      <c r="J14" s="223">
        <v>260840</v>
      </c>
      <c r="K14" s="225">
        <f t="shared" si="2"/>
        <v>132840</v>
      </c>
    </row>
    <row r="15" spans="2:11" ht="24.95" customHeight="1">
      <c r="B15" s="726"/>
      <c r="C15" s="222" t="s">
        <v>113</v>
      </c>
      <c r="D15" s="223">
        <v>0</v>
      </c>
      <c r="E15" s="223">
        <v>0</v>
      </c>
      <c r="F15" s="224">
        <f t="shared" si="1"/>
        <v>0</v>
      </c>
      <c r="G15" s="722"/>
      <c r="H15" s="222" t="s">
        <v>116</v>
      </c>
      <c r="I15" s="223">
        <v>0</v>
      </c>
      <c r="J15" s="223">
        <v>0</v>
      </c>
      <c r="K15" s="225">
        <f t="shared" si="2"/>
        <v>0</v>
      </c>
    </row>
    <row r="16" spans="2:11" ht="24.95" customHeight="1">
      <c r="B16" s="722"/>
      <c r="C16" s="222" t="s">
        <v>115</v>
      </c>
      <c r="D16" s="223">
        <v>316000</v>
      </c>
      <c r="E16" s="223">
        <v>800002</v>
      </c>
      <c r="F16" s="224">
        <f t="shared" si="1"/>
        <v>484002</v>
      </c>
      <c r="G16" s="721" t="s">
        <v>119</v>
      </c>
      <c r="H16" s="705" t="s">
        <v>934</v>
      </c>
      <c r="I16" s="706">
        <f>SUM(I17:I22)</f>
        <v>16468548</v>
      </c>
      <c r="J16" s="706">
        <f>SUM(J17:J22)</f>
        <v>15575370</v>
      </c>
      <c r="K16" s="709">
        <f>SUM(K17:K22)</f>
        <v>-893178</v>
      </c>
    </row>
    <row r="17" spans="2:11" ht="24.95" customHeight="1">
      <c r="B17" s="721" t="s">
        <v>117</v>
      </c>
      <c r="C17" s="705" t="s">
        <v>934</v>
      </c>
      <c r="D17" s="706">
        <f>D18</f>
        <v>3791100</v>
      </c>
      <c r="E17" s="706">
        <f>E18</f>
        <v>4126024</v>
      </c>
      <c r="F17" s="707">
        <f>F18</f>
        <v>334924</v>
      </c>
      <c r="G17" s="726"/>
      <c r="H17" s="222" t="s">
        <v>120</v>
      </c>
      <c r="I17" s="223">
        <v>11613095</v>
      </c>
      <c r="J17" s="223">
        <v>11451180</v>
      </c>
      <c r="K17" s="225">
        <f t="shared" ref="K17:K22" si="3">J17-I17</f>
        <v>-161915</v>
      </c>
    </row>
    <row r="18" spans="2:11" ht="24.95" customHeight="1">
      <c r="B18" s="722"/>
      <c r="C18" s="222" t="s">
        <v>118</v>
      </c>
      <c r="D18" s="223">
        <v>3791100</v>
      </c>
      <c r="E18" s="223">
        <v>4126024</v>
      </c>
      <c r="F18" s="224">
        <f t="shared" si="1"/>
        <v>334924</v>
      </c>
      <c r="G18" s="726"/>
      <c r="H18" s="222" t="s">
        <v>123</v>
      </c>
      <c r="I18" s="223">
        <v>803208</v>
      </c>
      <c r="J18" s="223">
        <v>438800</v>
      </c>
      <c r="K18" s="225">
        <f t="shared" si="3"/>
        <v>-364408</v>
      </c>
    </row>
    <row r="19" spans="2:11" ht="24.95" customHeight="1">
      <c r="B19" s="721" t="s">
        <v>121</v>
      </c>
      <c r="C19" s="705" t="s">
        <v>934</v>
      </c>
      <c r="D19" s="706">
        <f>D20</f>
        <v>0</v>
      </c>
      <c r="E19" s="706">
        <f>E20</f>
        <v>42864</v>
      </c>
      <c r="F19" s="707">
        <f>F20</f>
        <v>42864</v>
      </c>
      <c r="G19" s="726"/>
      <c r="H19" s="222" t="s">
        <v>126</v>
      </c>
      <c r="I19" s="223">
        <v>186000</v>
      </c>
      <c r="J19" s="223">
        <v>186000</v>
      </c>
      <c r="K19" s="225">
        <f t="shared" si="3"/>
        <v>0</v>
      </c>
    </row>
    <row r="20" spans="2:11" ht="24.95" customHeight="1">
      <c r="B20" s="722"/>
      <c r="C20" s="222" t="s">
        <v>122</v>
      </c>
      <c r="D20" s="223">
        <v>0</v>
      </c>
      <c r="E20" s="223">
        <v>42864</v>
      </c>
      <c r="F20" s="224">
        <f t="shared" si="1"/>
        <v>42864</v>
      </c>
      <c r="G20" s="726"/>
      <c r="H20" s="222" t="s">
        <v>127</v>
      </c>
      <c r="I20" s="223">
        <v>237082</v>
      </c>
      <c r="J20" s="223">
        <v>219500</v>
      </c>
      <c r="K20" s="225">
        <f t="shared" si="3"/>
        <v>-17582</v>
      </c>
    </row>
    <row r="21" spans="2:11" ht="24.95" customHeight="1">
      <c r="B21" s="721" t="s">
        <v>124</v>
      </c>
      <c r="C21" s="705" t="s">
        <v>934</v>
      </c>
      <c r="D21" s="706">
        <f>D22</f>
        <v>721432</v>
      </c>
      <c r="E21" s="706">
        <f>E22</f>
        <v>574508</v>
      </c>
      <c r="F21" s="707">
        <f>F22</f>
        <v>-146924</v>
      </c>
      <c r="G21" s="726"/>
      <c r="H21" s="222" t="s">
        <v>128</v>
      </c>
      <c r="I21" s="223">
        <v>86720</v>
      </c>
      <c r="J21" s="223">
        <v>77060</v>
      </c>
      <c r="K21" s="225">
        <f t="shared" si="3"/>
        <v>-9660</v>
      </c>
    </row>
    <row r="22" spans="2:11" ht="24.95" customHeight="1">
      <c r="B22" s="722"/>
      <c r="C22" s="222" t="s">
        <v>125</v>
      </c>
      <c r="D22" s="223">
        <v>721432</v>
      </c>
      <c r="E22" s="223">
        <v>574508</v>
      </c>
      <c r="F22" s="224">
        <f t="shared" si="1"/>
        <v>-146924</v>
      </c>
      <c r="G22" s="722"/>
      <c r="H22" s="222" t="s">
        <v>129</v>
      </c>
      <c r="I22" s="223">
        <v>3542443</v>
      </c>
      <c r="J22" s="223">
        <v>3202830</v>
      </c>
      <c r="K22" s="225">
        <f t="shared" si="3"/>
        <v>-339613</v>
      </c>
    </row>
    <row r="23" spans="2:11" ht="24.95" customHeight="1">
      <c r="B23" s="713"/>
      <c r="C23" s="714"/>
      <c r="D23" s="714"/>
      <c r="E23" s="714"/>
      <c r="F23" s="714"/>
      <c r="G23" s="719" t="s">
        <v>184</v>
      </c>
      <c r="H23" s="705" t="s">
        <v>934</v>
      </c>
      <c r="I23" s="706">
        <f>I24</f>
        <v>136566</v>
      </c>
      <c r="J23" s="706">
        <f>J24</f>
        <v>6566</v>
      </c>
      <c r="K23" s="709">
        <f>K24</f>
        <v>-130000</v>
      </c>
    </row>
    <row r="24" spans="2:11" ht="24.95" customHeight="1">
      <c r="B24" s="715"/>
      <c r="C24" s="716"/>
      <c r="D24" s="716"/>
      <c r="E24" s="716"/>
      <c r="F24" s="716"/>
      <c r="G24" s="720"/>
      <c r="H24" s="222" t="s">
        <v>130</v>
      </c>
      <c r="I24" s="223">
        <v>136566</v>
      </c>
      <c r="J24" s="223">
        <v>6566</v>
      </c>
      <c r="K24" s="225">
        <f t="shared" ref="K24" si="4">J24-I24</f>
        <v>-130000</v>
      </c>
    </row>
    <row r="25" spans="2:11" ht="24.95" customHeight="1">
      <c r="B25" s="715"/>
      <c r="C25" s="716"/>
      <c r="D25" s="716"/>
      <c r="E25" s="716"/>
      <c r="F25" s="716"/>
      <c r="G25" s="721" t="s">
        <v>131</v>
      </c>
      <c r="H25" s="705" t="s">
        <v>934</v>
      </c>
      <c r="I25" s="706">
        <f>I26</f>
        <v>0</v>
      </c>
      <c r="J25" s="706">
        <f>J26</f>
        <v>0</v>
      </c>
      <c r="K25" s="709">
        <f>K26</f>
        <v>0</v>
      </c>
    </row>
    <row r="26" spans="2:11" ht="24.95" customHeight="1">
      <c r="B26" s="715"/>
      <c r="C26" s="716"/>
      <c r="D26" s="716"/>
      <c r="E26" s="716"/>
      <c r="F26" s="716"/>
      <c r="G26" s="722"/>
      <c r="H26" s="222" t="s">
        <v>132</v>
      </c>
      <c r="I26" s="223">
        <v>0</v>
      </c>
      <c r="J26" s="223">
        <v>0</v>
      </c>
      <c r="K26" s="225">
        <f t="shared" ref="K26" si="5">J26-I26</f>
        <v>0</v>
      </c>
    </row>
    <row r="27" spans="2:11" ht="24.95" customHeight="1">
      <c r="B27" s="715"/>
      <c r="C27" s="716"/>
      <c r="D27" s="716"/>
      <c r="E27" s="716"/>
      <c r="F27" s="716"/>
      <c r="G27" s="721" t="s">
        <v>133</v>
      </c>
      <c r="H27" s="705" t="s">
        <v>934</v>
      </c>
      <c r="I27" s="706">
        <f>I28</f>
        <v>0</v>
      </c>
      <c r="J27" s="706">
        <f>J28</f>
        <v>0</v>
      </c>
      <c r="K27" s="709">
        <f>K28</f>
        <v>0</v>
      </c>
    </row>
    <row r="28" spans="2:11" ht="24.95" customHeight="1" thickBot="1">
      <c r="B28" s="717"/>
      <c r="C28" s="718"/>
      <c r="D28" s="718"/>
      <c r="E28" s="718"/>
      <c r="F28" s="718"/>
      <c r="G28" s="723"/>
      <c r="H28" s="226" t="s">
        <v>134</v>
      </c>
      <c r="I28" s="227">
        <v>0</v>
      </c>
      <c r="J28" s="227">
        <v>0</v>
      </c>
      <c r="K28" s="228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B23" sqref="B23:F28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926</v>
      </c>
      <c r="K2" s="221" t="s">
        <v>992</v>
      </c>
    </row>
    <row r="3" spans="2:11" ht="9.9499999999999993" customHeight="1" thickBot="1"/>
    <row r="4" spans="2:11" ht="30" customHeight="1">
      <c r="B4" s="727" t="s">
        <v>191</v>
      </c>
      <c r="C4" s="728"/>
      <c r="D4" s="728"/>
      <c r="E4" s="728"/>
      <c r="F4" s="729"/>
      <c r="G4" s="727" t="s">
        <v>192</v>
      </c>
      <c r="H4" s="728"/>
      <c r="I4" s="728"/>
      <c r="J4" s="728"/>
      <c r="K4" s="730"/>
    </row>
    <row r="5" spans="2:11" ht="16.5" customHeight="1">
      <c r="B5" s="731" t="s">
        <v>193</v>
      </c>
      <c r="C5" s="732"/>
      <c r="D5" s="735" t="s">
        <v>513</v>
      </c>
      <c r="E5" s="735" t="s">
        <v>925</v>
      </c>
      <c r="F5" s="737" t="s">
        <v>194</v>
      </c>
      <c r="G5" s="731" t="s">
        <v>193</v>
      </c>
      <c r="H5" s="732"/>
      <c r="I5" s="735" t="s">
        <v>513</v>
      </c>
      <c r="J5" s="735" t="s">
        <v>925</v>
      </c>
      <c r="K5" s="739" t="s">
        <v>194</v>
      </c>
    </row>
    <row r="6" spans="2:11" ht="22.5" customHeight="1" thickBot="1">
      <c r="B6" s="733"/>
      <c r="C6" s="734"/>
      <c r="D6" s="736"/>
      <c r="E6" s="736"/>
      <c r="F6" s="738"/>
      <c r="G6" s="733"/>
      <c r="H6" s="734"/>
      <c r="I6" s="736"/>
      <c r="J6" s="736"/>
      <c r="K6" s="740"/>
    </row>
    <row r="7" spans="2:11" ht="24.95" customHeight="1" thickTop="1">
      <c r="B7" s="724" t="s">
        <v>195</v>
      </c>
      <c r="C7" s="725"/>
      <c r="D7" s="699">
        <f>SUM(D8:D22)/2</f>
        <v>1855031000</v>
      </c>
      <c r="E7" s="699">
        <f>SUM(E8:E22)/2</f>
        <v>2064087000</v>
      </c>
      <c r="F7" s="700">
        <f>SUM(F8:F22)/2</f>
        <v>209056000</v>
      </c>
      <c r="G7" s="724" t="s">
        <v>195</v>
      </c>
      <c r="H7" s="725"/>
      <c r="I7" s="699">
        <f>SUM(I8:I28)/2</f>
        <v>1855031000</v>
      </c>
      <c r="J7" s="699">
        <f>SUM(J8:J28)/2</f>
        <v>2064087000</v>
      </c>
      <c r="K7" s="701">
        <f>SUM(K8:K28)/2</f>
        <v>209056000</v>
      </c>
    </row>
    <row r="8" spans="2:11" ht="24.95" customHeight="1">
      <c r="B8" s="721" t="s">
        <v>196</v>
      </c>
      <c r="C8" s="702" t="s">
        <v>934</v>
      </c>
      <c r="D8" s="703">
        <f>D9</f>
        <v>90000000</v>
      </c>
      <c r="E8" s="703">
        <f>E9</f>
        <v>87000000</v>
      </c>
      <c r="F8" s="704">
        <f>F9</f>
        <v>-3000000</v>
      </c>
      <c r="G8" s="721" t="s">
        <v>198</v>
      </c>
      <c r="H8" s="702" t="s">
        <v>934</v>
      </c>
      <c r="I8" s="703">
        <f>SUM(I9:I11)</f>
        <v>1519387000</v>
      </c>
      <c r="J8" s="703">
        <f>SUM(J9:J11)</f>
        <v>1662541000</v>
      </c>
      <c r="K8" s="708">
        <f>SUM(K9:K11)</f>
        <v>143154000</v>
      </c>
    </row>
    <row r="9" spans="2:11" ht="24.95" customHeight="1">
      <c r="B9" s="722"/>
      <c r="C9" s="222" t="s">
        <v>197</v>
      </c>
      <c r="D9" s="223">
        <v>90000000</v>
      </c>
      <c r="E9" s="223">
        <v>87000000</v>
      </c>
      <c r="F9" s="224">
        <f>E9-D9</f>
        <v>-3000000</v>
      </c>
      <c r="G9" s="726"/>
      <c r="H9" s="222" t="s">
        <v>199</v>
      </c>
      <c r="I9" s="223">
        <v>1430905000</v>
      </c>
      <c r="J9" s="223">
        <v>1567140000</v>
      </c>
      <c r="K9" s="225">
        <f>J9-I9</f>
        <v>136235000</v>
      </c>
    </row>
    <row r="10" spans="2:11" ht="24.95" customHeight="1">
      <c r="B10" s="721" t="s">
        <v>200</v>
      </c>
      <c r="C10" s="705" t="s">
        <v>934</v>
      </c>
      <c r="D10" s="706">
        <f>SUM(D11:D13)</f>
        <v>1565003000</v>
      </c>
      <c r="E10" s="706">
        <f>SUM(E11:E13)</f>
        <v>1728096000</v>
      </c>
      <c r="F10" s="707">
        <f>SUM(F11:F13)</f>
        <v>163093000</v>
      </c>
      <c r="G10" s="726"/>
      <c r="H10" s="222" t="s">
        <v>201</v>
      </c>
      <c r="I10" s="223">
        <v>2576000</v>
      </c>
      <c r="J10" s="223">
        <v>2696000</v>
      </c>
      <c r="K10" s="225">
        <f t="shared" ref="K10:K11" si="0">J10-I10</f>
        <v>120000</v>
      </c>
    </row>
    <row r="11" spans="2:11" ht="24.95" customHeight="1">
      <c r="B11" s="726"/>
      <c r="C11" s="346" t="s">
        <v>402</v>
      </c>
      <c r="D11" s="223">
        <v>45810000</v>
      </c>
      <c r="E11" s="223">
        <v>1055899000</v>
      </c>
      <c r="F11" s="224">
        <f t="shared" ref="F11:F22" si="1">E11-D11</f>
        <v>1010089000</v>
      </c>
      <c r="G11" s="722"/>
      <c r="H11" s="222" t="s">
        <v>109</v>
      </c>
      <c r="I11" s="223">
        <v>85906000</v>
      </c>
      <c r="J11" s="223">
        <v>92705000</v>
      </c>
      <c r="K11" s="225">
        <f t="shared" si="0"/>
        <v>6799000</v>
      </c>
    </row>
    <row r="12" spans="2:11" ht="24.95" customHeight="1">
      <c r="B12" s="726"/>
      <c r="C12" s="346" t="s">
        <v>403</v>
      </c>
      <c r="D12" s="223">
        <v>774540000</v>
      </c>
      <c r="E12" s="223">
        <v>94594000</v>
      </c>
      <c r="F12" s="224">
        <f t="shared" si="1"/>
        <v>-679946000</v>
      </c>
      <c r="G12" s="721" t="s">
        <v>110</v>
      </c>
      <c r="H12" s="705" t="s">
        <v>934</v>
      </c>
      <c r="I12" s="706">
        <f>SUM(I13:I15)</f>
        <v>45289000</v>
      </c>
      <c r="J12" s="706">
        <f>SUM(J13:J15)</f>
        <v>56301000</v>
      </c>
      <c r="K12" s="709">
        <f>SUM(K13:K15)</f>
        <v>11012000</v>
      </c>
    </row>
    <row r="13" spans="2:11" ht="24.95" customHeight="1">
      <c r="B13" s="722"/>
      <c r="C13" s="346" t="s">
        <v>404</v>
      </c>
      <c r="D13" s="223">
        <v>744653000</v>
      </c>
      <c r="E13" s="223">
        <v>577603000</v>
      </c>
      <c r="F13" s="224">
        <f t="shared" si="1"/>
        <v>-167050000</v>
      </c>
      <c r="G13" s="726"/>
      <c r="H13" s="222" t="s">
        <v>111</v>
      </c>
      <c r="I13" s="223">
        <v>0</v>
      </c>
      <c r="J13" s="223">
        <v>0</v>
      </c>
      <c r="K13" s="225">
        <f t="shared" ref="K13" si="2">J13-I13</f>
        <v>0</v>
      </c>
    </row>
    <row r="14" spans="2:11" ht="24.95" customHeight="1">
      <c r="B14" s="721" t="s">
        <v>112</v>
      </c>
      <c r="C14" s="705" t="s">
        <v>934</v>
      </c>
      <c r="D14" s="706">
        <f>SUM(D15:D16)</f>
        <v>77600000</v>
      </c>
      <c r="E14" s="706">
        <f>SUM(E15:E16)</f>
        <v>106600000</v>
      </c>
      <c r="F14" s="707">
        <f>SUM(F15:F16)</f>
        <v>29000000</v>
      </c>
      <c r="G14" s="726"/>
      <c r="H14" s="222" t="s">
        <v>114</v>
      </c>
      <c r="I14" s="223">
        <v>31300000</v>
      </c>
      <c r="J14" s="223">
        <v>36335000</v>
      </c>
      <c r="K14" s="225">
        <f t="shared" ref="K14:K15" si="3">J14-I14</f>
        <v>5035000</v>
      </c>
    </row>
    <row r="15" spans="2:11" ht="24.95" customHeight="1">
      <c r="B15" s="726"/>
      <c r="C15" s="222" t="s">
        <v>113</v>
      </c>
      <c r="D15" s="223">
        <v>11600000</v>
      </c>
      <c r="E15" s="223">
        <v>22600000</v>
      </c>
      <c r="F15" s="224">
        <f t="shared" si="1"/>
        <v>11000000</v>
      </c>
      <c r="G15" s="722"/>
      <c r="H15" s="222" t="s">
        <v>116</v>
      </c>
      <c r="I15" s="223">
        <v>13989000</v>
      </c>
      <c r="J15" s="223">
        <v>19966000</v>
      </c>
      <c r="K15" s="225">
        <f t="shared" si="3"/>
        <v>5977000</v>
      </c>
    </row>
    <row r="16" spans="2:11" ht="24.95" customHeight="1">
      <c r="B16" s="722"/>
      <c r="C16" s="222" t="s">
        <v>115</v>
      </c>
      <c r="D16" s="223">
        <v>66000000</v>
      </c>
      <c r="E16" s="223">
        <v>84000000</v>
      </c>
      <c r="F16" s="224">
        <f t="shared" si="1"/>
        <v>18000000</v>
      </c>
      <c r="G16" s="721" t="s">
        <v>119</v>
      </c>
      <c r="H16" s="705" t="s">
        <v>934</v>
      </c>
      <c r="I16" s="706">
        <f>SUM(I17:I22)</f>
        <v>287405000</v>
      </c>
      <c r="J16" s="706">
        <f>SUM(J17:J22)</f>
        <v>340066000</v>
      </c>
      <c r="K16" s="709">
        <f>SUM(K17:K22)</f>
        <v>52661000</v>
      </c>
    </row>
    <row r="17" spans="2:11" ht="24.95" customHeight="1">
      <c r="B17" s="721" t="s">
        <v>117</v>
      </c>
      <c r="C17" s="705" t="s">
        <v>934</v>
      </c>
      <c r="D17" s="706">
        <f>D18</f>
        <v>48278000</v>
      </c>
      <c r="E17" s="706">
        <f>E18</f>
        <v>46952000</v>
      </c>
      <c r="F17" s="707">
        <f>F18</f>
        <v>-1326000</v>
      </c>
      <c r="G17" s="726"/>
      <c r="H17" s="222" t="s">
        <v>120</v>
      </c>
      <c r="I17" s="223">
        <v>135485000</v>
      </c>
      <c r="J17" s="223">
        <v>152552000</v>
      </c>
      <c r="K17" s="225">
        <f t="shared" ref="K17:K22" si="4">J17-I17</f>
        <v>17067000</v>
      </c>
    </row>
    <row r="18" spans="2:11" ht="24.95" customHeight="1">
      <c r="B18" s="722"/>
      <c r="C18" s="222" t="s">
        <v>118</v>
      </c>
      <c r="D18" s="223">
        <v>48278000</v>
      </c>
      <c r="E18" s="223">
        <v>46952000</v>
      </c>
      <c r="F18" s="224">
        <f t="shared" si="1"/>
        <v>-1326000</v>
      </c>
      <c r="G18" s="726"/>
      <c r="H18" s="222" t="s">
        <v>123</v>
      </c>
      <c r="I18" s="223">
        <v>8185000</v>
      </c>
      <c r="J18" s="223">
        <v>9985000</v>
      </c>
      <c r="K18" s="225">
        <f t="shared" si="4"/>
        <v>1800000</v>
      </c>
    </row>
    <row r="19" spans="2:11" ht="24.95" customHeight="1">
      <c r="B19" s="721" t="s">
        <v>121</v>
      </c>
      <c r="C19" s="705" t="s">
        <v>934</v>
      </c>
      <c r="D19" s="706">
        <f>D20</f>
        <v>43200000</v>
      </c>
      <c r="E19" s="706">
        <f>E20</f>
        <v>63289000</v>
      </c>
      <c r="F19" s="707">
        <f>F20</f>
        <v>20089000</v>
      </c>
      <c r="G19" s="726"/>
      <c r="H19" s="222" t="s">
        <v>126</v>
      </c>
      <c r="I19" s="223">
        <v>14040000</v>
      </c>
      <c r="J19" s="223">
        <v>20040000</v>
      </c>
      <c r="K19" s="225">
        <f t="shared" si="4"/>
        <v>6000000</v>
      </c>
    </row>
    <row r="20" spans="2:11" ht="24.95" customHeight="1">
      <c r="B20" s="722"/>
      <c r="C20" s="222" t="s">
        <v>122</v>
      </c>
      <c r="D20" s="223">
        <v>43200000</v>
      </c>
      <c r="E20" s="223">
        <v>63289000</v>
      </c>
      <c r="F20" s="224">
        <f t="shared" si="1"/>
        <v>20089000</v>
      </c>
      <c r="G20" s="726"/>
      <c r="H20" s="222" t="s">
        <v>127</v>
      </c>
      <c r="I20" s="223">
        <v>13166000</v>
      </c>
      <c r="J20" s="223">
        <v>19190000</v>
      </c>
      <c r="K20" s="225">
        <f t="shared" si="4"/>
        <v>6024000</v>
      </c>
    </row>
    <row r="21" spans="2:11" ht="24.95" customHeight="1">
      <c r="B21" s="721" t="s">
        <v>124</v>
      </c>
      <c r="C21" s="705" t="s">
        <v>934</v>
      </c>
      <c r="D21" s="706">
        <f>D22</f>
        <v>30950000</v>
      </c>
      <c r="E21" s="706">
        <f>E22</f>
        <v>32150000</v>
      </c>
      <c r="F21" s="707">
        <f>F22</f>
        <v>1200000</v>
      </c>
      <c r="G21" s="726"/>
      <c r="H21" s="222" t="s">
        <v>128</v>
      </c>
      <c r="I21" s="223">
        <v>20132000</v>
      </c>
      <c r="J21" s="223">
        <v>23132000</v>
      </c>
      <c r="K21" s="225">
        <f t="shared" si="4"/>
        <v>3000000</v>
      </c>
    </row>
    <row r="22" spans="2:11" ht="24.95" customHeight="1">
      <c r="B22" s="722"/>
      <c r="C22" s="222" t="s">
        <v>125</v>
      </c>
      <c r="D22" s="223">
        <v>30950000</v>
      </c>
      <c r="E22" s="223">
        <v>32150000</v>
      </c>
      <c r="F22" s="224">
        <f t="shared" si="1"/>
        <v>1200000</v>
      </c>
      <c r="G22" s="722"/>
      <c r="H22" s="222" t="s">
        <v>129</v>
      </c>
      <c r="I22" s="223">
        <v>96397000</v>
      </c>
      <c r="J22" s="223">
        <v>115167000</v>
      </c>
      <c r="K22" s="225">
        <f t="shared" si="4"/>
        <v>18770000</v>
      </c>
    </row>
    <row r="23" spans="2:11" ht="24.95" customHeight="1">
      <c r="B23" s="713"/>
      <c r="C23" s="714"/>
      <c r="D23" s="714"/>
      <c r="E23" s="714"/>
      <c r="F23" s="714"/>
      <c r="G23" s="719" t="s">
        <v>184</v>
      </c>
      <c r="H23" s="705" t="s">
        <v>934</v>
      </c>
      <c r="I23" s="706">
        <f>I24</f>
        <v>2700000</v>
      </c>
      <c r="J23" s="706">
        <f>J24</f>
        <v>4929000</v>
      </c>
      <c r="K23" s="709">
        <f>K24</f>
        <v>2229000</v>
      </c>
    </row>
    <row r="24" spans="2:11" ht="24.95" customHeight="1">
      <c r="B24" s="715"/>
      <c r="C24" s="716"/>
      <c r="D24" s="716"/>
      <c r="E24" s="716"/>
      <c r="F24" s="716"/>
      <c r="G24" s="720"/>
      <c r="H24" s="222" t="s">
        <v>130</v>
      </c>
      <c r="I24" s="223">
        <v>2700000</v>
      </c>
      <c r="J24" s="223">
        <v>4929000</v>
      </c>
      <c r="K24" s="225">
        <f t="shared" ref="K24" si="5">J24-I24</f>
        <v>2229000</v>
      </c>
    </row>
    <row r="25" spans="2:11" ht="24.95" customHeight="1">
      <c r="B25" s="715"/>
      <c r="C25" s="716"/>
      <c r="D25" s="716"/>
      <c r="E25" s="716"/>
      <c r="F25" s="716"/>
      <c r="G25" s="721" t="s">
        <v>131</v>
      </c>
      <c r="H25" s="705" t="s">
        <v>934</v>
      </c>
      <c r="I25" s="706">
        <f>I26</f>
        <v>0</v>
      </c>
      <c r="J25" s="706">
        <f>J26</f>
        <v>0</v>
      </c>
      <c r="K25" s="709">
        <f>K26</f>
        <v>0</v>
      </c>
    </row>
    <row r="26" spans="2:11" ht="24.95" customHeight="1">
      <c r="B26" s="715"/>
      <c r="C26" s="716"/>
      <c r="D26" s="716"/>
      <c r="E26" s="716"/>
      <c r="F26" s="716"/>
      <c r="G26" s="722"/>
      <c r="H26" s="222" t="s">
        <v>132</v>
      </c>
      <c r="I26" s="223">
        <v>0</v>
      </c>
      <c r="J26" s="223">
        <v>0</v>
      </c>
      <c r="K26" s="225">
        <f t="shared" ref="K26" si="6">J26-I26</f>
        <v>0</v>
      </c>
    </row>
    <row r="27" spans="2:11" ht="24.95" customHeight="1">
      <c r="B27" s="715"/>
      <c r="C27" s="716"/>
      <c r="D27" s="716"/>
      <c r="E27" s="716"/>
      <c r="F27" s="716"/>
      <c r="G27" s="721" t="s">
        <v>133</v>
      </c>
      <c r="H27" s="705" t="s">
        <v>934</v>
      </c>
      <c r="I27" s="706">
        <f>I28</f>
        <v>250000</v>
      </c>
      <c r="J27" s="706">
        <f>J28</f>
        <v>250000</v>
      </c>
      <c r="K27" s="709">
        <f>K28</f>
        <v>0</v>
      </c>
    </row>
    <row r="28" spans="2:11" ht="24.95" customHeight="1" thickBot="1">
      <c r="B28" s="717"/>
      <c r="C28" s="718"/>
      <c r="D28" s="718"/>
      <c r="E28" s="718"/>
      <c r="F28" s="718"/>
      <c r="G28" s="723"/>
      <c r="H28" s="226" t="s">
        <v>134</v>
      </c>
      <c r="I28" s="227">
        <v>250000</v>
      </c>
      <c r="J28" s="227">
        <v>250000</v>
      </c>
      <c r="K28" s="228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7:G28"/>
    <mergeCell ref="G12:G15"/>
    <mergeCell ref="G16:G22"/>
    <mergeCell ref="G23:G24"/>
    <mergeCell ref="G25:G2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53" t="s">
        <v>927</v>
      </c>
      <c r="B1" s="753"/>
      <c r="C1" s="753"/>
      <c r="D1" s="75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54" t="s">
        <v>66</v>
      </c>
      <c r="B2" s="755"/>
      <c r="C2" s="755"/>
      <c r="D2" s="755"/>
      <c r="E2" s="746" t="s">
        <v>629</v>
      </c>
      <c r="F2" s="746" t="s">
        <v>630</v>
      </c>
      <c r="G2" s="748" t="s">
        <v>23</v>
      </c>
      <c r="H2" s="748"/>
      <c r="I2" s="748" t="s">
        <v>55</v>
      </c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9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202</v>
      </c>
      <c r="D3" s="26" t="s">
        <v>203</v>
      </c>
      <c r="E3" s="747"/>
      <c r="F3" s="747"/>
      <c r="G3" s="165" t="s">
        <v>143</v>
      </c>
      <c r="H3" s="27" t="s">
        <v>4</v>
      </c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1"/>
      <c r="Z3" s="8"/>
    </row>
    <row r="4" spans="1:26" s="3" customFormat="1" ht="19.5" customHeight="1">
      <c r="A4" s="756" t="s">
        <v>24</v>
      </c>
      <c r="B4" s="757"/>
      <c r="C4" s="757"/>
      <c r="D4" s="758"/>
      <c r="E4" s="252">
        <f>SUM(E5,E7,E9,E11,E172,E186,E193,E244,E277)</f>
        <v>1855031</v>
      </c>
      <c r="F4" s="252">
        <f>SUM(F5,F7,F9,F11,F172,F186,F193,F244,F277)</f>
        <v>2064087</v>
      </c>
      <c r="G4" s="454">
        <f>SUM(G5,G7,G9,G11,G172,G186,G193,G244,G277)</f>
        <v>209056</v>
      </c>
      <c r="H4" s="253">
        <f t="shared" ref="H4" si="0">IF(E4=0,0,G4/E4)</f>
        <v>0.1126967689488747</v>
      </c>
      <c r="I4" s="28" t="s">
        <v>186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45">
        <f>SUM(X5,X7,X9,X11,X172,X186,X193,X244,X277)</f>
        <v>2064087000</v>
      </c>
      <c r="Y4" s="30" t="s">
        <v>187</v>
      </c>
      <c r="Z4" s="8"/>
    </row>
    <row r="5" spans="1:26" ht="21" customHeight="1" thickBot="1">
      <c r="A5" s="36" t="s">
        <v>60</v>
      </c>
      <c r="B5" s="37" t="s">
        <v>60</v>
      </c>
      <c r="C5" s="230" t="s">
        <v>141</v>
      </c>
      <c r="D5" s="230" t="s">
        <v>141</v>
      </c>
      <c r="E5" s="246">
        <v>90000</v>
      </c>
      <c r="F5" s="246">
        <f>ROUND(X5/1000,0)</f>
        <v>87000</v>
      </c>
      <c r="G5" s="247">
        <f>F5-E5</f>
        <v>-3000</v>
      </c>
      <c r="H5" s="248">
        <f>IF(E5=0,0,G5/E5)</f>
        <v>-3.3333333333333333E-2</v>
      </c>
      <c r="I5" s="41" t="s">
        <v>185</v>
      </c>
      <c r="J5" s="159"/>
      <c r="K5" s="42"/>
      <c r="L5" s="42"/>
      <c r="M5" s="42"/>
      <c r="N5" s="42"/>
      <c r="O5" s="42"/>
      <c r="P5" s="43"/>
      <c r="Q5" s="43" t="s">
        <v>62</v>
      </c>
      <c r="R5" s="43"/>
      <c r="S5" s="43"/>
      <c r="T5" s="43"/>
      <c r="U5" s="43"/>
      <c r="V5" s="43"/>
      <c r="W5" s="44"/>
      <c r="X5" s="44">
        <f>X6</f>
        <v>87000000</v>
      </c>
      <c r="Y5" s="45" t="s">
        <v>25</v>
      </c>
    </row>
    <row r="6" spans="1:26" ht="21" customHeight="1">
      <c r="A6" s="46" t="s">
        <v>61</v>
      </c>
      <c r="B6" s="47" t="s">
        <v>138</v>
      </c>
      <c r="C6" s="48" t="s">
        <v>138</v>
      </c>
      <c r="D6" s="48" t="s">
        <v>138</v>
      </c>
      <c r="E6" s="49"/>
      <c r="F6" s="49"/>
      <c r="G6" s="50"/>
      <c r="H6" s="32"/>
      <c r="I6" s="448" t="s">
        <v>461</v>
      </c>
      <c r="J6" s="55"/>
      <c r="K6" s="56"/>
      <c r="L6" s="56"/>
      <c r="M6" s="256">
        <v>250000</v>
      </c>
      <c r="N6" s="256" t="s">
        <v>57</v>
      </c>
      <c r="O6" s="257" t="s">
        <v>58</v>
      </c>
      <c r="P6" s="148">
        <v>29</v>
      </c>
      <c r="Q6" s="256" t="s">
        <v>56</v>
      </c>
      <c r="R6" s="257" t="s">
        <v>58</v>
      </c>
      <c r="S6" s="57">
        <v>12</v>
      </c>
      <c r="T6" s="289" t="s">
        <v>0</v>
      </c>
      <c r="U6" s="289" t="s">
        <v>53</v>
      </c>
      <c r="V6" s="289"/>
      <c r="W6" s="256"/>
      <c r="X6" s="256">
        <f>M6*P6*S6</f>
        <v>87000000</v>
      </c>
      <c r="Y6" s="58" t="s">
        <v>57</v>
      </c>
    </row>
    <row r="7" spans="1:26" s="11" customFormat="1" ht="19.5" customHeight="1" thickBot="1">
      <c r="A7" s="36" t="s">
        <v>204</v>
      </c>
      <c r="B7" s="37" t="s">
        <v>206</v>
      </c>
      <c r="C7" s="37" t="s">
        <v>204</v>
      </c>
      <c r="D7" s="37" t="s">
        <v>204</v>
      </c>
      <c r="E7" s="246">
        <v>0</v>
      </c>
      <c r="F7" s="246">
        <f>ROUND(X7/1000,0)</f>
        <v>0</v>
      </c>
      <c r="G7" s="247">
        <f>F7-E7</f>
        <v>0</v>
      </c>
      <c r="H7" s="248">
        <f>IF(E7=0,0,G7/E7)</f>
        <v>0</v>
      </c>
      <c r="I7" s="41" t="s">
        <v>208</v>
      </c>
      <c r="J7" s="159"/>
      <c r="K7" s="42"/>
      <c r="L7" s="42"/>
      <c r="M7" s="42"/>
      <c r="N7" s="42"/>
      <c r="O7" s="42"/>
      <c r="P7" s="43"/>
      <c r="Q7" s="43" t="s">
        <v>62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59" t="s">
        <v>205</v>
      </c>
      <c r="B8" s="60" t="s">
        <v>207</v>
      </c>
      <c r="C8" s="60" t="s">
        <v>205</v>
      </c>
      <c r="D8" s="60" t="s">
        <v>205</v>
      </c>
      <c r="E8" s="49"/>
      <c r="F8" s="49"/>
      <c r="G8" s="50"/>
      <c r="H8" s="32"/>
      <c r="I8" s="54" t="s">
        <v>405</v>
      </c>
      <c r="J8" s="55"/>
      <c r="K8" s="56"/>
      <c r="L8" s="56"/>
      <c r="M8" s="256"/>
      <c r="N8" s="256"/>
      <c r="O8" s="257"/>
      <c r="P8" s="256"/>
      <c r="Q8" s="256"/>
      <c r="R8" s="257"/>
      <c r="S8" s="57"/>
      <c r="T8" s="289"/>
      <c r="U8" s="289"/>
      <c r="V8" s="289"/>
      <c r="W8" s="256"/>
      <c r="X8" s="256">
        <v>0</v>
      </c>
      <c r="Y8" s="58" t="s">
        <v>57</v>
      </c>
    </row>
    <row r="9" spans="1:26" ht="21" customHeight="1" thickBot="1">
      <c r="A9" s="36" t="s">
        <v>210</v>
      </c>
      <c r="B9" s="37" t="s">
        <v>212</v>
      </c>
      <c r="C9" s="37" t="s">
        <v>210</v>
      </c>
      <c r="D9" s="37" t="s">
        <v>210</v>
      </c>
      <c r="E9" s="246">
        <v>0</v>
      </c>
      <c r="F9" s="246">
        <f>ROUND(X9/1000,0)</f>
        <v>0</v>
      </c>
      <c r="G9" s="247">
        <f>F9-E9</f>
        <v>0</v>
      </c>
      <c r="H9" s="248">
        <f>IF(E9=0,0,G9/E9)</f>
        <v>0</v>
      </c>
      <c r="I9" s="41" t="s">
        <v>278</v>
      </c>
      <c r="J9" s="159"/>
      <c r="K9" s="42"/>
      <c r="L9" s="42"/>
      <c r="M9" s="42"/>
      <c r="N9" s="42"/>
      <c r="O9" s="42"/>
      <c r="P9" s="43"/>
      <c r="Q9" s="43" t="s">
        <v>62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59" t="s">
        <v>275</v>
      </c>
      <c r="B10" s="60" t="s">
        <v>276</v>
      </c>
      <c r="C10" s="60" t="s">
        <v>276</v>
      </c>
      <c r="D10" s="121" t="s">
        <v>276</v>
      </c>
      <c r="E10" s="261"/>
      <c r="F10" s="262">
        <v>0</v>
      </c>
      <c r="G10" s="263"/>
      <c r="H10" s="264"/>
      <c r="I10" s="265"/>
      <c r="J10" s="266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9"/>
      <c r="X10" s="269">
        <v>0</v>
      </c>
      <c r="Y10" s="318" t="s">
        <v>277</v>
      </c>
    </row>
    <row r="11" spans="1:26" s="11" customFormat="1" ht="19.5" customHeight="1">
      <c r="A11" s="36" t="s">
        <v>209</v>
      </c>
      <c r="B11" s="37" t="s">
        <v>209</v>
      </c>
      <c r="C11" s="744" t="s">
        <v>357</v>
      </c>
      <c r="D11" s="745"/>
      <c r="E11" s="300">
        <f>SUM(E12,E40,E104,E169)</f>
        <v>1565003</v>
      </c>
      <c r="F11" s="300">
        <f>SUM(F12,F40,F104,F169)</f>
        <v>1728096</v>
      </c>
      <c r="G11" s="301">
        <f t="shared" ref="G11:G13" si="1">F11-E11</f>
        <v>163093</v>
      </c>
      <c r="H11" s="302">
        <f t="shared" ref="H11:H13" si="2">IF(E11=0,0,G11/E11)</f>
        <v>0.10421257978419211</v>
      </c>
      <c r="I11" s="303" t="s">
        <v>358</v>
      </c>
      <c r="J11" s="304"/>
      <c r="K11" s="305"/>
      <c r="L11" s="305"/>
      <c r="M11" s="304"/>
      <c r="N11" s="304"/>
      <c r="O11" s="304"/>
      <c r="P11" s="304"/>
      <c r="Q11" s="304"/>
      <c r="R11" s="306"/>
      <c r="S11" s="306"/>
      <c r="T11" s="306"/>
      <c r="U11" s="306"/>
      <c r="V11" s="306"/>
      <c r="W11" s="306"/>
      <c r="X11" s="307">
        <f>SUM(X12,X40,X104,X169)</f>
        <v>1728096000</v>
      </c>
      <c r="Y11" s="319" t="s">
        <v>25</v>
      </c>
      <c r="Z11" s="6"/>
    </row>
    <row r="12" spans="1:26" s="11" customFormat="1" ht="19.5" customHeight="1">
      <c r="A12" s="46" t="s">
        <v>211</v>
      </c>
      <c r="B12" s="47" t="s">
        <v>207</v>
      </c>
      <c r="C12" s="37" t="s">
        <v>213</v>
      </c>
      <c r="D12" s="317" t="s">
        <v>214</v>
      </c>
      <c r="E12" s="249">
        <f>SUM(E13:E33)</f>
        <v>45810</v>
      </c>
      <c r="F12" s="249">
        <f>SUM(F13:F33)</f>
        <v>1055899</v>
      </c>
      <c r="G12" s="250">
        <f t="shared" si="1"/>
        <v>1010089</v>
      </c>
      <c r="H12" s="251">
        <f t="shared" si="2"/>
        <v>22.049530670159353</v>
      </c>
      <c r="I12" s="233" t="s">
        <v>215</v>
      </c>
      <c r="J12" s="234"/>
      <c r="K12" s="235"/>
      <c r="L12" s="235"/>
      <c r="M12" s="235"/>
      <c r="N12" s="235"/>
      <c r="O12" s="235"/>
      <c r="P12" s="236"/>
      <c r="Q12" s="236"/>
      <c r="R12" s="236"/>
      <c r="S12" s="236"/>
      <c r="T12" s="236"/>
      <c r="U12" s="236"/>
      <c r="V12" s="270" t="s">
        <v>279</v>
      </c>
      <c r="W12" s="271"/>
      <c r="X12" s="272">
        <f>SUM(X13,X18,X33)</f>
        <v>1055899000</v>
      </c>
      <c r="Y12" s="320" t="s">
        <v>280</v>
      </c>
      <c r="Z12" s="6"/>
    </row>
    <row r="13" spans="1:26" s="11" customFormat="1" ht="19.5" customHeight="1">
      <c r="A13" s="46"/>
      <c r="B13" s="47"/>
      <c r="C13" s="47" t="s">
        <v>274</v>
      </c>
      <c r="D13" s="47" t="s">
        <v>273</v>
      </c>
      <c r="E13" s="260">
        <v>45810</v>
      </c>
      <c r="F13" s="260">
        <f>ROUND(X13/1000,0)</f>
        <v>64506</v>
      </c>
      <c r="G13" s="334">
        <f t="shared" si="1"/>
        <v>18696</v>
      </c>
      <c r="H13" s="335">
        <f t="shared" si="2"/>
        <v>0.40812049770792402</v>
      </c>
      <c r="I13" s="160" t="s">
        <v>271</v>
      </c>
      <c r="J13" s="257"/>
      <c r="K13" s="256"/>
      <c r="L13" s="256"/>
      <c r="M13" s="256"/>
      <c r="N13" s="289"/>
      <c r="O13" s="237"/>
      <c r="P13" s="256"/>
      <c r="Q13" s="55"/>
      <c r="R13" s="238"/>
      <c r="S13" s="241"/>
      <c r="T13" s="241"/>
      <c r="U13" s="289"/>
      <c r="V13" s="255" t="s">
        <v>272</v>
      </c>
      <c r="W13" s="162"/>
      <c r="X13" s="162">
        <f>SUM(X14:X16)</f>
        <v>64506000</v>
      </c>
      <c r="Y13" s="163" t="s">
        <v>57</v>
      </c>
      <c r="Z13" s="6"/>
    </row>
    <row r="14" spans="1:26" s="11" customFormat="1" ht="19.5" customHeight="1">
      <c r="A14" s="61"/>
      <c r="B14" s="47"/>
      <c r="C14" s="47"/>
      <c r="D14" s="47"/>
      <c r="E14" s="49"/>
      <c r="F14" s="254"/>
      <c r="G14" s="50"/>
      <c r="H14" s="71"/>
      <c r="I14" s="449" t="s">
        <v>462</v>
      </c>
      <c r="J14" s="257"/>
      <c r="K14" s="256"/>
      <c r="L14" s="256"/>
      <c r="M14" s="256">
        <v>231464</v>
      </c>
      <c r="N14" s="289" t="s">
        <v>25</v>
      </c>
      <c r="O14" s="237" t="s">
        <v>26</v>
      </c>
      <c r="P14" s="148">
        <v>25</v>
      </c>
      <c r="Q14" s="55" t="s">
        <v>167</v>
      </c>
      <c r="R14" s="238" t="s">
        <v>26</v>
      </c>
      <c r="S14" s="241">
        <v>12</v>
      </c>
      <c r="T14" s="241" t="s">
        <v>29</v>
      </c>
      <c r="U14" s="289" t="s">
        <v>26</v>
      </c>
      <c r="V14" s="293">
        <v>0.9</v>
      </c>
      <c r="W14" s="69" t="s">
        <v>27</v>
      </c>
      <c r="X14" s="69">
        <f>ROUNDDOWN(M14*P14*S14*V14,-3)</f>
        <v>62495000</v>
      </c>
      <c r="Y14" s="58" t="s">
        <v>57</v>
      </c>
      <c r="Z14" s="6"/>
    </row>
    <row r="15" spans="1:26" s="11" customFormat="1" ht="19.5" customHeight="1">
      <c r="A15" s="61"/>
      <c r="B15" s="47"/>
      <c r="C15" s="47"/>
      <c r="D15" s="47"/>
      <c r="E15" s="49"/>
      <c r="F15" s="254"/>
      <c r="G15" s="50"/>
      <c r="H15" s="71"/>
      <c r="I15" s="449" t="s">
        <v>220</v>
      </c>
      <c r="J15" s="257"/>
      <c r="K15" s="256"/>
      <c r="L15" s="256"/>
      <c r="M15" s="256">
        <v>29340</v>
      </c>
      <c r="N15" s="289" t="s">
        <v>25</v>
      </c>
      <c r="O15" s="237" t="s">
        <v>26</v>
      </c>
      <c r="P15" s="148">
        <v>25</v>
      </c>
      <c r="Q15" s="55" t="s">
        <v>167</v>
      </c>
      <c r="R15" s="239" t="s">
        <v>26</v>
      </c>
      <c r="S15" s="241">
        <v>1</v>
      </c>
      <c r="T15" s="241" t="s">
        <v>219</v>
      </c>
      <c r="U15" s="289" t="s">
        <v>26</v>
      </c>
      <c r="V15" s="293">
        <v>0.9</v>
      </c>
      <c r="W15" s="69" t="s">
        <v>27</v>
      </c>
      <c r="X15" s="69">
        <f>ROUNDUP(M15*P15*S15*V15,-3)</f>
        <v>661000</v>
      </c>
      <c r="Y15" s="58" t="s">
        <v>57</v>
      </c>
      <c r="Z15" s="6"/>
    </row>
    <row r="16" spans="1:26" s="11" customFormat="1" ht="19.5" customHeight="1">
      <c r="A16" s="61"/>
      <c r="B16" s="47"/>
      <c r="C16" s="47"/>
      <c r="D16" s="47"/>
      <c r="E16" s="49"/>
      <c r="F16" s="49"/>
      <c r="G16" s="50"/>
      <c r="H16" s="71"/>
      <c r="I16" s="449" t="s">
        <v>221</v>
      </c>
      <c r="J16" s="69"/>
      <c r="K16" s="240"/>
      <c r="L16" s="240"/>
      <c r="M16" s="256">
        <v>30000</v>
      </c>
      <c r="N16" s="256" t="s">
        <v>25</v>
      </c>
      <c r="O16" s="237" t="s">
        <v>26</v>
      </c>
      <c r="P16" s="148">
        <v>25</v>
      </c>
      <c r="Q16" s="55" t="s">
        <v>167</v>
      </c>
      <c r="R16" s="239" t="s">
        <v>26</v>
      </c>
      <c r="S16" s="57">
        <v>2</v>
      </c>
      <c r="T16" s="289" t="s">
        <v>219</v>
      </c>
      <c r="U16" s="289" t="s">
        <v>26</v>
      </c>
      <c r="V16" s="293">
        <v>0.9</v>
      </c>
      <c r="W16" s="257" t="s">
        <v>27</v>
      </c>
      <c r="X16" s="69">
        <f>ROUNDUP(M16*P16*S16*V16,-3)</f>
        <v>1350000</v>
      </c>
      <c r="Y16" s="58" t="s">
        <v>57</v>
      </c>
      <c r="Z16" s="6"/>
    </row>
    <row r="17" spans="1:26" s="11" customFormat="1" ht="19.5" customHeight="1">
      <c r="A17" s="61"/>
      <c r="B17" s="47"/>
      <c r="C17" s="47"/>
      <c r="D17" s="47"/>
      <c r="E17" s="49"/>
      <c r="F17" s="49"/>
      <c r="G17" s="50"/>
      <c r="H17" s="71"/>
      <c r="I17" s="449"/>
      <c r="J17" s="69"/>
      <c r="K17" s="240"/>
      <c r="L17" s="240"/>
      <c r="M17" s="461"/>
      <c r="N17" s="461"/>
      <c r="O17" s="237"/>
      <c r="P17" s="602"/>
      <c r="Q17" s="55"/>
      <c r="R17" s="239"/>
      <c r="S17" s="57"/>
      <c r="T17" s="601"/>
      <c r="U17" s="601"/>
      <c r="V17" s="293"/>
      <c r="W17" s="462"/>
      <c r="X17" s="69"/>
      <c r="Y17" s="58"/>
      <c r="Z17" s="6"/>
    </row>
    <row r="18" spans="1:26" s="11" customFormat="1" ht="19.5" customHeight="1" thickBot="1">
      <c r="A18" s="61"/>
      <c r="B18" s="47"/>
      <c r="C18" s="47"/>
      <c r="D18" s="37" t="s">
        <v>165</v>
      </c>
      <c r="E18" s="38">
        <v>0</v>
      </c>
      <c r="F18" s="273">
        <f>ROUND(X18/1000,0)</f>
        <v>935435</v>
      </c>
      <c r="G18" s="39">
        <f t="shared" ref="G18" si="3">F18-E18</f>
        <v>935435</v>
      </c>
      <c r="H18" s="132">
        <f t="shared" ref="H18" si="4">IF(E18=0,0,G18/E18)</f>
        <v>0</v>
      </c>
      <c r="I18" s="285" t="s">
        <v>631</v>
      </c>
      <c r="J18" s="284"/>
      <c r="K18" s="292"/>
      <c r="L18" s="292"/>
      <c r="M18" s="95"/>
      <c r="N18" s="95"/>
      <c r="O18" s="274"/>
      <c r="P18" s="95"/>
      <c r="Q18" s="275"/>
      <c r="R18" s="282"/>
      <c r="S18" s="283"/>
      <c r="T18" s="600"/>
      <c r="U18" s="600"/>
      <c r="V18" s="286" t="s">
        <v>272</v>
      </c>
      <c r="W18" s="287"/>
      <c r="X18" s="287">
        <f>SUM(X19,X20,X24,X26)</f>
        <v>935435000</v>
      </c>
      <c r="Y18" s="321" t="s">
        <v>57</v>
      </c>
      <c r="Z18" s="6"/>
    </row>
    <row r="19" spans="1:26" s="11" customFormat="1" ht="19.5" customHeight="1">
      <c r="A19" s="61"/>
      <c r="B19" s="47"/>
      <c r="C19" s="47"/>
      <c r="D19" s="47"/>
      <c r="E19" s="49"/>
      <c r="F19" s="49"/>
      <c r="G19" s="50"/>
      <c r="H19" s="71"/>
      <c r="I19" s="450" t="s">
        <v>463</v>
      </c>
      <c r="J19" s="462"/>
      <c r="K19" s="461"/>
      <c r="L19" s="461"/>
      <c r="M19" s="461">
        <v>844114000</v>
      </c>
      <c r="N19" s="461" t="s">
        <v>57</v>
      </c>
      <c r="O19" s="75" t="s">
        <v>58</v>
      </c>
      <c r="P19" s="352">
        <v>0.7</v>
      </c>
      <c r="Q19" s="461"/>
      <c r="R19" s="461"/>
      <c r="S19" s="461"/>
      <c r="T19" s="461"/>
      <c r="U19" s="461" t="s">
        <v>53</v>
      </c>
      <c r="V19" s="603" t="s">
        <v>73</v>
      </c>
      <c r="W19" s="73"/>
      <c r="X19" s="603">
        <f>ROUND(M19*P19,-3)</f>
        <v>590880000</v>
      </c>
      <c r="Y19" s="74" t="s">
        <v>25</v>
      </c>
      <c r="Z19" s="6"/>
    </row>
    <row r="20" spans="1:26" s="11" customFormat="1" ht="19.5" customHeight="1">
      <c r="A20" s="61"/>
      <c r="B20" s="47"/>
      <c r="C20" s="47"/>
      <c r="D20" s="47"/>
      <c r="E20" s="49"/>
      <c r="F20" s="49"/>
      <c r="G20" s="50"/>
      <c r="H20" s="71"/>
      <c r="I20" s="451" t="s">
        <v>464</v>
      </c>
      <c r="J20" s="462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161" t="s">
        <v>73</v>
      </c>
      <c r="W20" s="162"/>
      <c r="X20" s="161">
        <f>SUM(X21:X23)</f>
        <v>204957000</v>
      </c>
      <c r="Y20" s="163" t="s">
        <v>25</v>
      </c>
      <c r="Z20" s="6"/>
    </row>
    <row r="21" spans="1:26" s="11" customFormat="1" ht="19.5" customHeight="1">
      <c r="A21" s="61"/>
      <c r="B21" s="47"/>
      <c r="C21" s="47"/>
      <c r="D21" s="47"/>
      <c r="E21" s="49"/>
      <c r="F21" s="49"/>
      <c r="G21" s="50"/>
      <c r="H21" s="71"/>
      <c r="I21" s="449" t="s">
        <v>465</v>
      </c>
      <c r="J21" s="462"/>
      <c r="K21" s="461"/>
      <c r="L21" s="461"/>
      <c r="M21" s="461">
        <v>83530000</v>
      </c>
      <c r="N21" s="461" t="s">
        <v>57</v>
      </c>
      <c r="O21" s="75" t="s">
        <v>58</v>
      </c>
      <c r="P21" s="352">
        <v>0.7</v>
      </c>
      <c r="Q21" s="461"/>
      <c r="R21" s="461"/>
      <c r="S21" s="461"/>
      <c r="T21" s="461"/>
      <c r="U21" s="461" t="s">
        <v>53</v>
      </c>
      <c r="V21" s="759"/>
      <c r="W21" s="759"/>
      <c r="X21" s="284">
        <f t="shared" ref="X21:X23" si="5">ROUND(M21*P21,-3)</f>
        <v>58471000</v>
      </c>
      <c r="Y21" s="134" t="s">
        <v>57</v>
      </c>
      <c r="Z21" s="6"/>
    </row>
    <row r="22" spans="1:26" s="11" customFormat="1" ht="19.5" customHeight="1">
      <c r="A22" s="61"/>
      <c r="B22" s="47"/>
      <c r="C22" s="47"/>
      <c r="D22" s="47"/>
      <c r="E22" s="49"/>
      <c r="F22" s="49"/>
      <c r="G22" s="50"/>
      <c r="H22" s="71"/>
      <c r="I22" s="449" t="s">
        <v>284</v>
      </c>
      <c r="J22" s="462"/>
      <c r="K22" s="461"/>
      <c r="L22" s="461"/>
      <c r="M22" s="461">
        <v>6480000</v>
      </c>
      <c r="N22" s="461" t="s">
        <v>57</v>
      </c>
      <c r="O22" s="75" t="s">
        <v>58</v>
      </c>
      <c r="P22" s="352">
        <v>0.7</v>
      </c>
      <c r="Q22" s="461"/>
      <c r="R22" s="461"/>
      <c r="S22" s="461"/>
      <c r="T22" s="461"/>
      <c r="U22" s="461" t="s">
        <v>53</v>
      </c>
      <c r="V22" s="752"/>
      <c r="W22" s="752"/>
      <c r="X22" s="69">
        <f t="shared" si="5"/>
        <v>4536000</v>
      </c>
      <c r="Y22" s="58" t="s">
        <v>57</v>
      </c>
      <c r="Z22" s="6"/>
    </row>
    <row r="23" spans="1:26" s="11" customFormat="1" ht="19.5" customHeight="1">
      <c r="A23" s="61"/>
      <c r="B23" s="47"/>
      <c r="C23" s="47"/>
      <c r="D23" s="47"/>
      <c r="E23" s="49"/>
      <c r="F23" s="49"/>
      <c r="G23" s="50"/>
      <c r="H23" s="71"/>
      <c r="I23" s="449" t="s">
        <v>467</v>
      </c>
      <c r="J23" s="462"/>
      <c r="K23" s="461"/>
      <c r="L23" s="461"/>
      <c r="M23" s="461">
        <v>202785000</v>
      </c>
      <c r="N23" s="461" t="s">
        <v>57</v>
      </c>
      <c r="O23" s="75" t="s">
        <v>58</v>
      </c>
      <c r="P23" s="352">
        <v>0.7</v>
      </c>
      <c r="Q23" s="461"/>
      <c r="R23" s="461"/>
      <c r="S23" s="461"/>
      <c r="T23" s="461"/>
      <c r="U23" s="461" t="s">
        <v>53</v>
      </c>
      <c r="V23" s="752"/>
      <c r="W23" s="752"/>
      <c r="X23" s="69">
        <f t="shared" si="5"/>
        <v>141950000</v>
      </c>
      <c r="Y23" s="58" t="s">
        <v>57</v>
      </c>
      <c r="Z23" s="6"/>
    </row>
    <row r="24" spans="1:26" s="11" customFormat="1" ht="19.5" customHeight="1">
      <c r="A24" s="61"/>
      <c r="B24" s="47"/>
      <c r="C24" s="47"/>
      <c r="D24" s="47"/>
      <c r="E24" s="49"/>
      <c r="F24" s="49"/>
      <c r="G24" s="50"/>
      <c r="H24" s="71"/>
      <c r="I24" s="450" t="s">
        <v>468</v>
      </c>
      <c r="J24" s="462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603" t="s">
        <v>73</v>
      </c>
      <c r="W24" s="73"/>
      <c r="X24" s="603">
        <f>X25</f>
        <v>66320000</v>
      </c>
      <c r="Y24" s="74" t="s">
        <v>25</v>
      </c>
      <c r="Z24" s="6"/>
    </row>
    <row r="25" spans="1:26" s="11" customFormat="1" ht="19.5" customHeight="1">
      <c r="A25" s="61"/>
      <c r="B25" s="47"/>
      <c r="C25" s="47"/>
      <c r="D25" s="47"/>
      <c r="E25" s="49"/>
      <c r="F25" s="49"/>
      <c r="G25" s="50"/>
      <c r="H25" s="71"/>
      <c r="I25" s="449" t="s">
        <v>632</v>
      </c>
      <c r="J25" s="462"/>
      <c r="K25" s="461"/>
      <c r="L25" s="461"/>
      <c r="M25" s="461">
        <f>SUM(M19:M23)</f>
        <v>1136909000</v>
      </c>
      <c r="N25" s="55" t="s">
        <v>57</v>
      </c>
      <c r="O25" s="601" t="s">
        <v>74</v>
      </c>
      <c r="P25" s="78">
        <v>12</v>
      </c>
      <c r="Q25" s="237" t="s">
        <v>0</v>
      </c>
      <c r="R25" s="75" t="s">
        <v>58</v>
      </c>
      <c r="S25" s="352">
        <v>0.7</v>
      </c>
      <c r="T25" s="461"/>
      <c r="U25" s="461" t="s">
        <v>53</v>
      </c>
      <c r="V25" s="95"/>
      <c r="W25" s="95"/>
      <c r="X25" s="284">
        <f>ROUND(M25/P25*S25,-3)</f>
        <v>66320000</v>
      </c>
      <c r="Y25" s="322" t="s">
        <v>57</v>
      </c>
      <c r="Z25" s="6"/>
    </row>
    <row r="26" spans="1:26" s="11" customFormat="1" ht="19.5" customHeight="1">
      <c r="A26" s="61"/>
      <c r="B26" s="47"/>
      <c r="C26" s="47"/>
      <c r="D26" s="47"/>
      <c r="E26" s="49"/>
      <c r="F26" s="49"/>
      <c r="G26" s="50"/>
      <c r="H26" s="71"/>
      <c r="I26" s="450" t="s">
        <v>469</v>
      </c>
      <c r="J26" s="462"/>
      <c r="K26" s="461"/>
      <c r="L26" s="461"/>
      <c r="M26" s="461"/>
      <c r="N26" s="55"/>
      <c r="O26" s="461"/>
      <c r="P26" s="461"/>
      <c r="Q26" s="461"/>
      <c r="R26" s="461"/>
      <c r="S26" s="461"/>
      <c r="T26" s="461"/>
      <c r="U26" s="461"/>
      <c r="V26" s="603" t="s">
        <v>73</v>
      </c>
      <c r="W26" s="73"/>
      <c r="X26" s="603">
        <f>SUM(X27:X31)</f>
        <v>73278000</v>
      </c>
      <c r="Y26" s="74" t="s">
        <v>25</v>
      </c>
      <c r="Z26" s="6"/>
    </row>
    <row r="27" spans="1:26" s="11" customFormat="1" ht="19.5" customHeight="1">
      <c r="A27" s="61"/>
      <c r="B27" s="47"/>
      <c r="C27" s="47"/>
      <c r="D27" s="47"/>
      <c r="E27" s="49"/>
      <c r="F27" s="49"/>
      <c r="G27" s="50"/>
      <c r="H27" s="71"/>
      <c r="I27" s="449" t="s">
        <v>470</v>
      </c>
      <c r="J27" s="462"/>
      <c r="K27" s="461"/>
      <c r="L27" s="461"/>
      <c r="M27" s="461">
        <f>M25</f>
        <v>1136909000</v>
      </c>
      <c r="N27" s="55" t="s">
        <v>57</v>
      </c>
      <c r="O27" s="75" t="s">
        <v>58</v>
      </c>
      <c r="P27" s="290">
        <v>0.09</v>
      </c>
      <c r="Q27" s="601">
        <v>2</v>
      </c>
      <c r="R27" s="75" t="s">
        <v>58</v>
      </c>
      <c r="S27" s="352">
        <v>0.7</v>
      </c>
      <c r="T27" s="77"/>
      <c r="U27" s="601" t="s">
        <v>53</v>
      </c>
      <c r="V27" s="461"/>
      <c r="W27" s="69"/>
      <c r="X27" s="69">
        <f>ROUND(M27*P27/Q27*S27,-3)</f>
        <v>35813000</v>
      </c>
      <c r="Y27" s="58" t="s">
        <v>57</v>
      </c>
      <c r="Z27" s="6"/>
    </row>
    <row r="28" spans="1:26" s="11" customFormat="1" ht="19.5" customHeight="1">
      <c r="A28" s="61"/>
      <c r="B28" s="47"/>
      <c r="C28" s="47"/>
      <c r="D28" s="47"/>
      <c r="E28" s="49"/>
      <c r="F28" s="49"/>
      <c r="G28" s="50"/>
      <c r="H28" s="71"/>
      <c r="I28" s="449" t="s">
        <v>471</v>
      </c>
      <c r="J28" s="462"/>
      <c r="K28" s="461"/>
      <c r="L28" s="461"/>
      <c r="M28" s="461">
        <f>M25</f>
        <v>1136909000</v>
      </c>
      <c r="N28" s="55" t="s">
        <v>57</v>
      </c>
      <c r="O28" s="75" t="s">
        <v>58</v>
      </c>
      <c r="P28" s="291">
        <v>6.0699999999999997E-2</v>
      </c>
      <c r="Q28" s="601">
        <v>2</v>
      </c>
      <c r="R28" s="75" t="s">
        <v>58</v>
      </c>
      <c r="S28" s="352">
        <v>0.7</v>
      </c>
      <c r="T28" s="77"/>
      <c r="U28" s="601" t="s">
        <v>53</v>
      </c>
      <c r="V28" s="461"/>
      <c r="W28" s="69"/>
      <c r="X28" s="69">
        <f>ROUNDDOWN(M28*P28/Q28*S28,-3)</f>
        <v>24153000</v>
      </c>
      <c r="Y28" s="58" t="s">
        <v>57</v>
      </c>
      <c r="Z28" s="6"/>
    </row>
    <row r="29" spans="1:26" s="11" customFormat="1" ht="19.5" customHeight="1">
      <c r="A29" s="61"/>
      <c r="B29" s="47"/>
      <c r="C29" s="47"/>
      <c r="D29" s="47"/>
      <c r="E29" s="49"/>
      <c r="F29" s="49"/>
      <c r="G29" s="50"/>
      <c r="H29" s="71"/>
      <c r="I29" s="449" t="s">
        <v>472</v>
      </c>
      <c r="J29" s="462"/>
      <c r="K29" s="461"/>
      <c r="L29" s="461"/>
      <c r="M29" s="461">
        <f>X28</f>
        <v>24153000</v>
      </c>
      <c r="N29" s="55" t="s">
        <v>57</v>
      </c>
      <c r="O29" s="75" t="s">
        <v>58</v>
      </c>
      <c r="P29" s="81">
        <v>6.5500000000000003E-2</v>
      </c>
      <c r="Q29" s="82"/>
      <c r="R29" s="75"/>
      <c r="S29" s="79"/>
      <c r="T29" s="84"/>
      <c r="U29" s="601" t="s">
        <v>53</v>
      </c>
      <c r="V29" s="461"/>
      <c r="W29" s="69"/>
      <c r="X29" s="69">
        <f>ROUND(M29*P29,-3)</f>
        <v>1582000</v>
      </c>
      <c r="Y29" s="58" t="s">
        <v>57</v>
      </c>
      <c r="Z29" s="6"/>
    </row>
    <row r="30" spans="1:26" s="11" customFormat="1" ht="19.5" customHeight="1">
      <c r="A30" s="61"/>
      <c r="B30" s="47"/>
      <c r="C30" s="47"/>
      <c r="D30" s="47"/>
      <c r="E30" s="49"/>
      <c r="F30" s="49"/>
      <c r="G30" s="50"/>
      <c r="H30" s="71"/>
      <c r="I30" s="449" t="s">
        <v>473</v>
      </c>
      <c r="J30" s="462"/>
      <c r="K30" s="461"/>
      <c r="L30" s="461"/>
      <c r="M30" s="461">
        <f>M25</f>
        <v>1136909000</v>
      </c>
      <c r="N30" s="55" t="s">
        <v>57</v>
      </c>
      <c r="O30" s="75" t="s">
        <v>58</v>
      </c>
      <c r="P30" s="81">
        <v>8.9999999999999993E-3</v>
      </c>
      <c r="Q30" s="75"/>
      <c r="R30" s="75" t="s">
        <v>58</v>
      </c>
      <c r="S30" s="352">
        <v>0.7</v>
      </c>
      <c r="T30" s="77"/>
      <c r="U30" s="601" t="s">
        <v>53</v>
      </c>
      <c r="V30" s="461"/>
      <c r="W30" s="69"/>
      <c r="X30" s="69">
        <f>ROUNDDOWN(M30*P30*S30,-3)</f>
        <v>7162000</v>
      </c>
      <c r="Y30" s="58" t="s">
        <v>57</v>
      </c>
      <c r="Z30" s="6"/>
    </row>
    <row r="31" spans="1:26" s="11" customFormat="1" ht="19.5" customHeight="1">
      <c r="A31" s="61"/>
      <c r="B31" s="47"/>
      <c r="C31" s="47"/>
      <c r="D31" s="47"/>
      <c r="E31" s="49"/>
      <c r="F31" s="49"/>
      <c r="G31" s="50"/>
      <c r="H31" s="71"/>
      <c r="I31" s="449" t="s">
        <v>474</v>
      </c>
      <c r="J31" s="462"/>
      <c r="K31" s="461"/>
      <c r="L31" s="461"/>
      <c r="M31" s="461">
        <f>M25</f>
        <v>1136909000</v>
      </c>
      <c r="N31" s="55" t="s">
        <v>57</v>
      </c>
      <c r="O31" s="75" t="s">
        <v>58</v>
      </c>
      <c r="P31" s="340">
        <v>5.7400000000000003E-3</v>
      </c>
      <c r="Q31" s="75"/>
      <c r="R31" s="75" t="s">
        <v>58</v>
      </c>
      <c r="S31" s="352">
        <v>0.7</v>
      </c>
      <c r="T31" s="77"/>
      <c r="U31" s="601" t="s">
        <v>53</v>
      </c>
      <c r="V31" s="461"/>
      <c r="W31" s="69"/>
      <c r="X31" s="69">
        <f>ROUND(M31*P31*S31,-3)</f>
        <v>4568000</v>
      </c>
      <c r="Y31" s="58" t="s">
        <v>57</v>
      </c>
      <c r="Z31" s="6"/>
    </row>
    <row r="32" spans="1:26" s="11" customFormat="1" ht="19.5" customHeight="1">
      <c r="A32" s="61"/>
      <c r="B32" s="47"/>
      <c r="C32" s="47"/>
      <c r="D32" s="60"/>
      <c r="E32" s="62"/>
      <c r="F32" s="62"/>
      <c r="G32" s="63"/>
      <c r="H32" s="91"/>
      <c r="I32" s="604"/>
      <c r="J32" s="73"/>
      <c r="K32" s="278"/>
      <c r="L32" s="278"/>
      <c r="M32" s="603"/>
      <c r="N32" s="603"/>
      <c r="O32" s="279"/>
      <c r="P32" s="603"/>
      <c r="Q32" s="144"/>
      <c r="R32" s="280"/>
      <c r="S32" s="88"/>
      <c r="T32" s="229"/>
      <c r="U32" s="229"/>
      <c r="V32" s="281"/>
      <c r="W32" s="604"/>
      <c r="X32" s="73"/>
      <c r="Y32" s="74"/>
      <c r="Z32" s="6"/>
    </row>
    <row r="33" spans="1:26" s="11" customFormat="1" ht="19.5" customHeight="1">
      <c r="A33" s="61"/>
      <c r="B33" s="47"/>
      <c r="C33" s="47"/>
      <c r="D33" s="37" t="s">
        <v>506</v>
      </c>
      <c r="E33" s="273">
        <v>0</v>
      </c>
      <c r="F33" s="273">
        <f>ROUND(X33/1000,0)</f>
        <v>55958</v>
      </c>
      <c r="G33" s="336">
        <f t="shared" ref="G33" si="6">F33-E33</f>
        <v>55958</v>
      </c>
      <c r="H33" s="132">
        <f t="shared" ref="H33" si="7">IF(E33=0,0,G33/E33)</f>
        <v>0</v>
      </c>
      <c r="I33" s="606" t="s">
        <v>633</v>
      </c>
      <c r="J33" s="607"/>
      <c r="K33" s="608"/>
      <c r="L33" s="608"/>
      <c r="M33" s="609"/>
      <c r="N33" s="609"/>
      <c r="O33" s="610"/>
      <c r="P33" s="609"/>
      <c r="Q33" s="611"/>
      <c r="R33" s="612"/>
      <c r="S33" s="613"/>
      <c r="T33" s="614"/>
      <c r="U33" s="614"/>
      <c r="V33" s="615" t="s">
        <v>634</v>
      </c>
      <c r="W33" s="616"/>
      <c r="X33" s="616">
        <f>SUM(X34:X35)+X37</f>
        <v>55958000</v>
      </c>
      <c r="Y33" s="617" t="s">
        <v>635</v>
      </c>
      <c r="Z33" s="6"/>
    </row>
    <row r="34" spans="1:26" s="11" customFormat="1" ht="19.5" customHeight="1">
      <c r="A34" s="61"/>
      <c r="B34" s="47"/>
      <c r="C34" s="47"/>
      <c r="D34" s="47"/>
      <c r="E34" s="49"/>
      <c r="F34" s="49"/>
      <c r="G34" s="50"/>
      <c r="H34" s="71"/>
      <c r="I34" s="359" t="s">
        <v>636</v>
      </c>
      <c r="J34" s="356"/>
      <c r="K34" s="618"/>
      <c r="L34" s="618"/>
      <c r="M34" s="347">
        <v>2090000</v>
      </c>
      <c r="N34" s="347" t="s">
        <v>25</v>
      </c>
      <c r="O34" s="619" t="s">
        <v>26</v>
      </c>
      <c r="P34" s="620">
        <v>30</v>
      </c>
      <c r="Q34" s="621" t="s">
        <v>637</v>
      </c>
      <c r="R34" s="499" t="s">
        <v>638</v>
      </c>
      <c r="S34" s="622">
        <v>0.7</v>
      </c>
      <c r="T34" s="504"/>
      <c r="U34" s="502" t="s">
        <v>639</v>
      </c>
      <c r="V34" s="623"/>
      <c r="W34" s="355"/>
      <c r="X34" s="356">
        <f>M34*P34*S34</f>
        <v>43890000</v>
      </c>
      <c r="Y34" s="469" t="s">
        <v>635</v>
      </c>
      <c r="Z34" s="6"/>
    </row>
    <row r="35" spans="1:26" s="11" customFormat="1" ht="19.5" customHeight="1">
      <c r="A35" s="61"/>
      <c r="B35" s="47"/>
      <c r="C35" s="47"/>
      <c r="D35" s="47"/>
      <c r="E35" s="49"/>
      <c r="F35" s="49"/>
      <c r="G35" s="50"/>
      <c r="H35" s="71"/>
      <c r="I35" s="359" t="s">
        <v>640</v>
      </c>
      <c r="J35" s="356"/>
      <c r="K35" s="618"/>
      <c r="L35" s="618"/>
      <c r="M35" s="347">
        <v>629000</v>
      </c>
      <c r="N35" s="347" t="s">
        <v>25</v>
      </c>
      <c r="O35" s="619" t="s">
        <v>26</v>
      </c>
      <c r="P35" s="620">
        <v>24</v>
      </c>
      <c r="Q35" s="621" t="s">
        <v>637</v>
      </c>
      <c r="R35" s="499" t="s">
        <v>638</v>
      </c>
      <c r="S35" s="622">
        <v>0.7</v>
      </c>
      <c r="T35" s="504"/>
      <c r="U35" s="502" t="s">
        <v>639</v>
      </c>
      <c r="V35" s="623"/>
      <c r="W35" s="355"/>
      <c r="X35" s="356">
        <f>ROUNDUP(M35*P35*S35,-3)</f>
        <v>10568000</v>
      </c>
      <c r="Y35" s="469" t="s">
        <v>635</v>
      </c>
      <c r="Z35" s="6"/>
    </row>
    <row r="36" spans="1:26" s="11" customFormat="1" ht="19.5" customHeight="1">
      <c r="A36" s="61"/>
      <c r="B36" s="47"/>
      <c r="C36" s="47"/>
      <c r="D36" s="47"/>
      <c r="E36" s="49"/>
      <c r="F36" s="49"/>
      <c r="G36" s="50"/>
      <c r="H36" s="71"/>
      <c r="I36" s="359"/>
      <c r="J36" s="356"/>
      <c r="K36" s="618"/>
      <c r="L36" s="618"/>
      <c r="M36" s="347"/>
      <c r="N36" s="347"/>
      <c r="O36" s="619"/>
      <c r="P36" s="624"/>
      <c r="Q36" s="621"/>
      <c r="R36" s="625"/>
      <c r="S36" s="626"/>
      <c r="T36" s="502"/>
      <c r="U36" s="502"/>
      <c r="V36" s="623"/>
      <c r="W36" s="355"/>
      <c r="X36" s="356"/>
      <c r="Y36" s="469"/>
      <c r="Z36" s="6"/>
    </row>
    <row r="37" spans="1:26" s="11" customFormat="1" ht="19.5" customHeight="1">
      <c r="A37" s="61"/>
      <c r="B37" s="47"/>
      <c r="C37" s="47"/>
      <c r="D37" s="47"/>
      <c r="E37" s="49"/>
      <c r="F37" s="49"/>
      <c r="G37" s="50"/>
      <c r="H37" s="71"/>
      <c r="I37" s="524" t="s">
        <v>641</v>
      </c>
      <c r="J37" s="356"/>
      <c r="K37" s="618"/>
      <c r="L37" s="618"/>
      <c r="M37" s="347"/>
      <c r="N37" s="347"/>
      <c r="O37" s="619"/>
      <c r="P37" s="347"/>
      <c r="Q37" s="621"/>
      <c r="R37" s="625"/>
      <c r="S37" s="626"/>
      <c r="T37" s="502"/>
      <c r="U37" s="502"/>
      <c r="V37" s="627" t="s">
        <v>634</v>
      </c>
      <c r="W37" s="526"/>
      <c r="X37" s="526">
        <f>X38</f>
        <v>1500000</v>
      </c>
      <c r="Y37" s="527" t="s">
        <v>635</v>
      </c>
      <c r="Z37" s="6"/>
    </row>
    <row r="38" spans="1:26" s="11" customFormat="1" ht="19.5" customHeight="1">
      <c r="A38" s="61"/>
      <c r="B38" s="47"/>
      <c r="C38" s="47"/>
      <c r="D38" s="47"/>
      <c r="E38" s="49"/>
      <c r="F38" s="49"/>
      <c r="G38" s="50"/>
      <c r="H38" s="71"/>
      <c r="I38" s="359" t="s">
        <v>929</v>
      </c>
      <c r="J38" s="356"/>
      <c r="K38" s="618"/>
      <c r="L38" s="618"/>
      <c r="M38" s="347">
        <v>3000000</v>
      </c>
      <c r="N38" s="347" t="s">
        <v>25</v>
      </c>
      <c r="O38" s="619" t="s">
        <v>26</v>
      </c>
      <c r="P38" s="624">
        <v>0.5</v>
      </c>
      <c r="Q38" s="621"/>
      <c r="R38" s="625"/>
      <c r="S38" s="626"/>
      <c r="T38" s="502"/>
      <c r="U38" s="502"/>
      <c r="V38" s="623"/>
      <c r="W38" s="355" t="s">
        <v>27</v>
      </c>
      <c r="X38" s="356">
        <f>M38*P38</f>
        <v>1500000</v>
      </c>
      <c r="Y38" s="469" t="s">
        <v>635</v>
      </c>
      <c r="Z38" s="6"/>
    </row>
    <row r="39" spans="1:26" s="11" customFormat="1" ht="19.5" customHeight="1">
      <c r="A39" s="61"/>
      <c r="B39" s="47"/>
      <c r="C39" s="47"/>
      <c r="D39" s="60"/>
      <c r="E39" s="62"/>
      <c r="F39" s="62"/>
      <c r="G39" s="63"/>
      <c r="H39" s="91"/>
      <c r="I39" s="524"/>
      <c r="J39" s="526"/>
      <c r="K39" s="628"/>
      <c r="L39" s="628"/>
      <c r="M39" s="525"/>
      <c r="N39" s="525"/>
      <c r="O39" s="629"/>
      <c r="P39" s="525"/>
      <c r="Q39" s="630"/>
      <c r="R39" s="631"/>
      <c r="S39" s="632"/>
      <c r="T39" s="633"/>
      <c r="U39" s="633"/>
      <c r="V39" s="634"/>
      <c r="W39" s="635"/>
      <c r="X39" s="526"/>
      <c r="Y39" s="527"/>
      <c r="Z39" s="6"/>
    </row>
    <row r="40" spans="1:26" s="11" customFormat="1" ht="19.5" customHeight="1">
      <c r="A40" s="61"/>
      <c r="B40" s="47"/>
      <c r="C40" s="37" t="s">
        <v>217</v>
      </c>
      <c r="D40" s="317" t="s">
        <v>169</v>
      </c>
      <c r="E40" s="249">
        <f>SUM(E41:E103)</f>
        <v>774540</v>
      </c>
      <c r="F40" s="249">
        <f>SUM(F41:F103)</f>
        <v>94594</v>
      </c>
      <c r="G40" s="250">
        <f t="shared" ref="G40:G41" si="8">F40-E40</f>
        <v>-679946</v>
      </c>
      <c r="H40" s="251">
        <f t="shared" ref="H40:H41" si="9">IF(E40=0,0,G40/E40)</f>
        <v>-0.87787073617889333</v>
      </c>
      <c r="I40" s="233" t="s">
        <v>281</v>
      </c>
      <c r="J40" s="234"/>
      <c r="K40" s="235"/>
      <c r="L40" s="235"/>
      <c r="M40" s="235"/>
      <c r="N40" s="235"/>
      <c r="O40" s="235"/>
      <c r="P40" s="236"/>
      <c r="Q40" s="236"/>
      <c r="R40" s="236"/>
      <c r="S40" s="236"/>
      <c r="T40" s="236"/>
      <c r="U40" s="236"/>
      <c r="V40" s="270" t="s">
        <v>73</v>
      </c>
      <c r="W40" s="271"/>
      <c r="X40" s="271">
        <f>SUM(X41,X46,X61,X68,X76,X101)</f>
        <v>94594000</v>
      </c>
      <c r="Y40" s="320" t="s">
        <v>57</v>
      </c>
      <c r="Z40" s="6"/>
    </row>
    <row r="41" spans="1:26" s="11" customFormat="1" ht="19.5" customHeight="1">
      <c r="A41" s="61"/>
      <c r="B41" s="47"/>
      <c r="C41" s="47" t="s">
        <v>218</v>
      </c>
      <c r="D41" s="37" t="s">
        <v>273</v>
      </c>
      <c r="E41" s="38">
        <v>5726</v>
      </c>
      <c r="F41" s="273">
        <f>ROUND(X41/1000,0)</f>
        <v>5017</v>
      </c>
      <c r="G41" s="39">
        <f t="shared" si="8"/>
        <v>-709</v>
      </c>
      <c r="H41" s="132">
        <f t="shared" si="9"/>
        <v>-0.12382116660845267</v>
      </c>
      <c r="I41" s="160" t="s">
        <v>271</v>
      </c>
      <c r="J41" s="179"/>
      <c r="K41" s="95"/>
      <c r="L41" s="95"/>
      <c r="M41" s="95"/>
      <c r="N41" s="288"/>
      <c r="O41" s="274"/>
      <c r="P41" s="95"/>
      <c r="Q41" s="275"/>
      <c r="R41" s="276"/>
      <c r="S41" s="277"/>
      <c r="T41" s="277"/>
      <c r="U41" s="288"/>
      <c r="V41" s="255" t="s">
        <v>272</v>
      </c>
      <c r="W41" s="162"/>
      <c r="X41" s="162">
        <f>SUM(X42:X44)</f>
        <v>5017000</v>
      </c>
      <c r="Y41" s="163" t="s">
        <v>57</v>
      </c>
      <c r="Z41" s="6"/>
    </row>
    <row r="42" spans="1:26" s="11" customFormat="1" ht="19.5" customHeight="1">
      <c r="A42" s="61"/>
      <c r="B42" s="47"/>
      <c r="C42" s="47"/>
      <c r="D42" s="47"/>
      <c r="E42" s="49"/>
      <c r="F42" s="49"/>
      <c r="G42" s="50"/>
      <c r="H42" s="71"/>
      <c r="I42" s="449" t="s">
        <v>462</v>
      </c>
      <c r="J42" s="462"/>
      <c r="K42" s="461"/>
      <c r="L42" s="461"/>
      <c r="M42" s="461">
        <v>231464</v>
      </c>
      <c r="N42" s="601" t="s">
        <v>25</v>
      </c>
      <c r="O42" s="237" t="s">
        <v>26</v>
      </c>
      <c r="P42" s="602">
        <v>25</v>
      </c>
      <c r="Q42" s="55" t="s">
        <v>167</v>
      </c>
      <c r="R42" s="238" t="s">
        <v>26</v>
      </c>
      <c r="S42" s="241">
        <v>12</v>
      </c>
      <c r="T42" s="241" t="s">
        <v>29</v>
      </c>
      <c r="U42" s="601" t="s">
        <v>26</v>
      </c>
      <c r="V42" s="293">
        <v>7.0000000000000007E-2</v>
      </c>
      <c r="W42" s="69" t="s">
        <v>27</v>
      </c>
      <c r="X42" s="69">
        <f>ROUND(M42*P42*S42*V42,-3)</f>
        <v>4861000</v>
      </c>
      <c r="Y42" s="58" t="s">
        <v>57</v>
      </c>
      <c r="Z42" s="6"/>
    </row>
    <row r="43" spans="1:26" s="11" customFormat="1" ht="19.5" customHeight="1">
      <c r="A43" s="61"/>
      <c r="B43" s="47"/>
      <c r="C43" s="47"/>
      <c r="D43" s="47"/>
      <c r="E43" s="49"/>
      <c r="F43" s="49"/>
      <c r="G43" s="50"/>
      <c r="H43" s="71"/>
      <c r="I43" s="449" t="s">
        <v>220</v>
      </c>
      <c r="J43" s="462"/>
      <c r="K43" s="461"/>
      <c r="L43" s="461"/>
      <c r="M43" s="461">
        <v>29340</v>
      </c>
      <c r="N43" s="601" t="s">
        <v>25</v>
      </c>
      <c r="O43" s="237" t="s">
        <v>26</v>
      </c>
      <c r="P43" s="602">
        <v>25</v>
      </c>
      <c r="Q43" s="55" t="s">
        <v>167</v>
      </c>
      <c r="R43" s="239" t="s">
        <v>26</v>
      </c>
      <c r="S43" s="241">
        <v>1</v>
      </c>
      <c r="T43" s="241" t="s">
        <v>219</v>
      </c>
      <c r="U43" s="601" t="s">
        <v>26</v>
      </c>
      <c r="V43" s="293">
        <v>7.0000000000000007E-2</v>
      </c>
      <c r="W43" s="69" t="s">
        <v>27</v>
      </c>
      <c r="X43" s="69">
        <f t="shared" ref="X43" si="10">ROUND(M43*P43*S43*V43,-3)</f>
        <v>51000</v>
      </c>
      <c r="Y43" s="58" t="s">
        <v>57</v>
      </c>
      <c r="Z43" s="6"/>
    </row>
    <row r="44" spans="1:26" s="11" customFormat="1" ht="19.5" customHeight="1">
      <c r="A44" s="61"/>
      <c r="B44" s="47"/>
      <c r="C44" s="47"/>
      <c r="D44" s="47"/>
      <c r="E44" s="49"/>
      <c r="F44" s="49"/>
      <c r="G44" s="50"/>
      <c r="H44" s="71"/>
      <c r="I44" s="449" t="s">
        <v>221</v>
      </c>
      <c r="J44" s="69"/>
      <c r="K44" s="240"/>
      <c r="L44" s="240"/>
      <c r="M44" s="461">
        <v>30000</v>
      </c>
      <c r="N44" s="461" t="s">
        <v>25</v>
      </c>
      <c r="O44" s="237" t="s">
        <v>26</v>
      </c>
      <c r="P44" s="602">
        <v>25</v>
      </c>
      <c r="Q44" s="55" t="s">
        <v>167</v>
      </c>
      <c r="R44" s="239" t="s">
        <v>26</v>
      </c>
      <c r="S44" s="57">
        <v>2</v>
      </c>
      <c r="T44" s="601" t="s">
        <v>219</v>
      </c>
      <c r="U44" s="601" t="s">
        <v>26</v>
      </c>
      <c r="V44" s="293">
        <v>7.0000000000000007E-2</v>
      </c>
      <c r="W44" s="257" t="s">
        <v>27</v>
      </c>
      <c r="X44" s="69">
        <f>ROUND(M44*P44*S44*V44,-3)</f>
        <v>105000</v>
      </c>
      <c r="Y44" s="58" t="s">
        <v>57</v>
      </c>
      <c r="Z44" s="6"/>
    </row>
    <row r="45" spans="1:26" s="11" customFormat="1" ht="19.5" customHeight="1">
      <c r="A45" s="61"/>
      <c r="B45" s="47"/>
      <c r="C45" s="47"/>
      <c r="D45" s="60"/>
      <c r="E45" s="62"/>
      <c r="F45" s="62"/>
      <c r="G45" s="63"/>
      <c r="H45" s="91"/>
      <c r="I45" s="259"/>
      <c r="J45" s="73"/>
      <c r="K45" s="278"/>
      <c r="L45" s="278"/>
      <c r="M45" s="258"/>
      <c r="N45" s="258"/>
      <c r="O45" s="279"/>
      <c r="P45" s="258"/>
      <c r="Q45" s="144"/>
      <c r="R45" s="280"/>
      <c r="S45" s="88"/>
      <c r="T45" s="229"/>
      <c r="U45" s="229"/>
      <c r="V45" s="281"/>
      <c r="W45" s="259"/>
      <c r="X45" s="73"/>
      <c r="Y45" s="74"/>
      <c r="Z45" s="6"/>
    </row>
    <row r="46" spans="1:26" s="11" customFormat="1" ht="19.5" customHeight="1" thickBot="1">
      <c r="A46" s="61"/>
      <c r="B46" s="47"/>
      <c r="C46" s="47"/>
      <c r="D46" s="37" t="s">
        <v>282</v>
      </c>
      <c r="E46" s="38">
        <v>694673</v>
      </c>
      <c r="F46" s="273">
        <f>ROUND(X46/1000,0)</f>
        <v>60136</v>
      </c>
      <c r="G46" s="39">
        <f t="shared" ref="G46" si="11">F46-E46</f>
        <v>-634537</v>
      </c>
      <c r="H46" s="132">
        <f t="shared" ref="H46" si="12">IF(E46=0,0,G46/E46)</f>
        <v>-0.91343265104588778</v>
      </c>
      <c r="I46" s="285" t="s">
        <v>631</v>
      </c>
      <c r="J46" s="284"/>
      <c r="K46" s="292"/>
      <c r="L46" s="292"/>
      <c r="M46" s="95"/>
      <c r="N46" s="95"/>
      <c r="O46" s="274"/>
      <c r="P46" s="95"/>
      <c r="Q46" s="275"/>
      <c r="R46" s="282"/>
      <c r="S46" s="283"/>
      <c r="T46" s="288"/>
      <c r="U46" s="288"/>
      <c r="V46" s="286" t="s">
        <v>272</v>
      </c>
      <c r="W46" s="287"/>
      <c r="X46" s="287">
        <f>SUM(X47,X48,X52,X54)</f>
        <v>60136000</v>
      </c>
      <c r="Y46" s="321" t="s">
        <v>57</v>
      </c>
      <c r="Z46" s="6"/>
    </row>
    <row r="47" spans="1:26" s="11" customFormat="1" ht="19.5" customHeight="1">
      <c r="A47" s="61"/>
      <c r="B47" s="47"/>
      <c r="C47" s="47"/>
      <c r="D47" s="47"/>
      <c r="E47" s="49"/>
      <c r="F47" s="49"/>
      <c r="G47" s="50"/>
      <c r="H47" s="71"/>
      <c r="I47" s="450" t="s">
        <v>463</v>
      </c>
      <c r="J47" s="257"/>
      <c r="K47" s="256"/>
      <c r="L47" s="256"/>
      <c r="M47" s="461">
        <v>844114000</v>
      </c>
      <c r="N47" s="256" t="s">
        <v>277</v>
      </c>
      <c r="O47" s="75" t="s">
        <v>288</v>
      </c>
      <c r="P47" s="352">
        <v>4.4999999999999998E-2</v>
      </c>
      <c r="Q47" s="256"/>
      <c r="R47" s="256"/>
      <c r="S47" s="256"/>
      <c r="T47" s="256"/>
      <c r="U47" s="256" t="s">
        <v>289</v>
      </c>
      <c r="V47" s="258" t="s">
        <v>290</v>
      </c>
      <c r="W47" s="73"/>
      <c r="X47" s="258">
        <f>ROUND(M47*P47,-3)</f>
        <v>37985000</v>
      </c>
      <c r="Y47" s="74" t="s">
        <v>25</v>
      </c>
      <c r="Z47" s="6"/>
    </row>
    <row r="48" spans="1:26" s="11" customFormat="1" ht="19.5" customHeight="1">
      <c r="A48" s="61"/>
      <c r="B48" s="47"/>
      <c r="C48" s="47"/>
      <c r="D48" s="47"/>
      <c r="E48" s="49"/>
      <c r="F48" s="49"/>
      <c r="G48" s="50"/>
      <c r="H48" s="71"/>
      <c r="I48" s="451" t="s">
        <v>464</v>
      </c>
      <c r="J48" s="257"/>
      <c r="K48" s="256"/>
      <c r="L48" s="256"/>
      <c r="M48" s="461"/>
      <c r="N48" s="256"/>
      <c r="O48" s="256"/>
      <c r="P48" s="256"/>
      <c r="Q48" s="256"/>
      <c r="R48" s="256"/>
      <c r="S48" s="256"/>
      <c r="T48" s="256"/>
      <c r="U48" s="256"/>
      <c r="V48" s="161" t="s">
        <v>290</v>
      </c>
      <c r="W48" s="162"/>
      <c r="X48" s="161">
        <f>SUM(X49:X51)</f>
        <v>13176000</v>
      </c>
      <c r="Y48" s="163" t="s">
        <v>25</v>
      </c>
      <c r="Z48" s="6"/>
    </row>
    <row r="49" spans="1:27" s="11" customFormat="1" ht="19.5" customHeight="1">
      <c r="A49" s="61"/>
      <c r="B49" s="47"/>
      <c r="C49" s="47"/>
      <c r="D49" s="47"/>
      <c r="E49" s="49"/>
      <c r="F49" s="49"/>
      <c r="G49" s="50"/>
      <c r="H49" s="71"/>
      <c r="I49" s="449" t="s">
        <v>465</v>
      </c>
      <c r="J49" s="257"/>
      <c r="K49" s="256"/>
      <c r="L49" s="256"/>
      <c r="M49" s="461">
        <v>83530000</v>
      </c>
      <c r="N49" s="256" t="s">
        <v>277</v>
      </c>
      <c r="O49" s="75" t="s">
        <v>288</v>
      </c>
      <c r="P49" s="352">
        <v>4.4999999999999998E-2</v>
      </c>
      <c r="Q49" s="256"/>
      <c r="R49" s="256"/>
      <c r="S49" s="256"/>
      <c r="T49" s="256"/>
      <c r="U49" s="256" t="s">
        <v>289</v>
      </c>
      <c r="V49" s="759"/>
      <c r="W49" s="759"/>
      <c r="X49" s="284">
        <f t="shared" ref="X49:X51" si="13">ROUND(M49*P49,-3)</f>
        <v>3759000</v>
      </c>
      <c r="Y49" s="134" t="s">
        <v>283</v>
      </c>
      <c r="Z49" s="6"/>
    </row>
    <row r="50" spans="1:27" s="11" customFormat="1" ht="19.5" customHeight="1">
      <c r="A50" s="61"/>
      <c r="B50" s="47"/>
      <c r="C50" s="47"/>
      <c r="D50" s="47"/>
      <c r="E50" s="49"/>
      <c r="F50" s="49"/>
      <c r="G50" s="50"/>
      <c r="H50" s="71"/>
      <c r="I50" s="449" t="s">
        <v>466</v>
      </c>
      <c r="J50" s="257"/>
      <c r="K50" s="256"/>
      <c r="L50" s="256"/>
      <c r="M50" s="461">
        <v>6480000</v>
      </c>
      <c r="N50" s="256" t="s">
        <v>277</v>
      </c>
      <c r="O50" s="75" t="s">
        <v>288</v>
      </c>
      <c r="P50" s="352">
        <v>4.4999999999999998E-2</v>
      </c>
      <c r="Q50" s="256"/>
      <c r="R50" s="256"/>
      <c r="S50" s="256"/>
      <c r="T50" s="256"/>
      <c r="U50" s="256" t="s">
        <v>289</v>
      </c>
      <c r="V50" s="752"/>
      <c r="W50" s="752"/>
      <c r="X50" s="69">
        <f t="shared" si="13"/>
        <v>292000</v>
      </c>
      <c r="Y50" s="58" t="s">
        <v>283</v>
      </c>
      <c r="Z50" s="6"/>
    </row>
    <row r="51" spans="1:27" s="11" customFormat="1" ht="19.5" customHeight="1">
      <c r="A51" s="61"/>
      <c r="B51" s="47"/>
      <c r="C51" s="47"/>
      <c r="D51" s="47"/>
      <c r="E51" s="49"/>
      <c r="F51" s="49"/>
      <c r="G51" s="50"/>
      <c r="H51" s="71"/>
      <c r="I51" s="449" t="s">
        <v>467</v>
      </c>
      <c r="J51" s="257"/>
      <c r="K51" s="256"/>
      <c r="L51" s="256"/>
      <c r="M51" s="461">
        <v>202785000</v>
      </c>
      <c r="N51" s="256" t="s">
        <v>277</v>
      </c>
      <c r="O51" s="75" t="s">
        <v>288</v>
      </c>
      <c r="P51" s="352">
        <v>4.4999999999999998E-2</v>
      </c>
      <c r="Q51" s="256"/>
      <c r="R51" s="256"/>
      <c r="S51" s="256"/>
      <c r="T51" s="256"/>
      <c r="U51" s="256" t="s">
        <v>289</v>
      </c>
      <c r="V51" s="752"/>
      <c r="W51" s="752"/>
      <c r="X51" s="69">
        <f t="shared" si="13"/>
        <v>9125000</v>
      </c>
      <c r="Y51" s="58" t="s">
        <v>283</v>
      </c>
      <c r="Z51" s="6"/>
    </row>
    <row r="52" spans="1:27" s="11" customFormat="1" ht="19.5" customHeight="1">
      <c r="A52" s="61"/>
      <c r="B52" s="47"/>
      <c r="C52" s="47"/>
      <c r="D52" s="47"/>
      <c r="E52" s="49"/>
      <c r="F52" s="49"/>
      <c r="G52" s="50"/>
      <c r="H52" s="71"/>
      <c r="I52" s="450" t="s">
        <v>468</v>
      </c>
      <c r="J52" s="257"/>
      <c r="K52" s="256"/>
      <c r="L52" s="256"/>
      <c r="M52" s="461"/>
      <c r="N52" s="256"/>
      <c r="O52" s="256"/>
      <c r="P52" s="256"/>
      <c r="Q52" s="256"/>
      <c r="R52" s="256"/>
      <c r="S52" s="256"/>
      <c r="T52" s="256"/>
      <c r="U52" s="256"/>
      <c r="V52" s="258" t="s">
        <v>290</v>
      </c>
      <c r="W52" s="73"/>
      <c r="X52" s="258">
        <f>X53</f>
        <v>4263000</v>
      </c>
      <c r="Y52" s="74" t="s">
        <v>25</v>
      </c>
      <c r="Z52" s="6"/>
    </row>
    <row r="53" spans="1:27" s="11" customFormat="1" ht="19.5" customHeight="1">
      <c r="A53" s="61"/>
      <c r="B53" s="47"/>
      <c r="C53" s="47"/>
      <c r="D53" s="47"/>
      <c r="E53" s="49"/>
      <c r="F53" s="49"/>
      <c r="G53" s="50"/>
      <c r="H53" s="71"/>
      <c r="I53" s="449" t="s">
        <v>632</v>
      </c>
      <c r="J53" s="257"/>
      <c r="K53" s="256"/>
      <c r="L53" s="256"/>
      <c r="M53" s="461">
        <f>SUM(M47:M51)</f>
        <v>1136909000</v>
      </c>
      <c r="N53" s="55" t="s">
        <v>283</v>
      </c>
      <c r="O53" s="289" t="s">
        <v>285</v>
      </c>
      <c r="P53" s="78">
        <v>12</v>
      </c>
      <c r="Q53" s="237" t="s">
        <v>286</v>
      </c>
      <c r="R53" s="75" t="s">
        <v>288</v>
      </c>
      <c r="S53" s="352">
        <v>4.4999999999999998E-2</v>
      </c>
      <c r="T53" s="256"/>
      <c r="U53" s="256" t="s">
        <v>287</v>
      </c>
      <c r="V53" s="95"/>
      <c r="W53" s="95"/>
      <c r="X53" s="284">
        <f>ROUND(M53/P53*S53,-3)</f>
        <v>4263000</v>
      </c>
      <c r="Y53" s="322" t="s">
        <v>277</v>
      </c>
      <c r="Z53" s="231"/>
      <c r="AA53" s="6"/>
    </row>
    <row r="54" spans="1:27" s="11" customFormat="1" ht="19.5" customHeight="1">
      <c r="A54" s="61"/>
      <c r="B54" s="47"/>
      <c r="C54" s="47"/>
      <c r="D54" s="47"/>
      <c r="E54" s="49"/>
      <c r="F54" s="49"/>
      <c r="G54" s="50"/>
      <c r="H54" s="71"/>
      <c r="I54" s="450" t="s">
        <v>469</v>
      </c>
      <c r="J54" s="257"/>
      <c r="K54" s="256"/>
      <c r="L54" s="256"/>
      <c r="M54" s="461"/>
      <c r="N54" s="55"/>
      <c r="O54" s="256"/>
      <c r="P54" s="256"/>
      <c r="Q54" s="256"/>
      <c r="R54" s="256"/>
      <c r="S54" s="256"/>
      <c r="T54" s="256"/>
      <c r="U54" s="256"/>
      <c r="V54" s="258" t="s">
        <v>290</v>
      </c>
      <c r="W54" s="73"/>
      <c r="X54" s="258">
        <f>SUM(X55:X59)</f>
        <v>4712000</v>
      </c>
      <c r="Y54" s="74" t="s">
        <v>25</v>
      </c>
      <c r="Z54" s="6"/>
    </row>
    <row r="55" spans="1:27" s="11" customFormat="1" ht="19.5" customHeight="1">
      <c r="A55" s="61"/>
      <c r="B55" s="47"/>
      <c r="C55" s="47"/>
      <c r="D55" s="47"/>
      <c r="E55" s="49"/>
      <c r="F55" s="49"/>
      <c r="G55" s="50"/>
      <c r="H55" s="71"/>
      <c r="I55" s="449" t="s">
        <v>470</v>
      </c>
      <c r="J55" s="257"/>
      <c r="K55" s="256"/>
      <c r="L55" s="256"/>
      <c r="M55" s="461">
        <f>M53</f>
        <v>1136909000</v>
      </c>
      <c r="N55" s="55" t="s">
        <v>283</v>
      </c>
      <c r="O55" s="75" t="s">
        <v>288</v>
      </c>
      <c r="P55" s="290">
        <v>0.09</v>
      </c>
      <c r="Q55" s="289">
        <v>2</v>
      </c>
      <c r="R55" s="75" t="s">
        <v>288</v>
      </c>
      <c r="S55" s="352">
        <v>4.4999999999999998E-2</v>
      </c>
      <c r="T55" s="77"/>
      <c r="U55" s="289" t="s">
        <v>287</v>
      </c>
      <c r="V55" s="256"/>
      <c r="W55" s="69"/>
      <c r="X55" s="69">
        <f>ROUND(M55*P55/Q55*S55,-3)</f>
        <v>2302000</v>
      </c>
      <c r="Y55" s="58" t="s">
        <v>283</v>
      </c>
      <c r="Z55" s="6"/>
    </row>
    <row r="56" spans="1:27" s="11" customFormat="1" ht="19.5" customHeight="1">
      <c r="A56" s="61"/>
      <c r="B56" s="47"/>
      <c r="C56" s="47"/>
      <c r="D56" s="47"/>
      <c r="E56" s="49"/>
      <c r="F56" s="49"/>
      <c r="G56" s="50"/>
      <c r="H56" s="71"/>
      <c r="I56" s="449" t="s">
        <v>471</v>
      </c>
      <c r="J56" s="257"/>
      <c r="K56" s="256"/>
      <c r="L56" s="256"/>
      <c r="M56" s="461">
        <f>M53</f>
        <v>1136909000</v>
      </c>
      <c r="N56" s="55" t="s">
        <v>283</v>
      </c>
      <c r="O56" s="75" t="s">
        <v>288</v>
      </c>
      <c r="P56" s="291">
        <v>6.0699999999999997E-2</v>
      </c>
      <c r="Q56" s="289">
        <v>2</v>
      </c>
      <c r="R56" s="75" t="s">
        <v>288</v>
      </c>
      <c r="S56" s="352">
        <v>4.4999999999999998E-2</v>
      </c>
      <c r="T56" s="77"/>
      <c r="U56" s="289" t="s">
        <v>287</v>
      </c>
      <c r="V56" s="256"/>
      <c r="W56" s="69"/>
      <c r="X56" s="69">
        <f>ROUND(M56*P56/Q56*S56,-3)</f>
        <v>1553000</v>
      </c>
      <c r="Y56" s="58" t="s">
        <v>283</v>
      </c>
      <c r="Z56" s="6"/>
    </row>
    <row r="57" spans="1:27" s="11" customFormat="1" ht="19.5" customHeight="1">
      <c r="A57" s="61"/>
      <c r="B57" s="47"/>
      <c r="C57" s="47"/>
      <c r="D57" s="47"/>
      <c r="E57" s="49"/>
      <c r="F57" s="49"/>
      <c r="G57" s="50"/>
      <c r="H57" s="71"/>
      <c r="I57" s="449" t="s">
        <v>472</v>
      </c>
      <c r="J57" s="257"/>
      <c r="K57" s="256"/>
      <c r="L57" s="256"/>
      <c r="M57" s="461">
        <f>X56</f>
        <v>1553000</v>
      </c>
      <c r="N57" s="55" t="s">
        <v>283</v>
      </c>
      <c r="O57" s="75" t="s">
        <v>288</v>
      </c>
      <c r="P57" s="81">
        <v>6.5500000000000003E-2</v>
      </c>
      <c r="Q57" s="82"/>
      <c r="R57" s="75"/>
      <c r="S57" s="79"/>
      <c r="T57" s="84"/>
      <c r="U57" s="289" t="s">
        <v>287</v>
      </c>
      <c r="V57" s="256"/>
      <c r="W57" s="69"/>
      <c r="X57" s="69">
        <f>ROUND(M57*P57,-3)</f>
        <v>102000</v>
      </c>
      <c r="Y57" s="58" t="s">
        <v>283</v>
      </c>
      <c r="Z57" s="6"/>
    </row>
    <row r="58" spans="1:27" s="11" customFormat="1" ht="19.5" customHeight="1">
      <c r="A58" s="61"/>
      <c r="B58" s="47"/>
      <c r="C58" s="47"/>
      <c r="D58" s="47"/>
      <c r="E58" s="49"/>
      <c r="F58" s="49"/>
      <c r="G58" s="50"/>
      <c r="H58" s="71"/>
      <c r="I58" s="449" t="s">
        <v>473</v>
      </c>
      <c r="J58" s="257"/>
      <c r="K58" s="256"/>
      <c r="L58" s="256"/>
      <c r="M58" s="461">
        <f>M53</f>
        <v>1136909000</v>
      </c>
      <c r="N58" s="55" t="s">
        <v>283</v>
      </c>
      <c r="O58" s="75" t="s">
        <v>288</v>
      </c>
      <c r="P58" s="81">
        <v>8.9999999999999993E-3</v>
      </c>
      <c r="Q58" s="75"/>
      <c r="R58" s="75" t="s">
        <v>288</v>
      </c>
      <c r="S58" s="352">
        <v>4.4999999999999998E-2</v>
      </c>
      <c r="T58" s="77"/>
      <c r="U58" s="289" t="s">
        <v>287</v>
      </c>
      <c r="V58" s="256"/>
      <c r="W58" s="69"/>
      <c r="X58" s="69">
        <f>ROUNDUP(M58*P58*S58,-3)</f>
        <v>461000</v>
      </c>
      <c r="Y58" s="58" t="s">
        <v>283</v>
      </c>
      <c r="Z58" s="6"/>
    </row>
    <row r="59" spans="1:27" s="11" customFormat="1" ht="19.5" customHeight="1">
      <c r="A59" s="61"/>
      <c r="B59" s="47"/>
      <c r="C59" s="47"/>
      <c r="D59" s="47"/>
      <c r="E59" s="49"/>
      <c r="F59" s="49"/>
      <c r="G59" s="50"/>
      <c r="H59" s="71"/>
      <c r="I59" s="449" t="s">
        <v>474</v>
      </c>
      <c r="J59" s="257"/>
      <c r="K59" s="256"/>
      <c r="L59" s="256"/>
      <c r="M59" s="461">
        <f>M53</f>
        <v>1136909000</v>
      </c>
      <c r="N59" s="55" t="s">
        <v>283</v>
      </c>
      <c r="O59" s="75" t="s">
        <v>288</v>
      </c>
      <c r="P59" s="340">
        <v>5.7400000000000003E-3</v>
      </c>
      <c r="Q59" s="75"/>
      <c r="R59" s="75" t="s">
        <v>288</v>
      </c>
      <c r="S59" s="352">
        <v>4.4999999999999998E-2</v>
      </c>
      <c r="T59" s="77"/>
      <c r="U59" s="289" t="s">
        <v>287</v>
      </c>
      <c r="V59" s="256"/>
      <c r="W59" s="69"/>
      <c r="X59" s="69">
        <f>ROUND(M59*P59*S59,-3)</f>
        <v>294000</v>
      </c>
      <c r="Y59" s="58" t="s">
        <v>283</v>
      </c>
      <c r="Z59" s="6"/>
    </row>
    <row r="60" spans="1:27" s="11" customFormat="1" ht="19.5" customHeight="1">
      <c r="A60" s="61"/>
      <c r="B60" s="47"/>
      <c r="C60" s="47"/>
      <c r="D60" s="60"/>
      <c r="E60" s="62"/>
      <c r="F60" s="62"/>
      <c r="G60" s="63"/>
      <c r="H60" s="91"/>
      <c r="I60" s="259"/>
      <c r="J60" s="73"/>
      <c r="K60" s="278"/>
      <c r="L60" s="278"/>
      <c r="M60" s="258"/>
      <c r="N60" s="258"/>
      <c r="O60" s="279"/>
      <c r="P60" s="258"/>
      <c r="Q60" s="144"/>
      <c r="R60" s="280"/>
      <c r="S60" s="88"/>
      <c r="T60" s="229"/>
      <c r="U60" s="229"/>
      <c r="V60" s="281"/>
      <c r="W60" s="259"/>
      <c r="X60" s="73"/>
      <c r="Y60" s="74"/>
      <c r="Z60" s="6"/>
    </row>
    <row r="61" spans="1:27" s="11" customFormat="1" ht="19.5" customHeight="1" thickBot="1">
      <c r="A61" s="61"/>
      <c r="B61" s="47"/>
      <c r="C61" s="47"/>
      <c r="D61" s="37" t="s">
        <v>291</v>
      </c>
      <c r="E61" s="38">
        <v>41035</v>
      </c>
      <c r="F61" s="273">
        <f>ROUND(X61/1000,0)</f>
        <v>5000</v>
      </c>
      <c r="G61" s="39">
        <f t="shared" ref="G61" si="14">F61-E61</f>
        <v>-36035</v>
      </c>
      <c r="H61" s="132">
        <f t="shared" ref="H61" si="15">IF(E61=0,0,G61/E61)</f>
        <v>-0.87815279639332278</v>
      </c>
      <c r="I61" s="285" t="s">
        <v>292</v>
      </c>
      <c r="J61" s="284"/>
      <c r="K61" s="292"/>
      <c r="L61" s="292"/>
      <c r="M61" s="95"/>
      <c r="N61" s="95"/>
      <c r="O61" s="274"/>
      <c r="P61" s="95"/>
      <c r="Q61" s="275"/>
      <c r="R61" s="282"/>
      <c r="S61" s="283"/>
      <c r="T61" s="288"/>
      <c r="U61" s="288"/>
      <c r="V61" s="286" t="s">
        <v>272</v>
      </c>
      <c r="W61" s="287"/>
      <c r="X61" s="287">
        <f>SUM(X62:X66)</f>
        <v>5000000</v>
      </c>
      <c r="Y61" s="321" t="s">
        <v>57</v>
      </c>
      <c r="Z61" s="6"/>
    </row>
    <row r="62" spans="1:27" s="11" customFormat="1" ht="19.5" customHeight="1">
      <c r="A62" s="61"/>
      <c r="B62" s="47"/>
      <c r="C62" s="47"/>
      <c r="D62" s="47"/>
      <c r="E62" s="49"/>
      <c r="F62" s="49"/>
      <c r="G62" s="50"/>
      <c r="H62" s="71"/>
      <c r="I62" s="257" t="s">
        <v>293</v>
      </c>
      <c r="J62" s="69"/>
      <c r="K62" s="240"/>
      <c r="L62" s="240"/>
      <c r="M62" s="347">
        <v>2090000</v>
      </c>
      <c r="N62" s="347" t="s">
        <v>25</v>
      </c>
      <c r="O62" s="619" t="s">
        <v>26</v>
      </c>
      <c r="P62" s="620">
        <v>30</v>
      </c>
      <c r="Q62" s="621" t="s">
        <v>637</v>
      </c>
      <c r="R62" s="499" t="s">
        <v>638</v>
      </c>
      <c r="S62" s="622">
        <v>4.4999999999999998E-2</v>
      </c>
      <c r="T62" s="504"/>
      <c r="U62" s="502" t="s">
        <v>639</v>
      </c>
      <c r="V62" s="752"/>
      <c r="W62" s="752"/>
      <c r="X62" s="69">
        <f>ROUNDDOWN(M62*P62*S62,-3)</f>
        <v>2821000</v>
      </c>
      <c r="Y62" s="58" t="s">
        <v>283</v>
      </c>
      <c r="Z62" s="6"/>
    </row>
    <row r="63" spans="1:27" s="11" customFormat="1" ht="19.5" customHeight="1">
      <c r="A63" s="61"/>
      <c r="B63" s="47"/>
      <c r="C63" s="47"/>
      <c r="D63" s="47"/>
      <c r="E63" s="49"/>
      <c r="F63" s="49"/>
      <c r="G63" s="50"/>
      <c r="H63" s="71"/>
      <c r="I63" s="257" t="s">
        <v>294</v>
      </c>
      <c r="J63" s="69"/>
      <c r="K63" s="240"/>
      <c r="L63" s="240"/>
      <c r="M63" s="347">
        <v>629000</v>
      </c>
      <c r="N63" s="347" t="s">
        <v>25</v>
      </c>
      <c r="O63" s="619" t="s">
        <v>26</v>
      </c>
      <c r="P63" s="620">
        <v>24</v>
      </c>
      <c r="Q63" s="621" t="s">
        <v>637</v>
      </c>
      <c r="R63" s="499" t="s">
        <v>638</v>
      </c>
      <c r="S63" s="622">
        <v>4.4999999999999998E-2</v>
      </c>
      <c r="T63" s="504"/>
      <c r="U63" s="502" t="s">
        <v>639</v>
      </c>
      <c r="V63" s="752"/>
      <c r="W63" s="752"/>
      <c r="X63" s="69">
        <f>ROUND(M63*P63*S63,-3)</f>
        <v>679000</v>
      </c>
      <c r="Y63" s="58" t="s">
        <v>283</v>
      </c>
      <c r="Z63" s="6"/>
    </row>
    <row r="64" spans="1:27" s="11" customFormat="1" ht="19.5" customHeight="1">
      <c r="A64" s="61"/>
      <c r="B64" s="47"/>
      <c r="C64" s="47"/>
      <c r="D64" s="47"/>
      <c r="E64" s="49"/>
      <c r="F64" s="49"/>
      <c r="G64" s="50"/>
      <c r="H64" s="71"/>
      <c r="I64" s="363"/>
      <c r="J64" s="69"/>
      <c r="K64" s="240"/>
      <c r="L64" s="240"/>
      <c r="M64" s="362"/>
      <c r="N64" s="362"/>
      <c r="O64" s="56"/>
      <c r="P64" s="361"/>
      <c r="Q64" s="362"/>
      <c r="R64" s="75"/>
      <c r="S64" s="352"/>
      <c r="T64" s="362"/>
      <c r="U64" s="362"/>
      <c r="V64" s="361"/>
      <c r="W64" s="361"/>
      <c r="X64" s="69"/>
      <c r="Y64" s="58"/>
      <c r="Z64" s="6"/>
    </row>
    <row r="65" spans="1:26" s="11" customFormat="1" ht="19.5" customHeight="1">
      <c r="A65" s="61"/>
      <c r="B65" s="47"/>
      <c r="C65" s="47"/>
      <c r="D65" s="47"/>
      <c r="E65" s="49"/>
      <c r="F65" s="49"/>
      <c r="G65" s="50"/>
      <c r="H65" s="71"/>
      <c r="I65" s="524" t="s">
        <v>641</v>
      </c>
      <c r="J65" s="356"/>
      <c r="K65" s="618"/>
      <c r="L65" s="618"/>
      <c r="M65" s="347"/>
      <c r="N65" s="347"/>
      <c r="O65" s="619"/>
      <c r="P65" s="347"/>
      <c r="Q65" s="621"/>
      <c r="R65" s="625"/>
      <c r="S65" s="626"/>
      <c r="T65" s="502"/>
      <c r="U65" s="502"/>
      <c r="V65" s="623"/>
      <c r="W65" s="355"/>
      <c r="X65" s="356"/>
      <c r="Y65" s="469"/>
      <c r="Z65" s="6"/>
    </row>
    <row r="66" spans="1:26" s="11" customFormat="1" ht="19.5" customHeight="1">
      <c r="A66" s="61"/>
      <c r="B66" s="47"/>
      <c r="C66" s="47"/>
      <c r="D66" s="47"/>
      <c r="E66" s="49"/>
      <c r="F66" s="49"/>
      <c r="G66" s="50"/>
      <c r="H66" s="71"/>
      <c r="I66" s="359" t="s">
        <v>929</v>
      </c>
      <c r="J66" s="356"/>
      <c r="K66" s="618"/>
      <c r="L66" s="618"/>
      <c r="M66" s="347">
        <v>3000000</v>
      </c>
      <c r="N66" s="347" t="s">
        <v>25</v>
      </c>
      <c r="O66" s="619" t="s">
        <v>26</v>
      </c>
      <c r="P66" s="624">
        <v>0.5</v>
      </c>
      <c r="Q66" s="621"/>
      <c r="R66" s="625"/>
      <c r="S66" s="626"/>
      <c r="T66" s="502"/>
      <c r="U66" s="502"/>
      <c r="V66" s="623"/>
      <c r="W66" s="355" t="s">
        <v>27</v>
      </c>
      <c r="X66" s="356">
        <f>M66*P66</f>
        <v>1500000</v>
      </c>
      <c r="Y66" s="469" t="s">
        <v>635</v>
      </c>
      <c r="Z66" s="6"/>
    </row>
    <row r="67" spans="1:26" s="11" customFormat="1" ht="19.5" customHeight="1">
      <c r="A67" s="61"/>
      <c r="B67" s="47"/>
      <c r="C67" s="47"/>
      <c r="D67" s="60"/>
      <c r="E67" s="62"/>
      <c r="F67" s="62"/>
      <c r="G67" s="63"/>
      <c r="H67" s="91"/>
      <c r="I67" s="259"/>
      <c r="J67" s="73"/>
      <c r="K67" s="278"/>
      <c r="L67" s="278"/>
      <c r="M67" s="258"/>
      <c r="N67" s="258"/>
      <c r="O67" s="279"/>
      <c r="P67" s="258"/>
      <c r="Q67" s="144"/>
      <c r="R67" s="280"/>
      <c r="S67" s="88"/>
      <c r="T67" s="229"/>
      <c r="U67" s="229"/>
      <c r="V67" s="281"/>
      <c r="W67" s="259"/>
      <c r="X67" s="73"/>
      <c r="Y67" s="74"/>
      <c r="Z67" s="6"/>
    </row>
    <row r="68" spans="1:26" s="11" customFormat="1" ht="19.5" customHeight="1" thickBot="1">
      <c r="A68" s="61"/>
      <c r="B68" s="47"/>
      <c r="C68" s="47"/>
      <c r="D68" s="37" t="s">
        <v>295</v>
      </c>
      <c r="E68" s="38">
        <v>4056</v>
      </c>
      <c r="F68" s="273">
        <f>ROUND(X68/1000,0)</f>
        <v>3325</v>
      </c>
      <c r="G68" s="39">
        <f t="shared" ref="G68" si="16">F68-E68</f>
        <v>-731</v>
      </c>
      <c r="H68" s="132">
        <f t="shared" ref="H68" si="17">IF(E68=0,0,G68/E68)</f>
        <v>-0.18022682445759369</v>
      </c>
      <c r="I68" s="285" t="s">
        <v>297</v>
      </c>
      <c r="J68" s="284"/>
      <c r="K68" s="292"/>
      <c r="L68" s="292"/>
      <c r="M68" s="95"/>
      <c r="N68" s="95"/>
      <c r="O68" s="274"/>
      <c r="P68" s="95"/>
      <c r="Q68" s="275"/>
      <c r="R68" s="282"/>
      <c r="S68" s="283"/>
      <c r="T68" s="288"/>
      <c r="U68" s="288"/>
      <c r="V68" s="286" t="s">
        <v>272</v>
      </c>
      <c r="W68" s="287"/>
      <c r="X68" s="287">
        <f>SUM(X69:X74)</f>
        <v>3325000</v>
      </c>
      <c r="Y68" s="321" t="s">
        <v>57</v>
      </c>
      <c r="Z68" s="6"/>
    </row>
    <row r="69" spans="1:26" s="11" customFormat="1" ht="19.5" customHeight="1">
      <c r="A69" s="61"/>
      <c r="B69" s="47"/>
      <c r="C69" s="47"/>
      <c r="D69" s="47" t="s">
        <v>296</v>
      </c>
      <c r="E69" s="49"/>
      <c r="F69" s="49"/>
      <c r="G69" s="50"/>
      <c r="H69" s="71"/>
      <c r="I69" s="68" t="s">
        <v>298</v>
      </c>
      <c r="J69" s="257"/>
      <c r="K69" s="256"/>
      <c r="L69" s="256"/>
      <c r="M69" s="256">
        <v>500</v>
      </c>
      <c r="N69" s="256" t="s">
        <v>283</v>
      </c>
      <c r="O69" s="257" t="s">
        <v>288</v>
      </c>
      <c r="P69" s="294">
        <v>54</v>
      </c>
      <c r="Q69" s="295">
        <v>365</v>
      </c>
      <c r="R69" s="256" t="s">
        <v>299</v>
      </c>
      <c r="S69" s="353">
        <v>0.15</v>
      </c>
      <c r="T69" s="256"/>
      <c r="U69" s="256" t="s">
        <v>287</v>
      </c>
      <c r="V69" s="256"/>
      <c r="W69" s="69"/>
      <c r="X69" s="69">
        <f>ROUND(M69*P69*Q69*S69,-3)</f>
        <v>1478000</v>
      </c>
      <c r="Y69" s="58" t="s">
        <v>25</v>
      </c>
      <c r="Z69" s="6"/>
    </row>
    <row r="70" spans="1:26" s="11" customFormat="1" ht="19.5" customHeight="1">
      <c r="A70" s="61"/>
      <c r="B70" s="47"/>
      <c r="C70" s="47"/>
      <c r="D70" s="47"/>
      <c r="E70" s="49"/>
      <c r="F70" s="49"/>
      <c r="G70" s="50"/>
      <c r="H70" s="71"/>
      <c r="I70" s="68" t="s">
        <v>300</v>
      </c>
      <c r="J70" s="257"/>
      <c r="K70" s="256"/>
      <c r="L70" s="256"/>
      <c r="M70" s="256">
        <v>5000</v>
      </c>
      <c r="N70" s="256" t="s">
        <v>283</v>
      </c>
      <c r="O70" s="257" t="s">
        <v>288</v>
      </c>
      <c r="P70" s="294">
        <v>54</v>
      </c>
      <c r="Q70" s="295">
        <v>12</v>
      </c>
      <c r="R70" s="256" t="s">
        <v>286</v>
      </c>
      <c r="S70" s="353">
        <v>0.15</v>
      </c>
      <c r="T70" s="256"/>
      <c r="U70" s="256" t="s">
        <v>287</v>
      </c>
      <c r="V70" s="256"/>
      <c r="W70" s="69"/>
      <c r="X70" s="69">
        <f t="shared" ref="X70:X71" si="18">ROUNDUP(M70*P70*Q70*S70,-3)</f>
        <v>486000</v>
      </c>
      <c r="Y70" s="58" t="s">
        <v>25</v>
      </c>
      <c r="Z70" s="6"/>
    </row>
    <row r="71" spans="1:26" s="11" customFormat="1" ht="19.5" customHeight="1">
      <c r="A71" s="61"/>
      <c r="B71" s="47"/>
      <c r="C71" s="47"/>
      <c r="D71" s="47"/>
      <c r="E71" s="49"/>
      <c r="F71" s="49"/>
      <c r="G71" s="50"/>
      <c r="H71" s="71"/>
      <c r="I71" s="68" t="s">
        <v>301</v>
      </c>
      <c r="J71" s="257"/>
      <c r="K71" s="256"/>
      <c r="L71" s="256"/>
      <c r="M71" s="256">
        <v>20000</v>
      </c>
      <c r="N71" s="256" t="s">
        <v>283</v>
      </c>
      <c r="O71" s="257" t="s">
        <v>288</v>
      </c>
      <c r="P71" s="294">
        <v>54</v>
      </c>
      <c r="Q71" s="295">
        <v>4</v>
      </c>
      <c r="R71" s="256" t="s">
        <v>302</v>
      </c>
      <c r="S71" s="353">
        <v>0.15</v>
      </c>
      <c r="T71" s="256"/>
      <c r="U71" s="256" t="s">
        <v>287</v>
      </c>
      <c r="V71" s="256"/>
      <c r="W71" s="69"/>
      <c r="X71" s="69">
        <f t="shared" si="18"/>
        <v>648000</v>
      </c>
      <c r="Y71" s="58" t="s">
        <v>25</v>
      </c>
      <c r="Z71" s="6"/>
    </row>
    <row r="72" spans="1:26" s="11" customFormat="1" ht="19.5" customHeight="1">
      <c r="A72" s="61"/>
      <c r="B72" s="47"/>
      <c r="C72" s="47"/>
      <c r="D72" s="47"/>
      <c r="E72" s="49"/>
      <c r="F72" s="49"/>
      <c r="G72" s="50"/>
      <c r="H72" s="71"/>
      <c r="I72" s="68" t="s">
        <v>303</v>
      </c>
      <c r="J72" s="257"/>
      <c r="K72" s="256"/>
      <c r="L72" s="256"/>
      <c r="M72" s="256">
        <v>12000</v>
      </c>
      <c r="N72" s="256" t="s">
        <v>283</v>
      </c>
      <c r="O72" s="257" t="s">
        <v>288</v>
      </c>
      <c r="P72" s="294">
        <v>54</v>
      </c>
      <c r="Q72" s="295">
        <v>4</v>
      </c>
      <c r="R72" s="256" t="s">
        <v>302</v>
      </c>
      <c r="S72" s="353">
        <v>0.15</v>
      </c>
      <c r="T72" s="256"/>
      <c r="U72" s="256" t="s">
        <v>287</v>
      </c>
      <c r="V72" s="256"/>
      <c r="W72" s="69"/>
      <c r="X72" s="69">
        <f>ROUND(M72*P72*Q72*S72,-3)</f>
        <v>389000</v>
      </c>
      <c r="Y72" s="58" t="s">
        <v>25</v>
      </c>
      <c r="Z72" s="6"/>
    </row>
    <row r="73" spans="1:26" s="11" customFormat="1" ht="19.5" customHeight="1">
      <c r="A73" s="61"/>
      <c r="B73" s="47"/>
      <c r="C73" s="47"/>
      <c r="D73" s="47"/>
      <c r="E73" s="49"/>
      <c r="F73" s="49"/>
      <c r="G73" s="50"/>
      <c r="H73" s="71"/>
      <c r="I73" s="68" t="s">
        <v>304</v>
      </c>
      <c r="J73" s="257"/>
      <c r="K73" s="256"/>
      <c r="L73" s="256"/>
      <c r="M73" s="256"/>
      <c r="N73" s="256"/>
      <c r="O73" s="257"/>
      <c r="P73" s="294"/>
      <c r="Q73" s="295"/>
      <c r="R73" s="256"/>
      <c r="S73" s="256"/>
      <c r="T73" s="256"/>
      <c r="U73" s="256"/>
      <c r="V73" s="256"/>
      <c r="W73" s="69"/>
      <c r="X73" s="69"/>
      <c r="Y73" s="58"/>
      <c r="Z73" s="6"/>
    </row>
    <row r="74" spans="1:26" s="11" customFormat="1" ht="19.5" customHeight="1">
      <c r="A74" s="61"/>
      <c r="B74" s="47"/>
      <c r="C74" s="47"/>
      <c r="D74" s="47"/>
      <c r="E74" s="49"/>
      <c r="F74" s="49"/>
      <c r="G74" s="50"/>
      <c r="H74" s="71"/>
      <c r="I74" s="68" t="s">
        <v>305</v>
      </c>
      <c r="J74" s="257"/>
      <c r="K74" s="256"/>
      <c r="L74" s="256"/>
      <c r="M74" s="256">
        <v>40000</v>
      </c>
      <c r="N74" s="256" t="s">
        <v>283</v>
      </c>
      <c r="O74" s="257" t="s">
        <v>288</v>
      </c>
      <c r="P74" s="294">
        <v>54</v>
      </c>
      <c r="Q74" s="295">
        <v>1</v>
      </c>
      <c r="R74" s="256" t="s">
        <v>302</v>
      </c>
      <c r="S74" s="353">
        <v>0.15</v>
      </c>
      <c r="T74" s="256"/>
      <c r="U74" s="256" t="s">
        <v>287</v>
      </c>
      <c r="V74" s="256"/>
      <c r="W74" s="69"/>
      <c r="X74" s="69">
        <f>ROUND(M74*P74*Q74*S74,-3)</f>
        <v>324000</v>
      </c>
      <c r="Y74" s="58" t="s">
        <v>25</v>
      </c>
      <c r="Z74" s="6"/>
    </row>
    <row r="75" spans="1:26" s="11" customFormat="1" ht="19.5" customHeight="1">
      <c r="A75" s="61"/>
      <c r="B75" s="47"/>
      <c r="C75" s="47"/>
      <c r="D75" s="60"/>
      <c r="E75" s="62"/>
      <c r="F75" s="62"/>
      <c r="G75" s="63"/>
      <c r="H75" s="91"/>
      <c r="I75" s="259"/>
      <c r="J75" s="73"/>
      <c r="K75" s="278"/>
      <c r="L75" s="278"/>
      <c r="M75" s="258"/>
      <c r="N75" s="258"/>
      <c r="O75" s="279"/>
      <c r="P75" s="258"/>
      <c r="Q75" s="144"/>
      <c r="R75" s="280"/>
      <c r="S75" s="88"/>
      <c r="T75" s="229"/>
      <c r="U75" s="229"/>
      <c r="V75" s="281"/>
      <c r="W75" s="259"/>
      <c r="X75" s="73"/>
      <c r="Y75" s="74"/>
      <c r="Z75" s="6"/>
    </row>
    <row r="76" spans="1:26" s="11" customFormat="1" ht="19.5" customHeight="1" thickBot="1">
      <c r="A76" s="61"/>
      <c r="B76" s="47"/>
      <c r="C76" s="47"/>
      <c r="D76" s="37" t="s">
        <v>306</v>
      </c>
      <c r="E76" s="38">
        <v>28286</v>
      </c>
      <c r="F76" s="273">
        <f>ROUND(X76/1000,0)</f>
        <v>20388</v>
      </c>
      <c r="G76" s="39">
        <f t="shared" ref="G76" si="19">F76-E76</f>
        <v>-7898</v>
      </c>
      <c r="H76" s="132">
        <f t="shared" ref="H76" si="20">IF(E76=0,0,G76/E76)</f>
        <v>-0.279219401824224</v>
      </c>
      <c r="I76" s="285" t="s">
        <v>308</v>
      </c>
      <c r="J76" s="284"/>
      <c r="K76" s="292"/>
      <c r="L76" s="292"/>
      <c r="M76" s="95"/>
      <c r="N76" s="95"/>
      <c r="O76" s="274"/>
      <c r="P76" s="95"/>
      <c r="Q76" s="275"/>
      <c r="R76" s="282"/>
      <c r="S76" s="283"/>
      <c r="T76" s="288"/>
      <c r="U76" s="288"/>
      <c r="V76" s="286" t="s">
        <v>272</v>
      </c>
      <c r="W76" s="287"/>
      <c r="X76" s="287">
        <f>X77+X96</f>
        <v>20388000</v>
      </c>
      <c r="Y76" s="321" t="s">
        <v>57</v>
      </c>
      <c r="Z76" s="6"/>
    </row>
    <row r="77" spans="1:26" s="11" customFormat="1" ht="19.5" customHeight="1">
      <c r="A77" s="61"/>
      <c r="B77" s="47"/>
      <c r="C77" s="47"/>
      <c r="D77" s="47" t="s">
        <v>307</v>
      </c>
      <c r="E77" s="49"/>
      <c r="F77" s="49"/>
      <c r="G77" s="50"/>
      <c r="H77" s="71"/>
      <c r="I77" s="297" t="s">
        <v>309</v>
      </c>
      <c r="J77" s="69"/>
      <c r="K77" s="240"/>
      <c r="L77" s="240"/>
      <c r="M77" s="256"/>
      <c r="N77" s="256"/>
      <c r="O77" s="237"/>
      <c r="P77" s="256"/>
      <c r="Q77" s="55"/>
      <c r="R77" s="239"/>
      <c r="S77" s="57"/>
      <c r="T77" s="289"/>
      <c r="U77" s="289"/>
      <c r="V77" s="258" t="s">
        <v>314</v>
      </c>
      <c r="W77" s="73"/>
      <c r="X77" s="258">
        <f>SUM(X78,X82,X87,X89)</f>
        <v>18268000</v>
      </c>
      <c r="Y77" s="74" t="s">
        <v>25</v>
      </c>
      <c r="Z77" s="6"/>
    </row>
    <row r="78" spans="1:26" s="11" customFormat="1" ht="19.5" customHeight="1">
      <c r="A78" s="61"/>
      <c r="B78" s="47"/>
      <c r="C78" s="47"/>
      <c r="D78" s="47"/>
      <c r="E78" s="49"/>
      <c r="F78" s="49"/>
      <c r="G78" s="50"/>
      <c r="H78" s="71"/>
      <c r="I78" s="72" t="s">
        <v>310</v>
      </c>
      <c r="J78" s="257"/>
      <c r="K78" s="256"/>
      <c r="L78" s="256"/>
      <c r="M78" s="256"/>
      <c r="N78" s="256"/>
      <c r="O78" s="75"/>
      <c r="P78" s="79"/>
      <c r="Q78" s="256"/>
      <c r="R78" s="256"/>
      <c r="S78" s="256"/>
      <c r="T78" s="256"/>
      <c r="U78" s="256"/>
      <c r="V78" s="258" t="s">
        <v>290</v>
      </c>
      <c r="W78" s="73"/>
      <c r="X78" s="258">
        <f>SUM(X79:X81)</f>
        <v>5608000</v>
      </c>
      <c r="Y78" s="74" t="s">
        <v>25</v>
      </c>
      <c r="Z78" s="6"/>
    </row>
    <row r="79" spans="1:26" s="11" customFormat="1" ht="19.5" customHeight="1">
      <c r="A79" s="61"/>
      <c r="B79" s="47"/>
      <c r="C79" s="47"/>
      <c r="D79" s="47"/>
      <c r="E79" s="49"/>
      <c r="F79" s="49"/>
      <c r="G79" s="50"/>
      <c r="H79" s="71"/>
      <c r="I79" s="452" t="s">
        <v>642</v>
      </c>
      <c r="J79" s="257"/>
      <c r="K79" s="256"/>
      <c r="L79" s="256"/>
      <c r="M79" s="256">
        <v>24644000</v>
      </c>
      <c r="N79" s="256" t="s">
        <v>277</v>
      </c>
      <c r="O79" s="75" t="s">
        <v>288</v>
      </c>
      <c r="P79" s="79">
        <v>0.1</v>
      </c>
      <c r="Q79" s="256"/>
      <c r="R79" s="256"/>
      <c r="S79" s="256"/>
      <c r="T79" s="256"/>
      <c r="U79" s="256" t="s">
        <v>289</v>
      </c>
      <c r="V79" s="95"/>
      <c r="W79" s="284"/>
      <c r="X79" s="95">
        <f>ROUNDDOWN(M79*P79,-3)</f>
        <v>2464000</v>
      </c>
      <c r="Y79" s="134" t="s">
        <v>277</v>
      </c>
      <c r="Z79" s="6"/>
    </row>
    <row r="80" spans="1:26" s="11" customFormat="1" ht="19.5" customHeight="1">
      <c r="A80" s="61"/>
      <c r="B80" s="47"/>
      <c r="C80" s="47"/>
      <c r="D80" s="47"/>
      <c r="E80" s="49"/>
      <c r="F80" s="49"/>
      <c r="G80" s="50"/>
      <c r="H80" s="71"/>
      <c r="I80" s="449" t="s">
        <v>643</v>
      </c>
      <c r="J80" s="462"/>
      <c r="K80" s="461"/>
      <c r="L80" s="461"/>
      <c r="M80" s="461">
        <v>15810000</v>
      </c>
      <c r="N80" s="461" t="s">
        <v>57</v>
      </c>
      <c r="O80" s="75" t="s">
        <v>58</v>
      </c>
      <c r="P80" s="79">
        <v>0.1</v>
      </c>
      <c r="Q80" s="461"/>
      <c r="R80" s="461"/>
      <c r="S80" s="461"/>
      <c r="T80" s="461"/>
      <c r="U80" s="461" t="s">
        <v>53</v>
      </c>
      <c r="V80" s="461"/>
      <c r="W80" s="69"/>
      <c r="X80" s="461">
        <f t="shared" ref="X80" si="21">ROUND(M80*P80,-3)</f>
        <v>1581000</v>
      </c>
      <c r="Y80" s="58" t="s">
        <v>57</v>
      </c>
      <c r="Z80" s="6"/>
    </row>
    <row r="81" spans="1:26" s="11" customFormat="1" ht="19.5" customHeight="1">
      <c r="A81" s="61"/>
      <c r="B81" s="47"/>
      <c r="C81" s="47"/>
      <c r="D81" s="47"/>
      <c r="E81" s="49"/>
      <c r="F81" s="49"/>
      <c r="G81" s="50"/>
      <c r="H81" s="71"/>
      <c r="I81" s="449" t="s">
        <v>644</v>
      </c>
      <c r="J81" s="257"/>
      <c r="K81" s="256"/>
      <c r="L81" s="256"/>
      <c r="M81" s="256">
        <v>15625000</v>
      </c>
      <c r="N81" s="256" t="s">
        <v>277</v>
      </c>
      <c r="O81" s="75" t="s">
        <v>288</v>
      </c>
      <c r="P81" s="79">
        <v>0.1</v>
      </c>
      <c r="Q81" s="256"/>
      <c r="R81" s="256"/>
      <c r="S81" s="256"/>
      <c r="T81" s="256"/>
      <c r="U81" s="256" t="s">
        <v>289</v>
      </c>
      <c r="V81" s="256"/>
      <c r="W81" s="69"/>
      <c r="X81" s="256">
        <f t="shared" ref="X81" si="22">ROUND(M81*P81,-3)</f>
        <v>1563000</v>
      </c>
      <c r="Y81" s="58" t="s">
        <v>277</v>
      </c>
      <c r="Z81" s="6"/>
    </row>
    <row r="82" spans="1:26" s="11" customFormat="1" ht="19.5" customHeight="1">
      <c r="A82" s="61"/>
      <c r="B82" s="47"/>
      <c r="C82" s="47"/>
      <c r="D82" s="47"/>
      <c r="E82" s="49"/>
      <c r="F82" s="49"/>
      <c r="G82" s="50"/>
      <c r="H82" s="71"/>
      <c r="I82" s="72" t="s">
        <v>311</v>
      </c>
      <c r="J82" s="257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8" t="s">
        <v>290</v>
      </c>
      <c r="W82" s="73"/>
      <c r="X82" s="258">
        <f>SUM(X83:X86)</f>
        <v>11350000</v>
      </c>
      <c r="Y82" s="74" t="s">
        <v>25</v>
      </c>
      <c r="Z82" s="6"/>
    </row>
    <row r="83" spans="1:26" s="11" customFormat="1" ht="19.5" customHeight="1">
      <c r="A83" s="61"/>
      <c r="B83" s="47"/>
      <c r="C83" s="47"/>
      <c r="D83" s="47"/>
      <c r="E83" s="49"/>
      <c r="F83" s="49"/>
      <c r="G83" s="50"/>
      <c r="H83" s="71"/>
      <c r="I83" s="449" t="s">
        <v>465</v>
      </c>
      <c r="J83" s="257"/>
      <c r="K83" s="256"/>
      <c r="L83" s="256"/>
      <c r="M83" s="256">
        <v>4284000</v>
      </c>
      <c r="N83" s="256" t="s">
        <v>277</v>
      </c>
      <c r="O83" s="75" t="s">
        <v>288</v>
      </c>
      <c r="P83" s="79">
        <v>0.1</v>
      </c>
      <c r="Q83" s="256"/>
      <c r="R83" s="256"/>
      <c r="S83" s="256"/>
      <c r="T83" s="256"/>
      <c r="U83" s="256" t="s">
        <v>289</v>
      </c>
      <c r="V83" s="759"/>
      <c r="W83" s="759"/>
      <c r="X83" s="284">
        <f t="shared" ref="X83:X85" si="23">ROUND(M83*P83,-3)</f>
        <v>428000</v>
      </c>
      <c r="Y83" s="134" t="s">
        <v>283</v>
      </c>
      <c r="Z83" s="6"/>
    </row>
    <row r="84" spans="1:26" s="11" customFormat="1" ht="19.5" customHeight="1">
      <c r="A84" s="61"/>
      <c r="B84" s="47"/>
      <c r="C84" s="47"/>
      <c r="D84" s="47"/>
      <c r="E84" s="49"/>
      <c r="F84" s="49"/>
      <c r="G84" s="50"/>
      <c r="H84" s="71"/>
      <c r="I84" s="359" t="s">
        <v>419</v>
      </c>
      <c r="J84" s="257"/>
      <c r="K84" s="256"/>
      <c r="L84" s="256"/>
      <c r="M84" s="256">
        <v>1280000</v>
      </c>
      <c r="N84" s="256" t="s">
        <v>277</v>
      </c>
      <c r="O84" s="75" t="s">
        <v>288</v>
      </c>
      <c r="P84" s="79">
        <v>0.1</v>
      </c>
      <c r="Q84" s="256"/>
      <c r="R84" s="256"/>
      <c r="S84" s="256"/>
      <c r="T84" s="256"/>
      <c r="U84" s="256" t="s">
        <v>289</v>
      </c>
      <c r="V84" s="752"/>
      <c r="W84" s="752"/>
      <c r="X84" s="69">
        <f t="shared" si="23"/>
        <v>128000</v>
      </c>
      <c r="Y84" s="58" t="s">
        <v>283</v>
      </c>
      <c r="Z84" s="6"/>
    </row>
    <row r="85" spans="1:26" s="11" customFormat="1" ht="19.5" customHeight="1">
      <c r="A85" s="61"/>
      <c r="B85" s="47"/>
      <c r="C85" s="47"/>
      <c r="D85" s="47"/>
      <c r="E85" s="49"/>
      <c r="F85" s="49"/>
      <c r="G85" s="50"/>
      <c r="H85" s="71"/>
      <c r="I85" s="449" t="s">
        <v>475</v>
      </c>
      <c r="J85" s="257"/>
      <c r="K85" s="256"/>
      <c r="L85" s="256"/>
      <c r="M85" s="256">
        <v>13041000</v>
      </c>
      <c r="N85" s="256" t="s">
        <v>277</v>
      </c>
      <c r="O85" s="75" t="s">
        <v>288</v>
      </c>
      <c r="P85" s="79">
        <v>0.1</v>
      </c>
      <c r="Q85" s="256"/>
      <c r="R85" s="256"/>
      <c r="S85" s="256"/>
      <c r="T85" s="256"/>
      <c r="U85" s="256" t="s">
        <v>289</v>
      </c>
      <c r="V85" s="752"/>
      <c r="W85" s="752"/>
      <c r="X85" s="69">
        <f t="shared" si="23"/>
        <v>1304000</v>
      </c>
      <c r="Y85" s="58" t="s">
        <v>283</v>
      </c>
      <c r="Z85" s="6"/>
    </row>
    <row r="86" spans="1:26" s="11" customFormat="1" ht="19.5" customHeight="1">
      <c r="A86" s="61"/>
      <c r="B86" s="47"/>
      <c r="C86" s="47"/>
      <c r="D86" s="47"/>
      <c r="E86" s="49"/>
      <c r="F86" s="49"/>
      <c r="G86" s="50"/>
      <c r="H86" s="71"/>
      <c r="I86" s="449" t="s">
        <v>476</v>
      </c>
      <c r="J86" s="257"/>
      <c r="K86" s="256"/>
      <c r="L86" s="256"/>
      <c r="M86" s="256">
        <v>94900000</v>
      </c>
      <c r="N86" s="256" t="s">
        <v>277</v>
      </c>
      <c r="O86" s="75" t="s">
        <v>288</v>
      </c>
      <c r="P86" s="79">
        <v>0.1</v>
      </c>
      <c r="Q86" s="256"/>
      <c r="R86" s="256"/>
      <c r="S86" s="256"/>
      <c r="T86" s="256"/>
      <c r="U86" s="256" t="s">
        <v>289</v>
      </c>
      <c r="V86" s="752"/>
      <c r="W86" s="752"/>
      <c r="X86" s="69">
        <f t="shared" ref="X86" si="24">ROUND(M86*P86,-3)</f>
        <v>9490000</v>
      </c>
      <c r="Y86" s="58" t="s">
        <v>283</v>
      </c>
      <c r="Z86" s="6"/>
    </row>
    <row r="87" spans="1:26" s="11" customFormat="1" ht="19.5" customHeight="1">
      <c r="A87" s="61"/>
      <c r="B87" s="47"/>
      <c r="C87" s="47"/>
      <c r="D87" s="47"/>
      <c r="E87" s="49"/>
      <c r="F87" s="49"/>
      <c r="G87" s="50"/>
      <c r="H87" s="71"/>
      <c r="I87" s="72" t="s">
        <v>312</v>
      </c>
      <c r="J87" s="257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8" t="s">
        <v>290</v>
      </c>
      <c r="W87" s="73"/>
      <c r="X87" s="258">
        <f>X88</f>
        <v>622000</v>
      </c>
      <c r="Y87" s="74" t="s">
        <v>25</v>
      </c>
      <c r="Z87" s="6"/>
    </row>
    <row r="88" spans="1:26" s="11" customFormat="1" ht="19.5" customHeight="1">
      <c r="A88" s="61"/>
      <c r="B88" s="47"/>
      <c r="C88" s="47"/>
      <c r="D88" s="47"/>
      <c r="E88" s="49"/>
      <c r="F88" s="49"/>
      <c r="G88" s="50"/>
      <c r="H88" s="71"/>
      <c r="I88" s="449" t="s">
        <v>932</v>
      </c>
      <c r="J88" s="257"/>
      <c r="K88" s="256"/>
      <c r="L88" s="256"/>
      <c r="M88" s="256">
        <f>SUM(M78:M85)</f>
        <v>74684000</v>
      </c>
      <c r="N88" s="55" t="s">
        <v>283</v>
      </c>
      <c r="O88" s="289" t="s">
        <v>285</v>
      </c>
      <c r="P88" s="78">
        <v>12</v>
      </c>
      <c r="Q88" s="237" t="s">
        <v>286</v>
      </c>
      <c r="R88" s="75" t="s">
        <v>288</v>
      </c>
      <c r="S88" s="79">
        <v>0.1</v>
      </c>
      <c r="T88" s="256"/>
      <c r="U88" s="256" t="s">
        <v>287</v>
      </c>
      <c r="V88" s="95"/>
      <c r="W88" s="95"/>
      <c r="X88" s="284">
        <f>ROUND(M88/P88*S88,-3)</f>
        <v>622000</v>
      </c>
      <c r="Y88" s="323" t="s">
        <v>277</v>
      </c>
      <c r="Z88" s="6"/>
    </row>
    <row r="89" spans="1:26" s="11" customFormat="1" ht="19.5" customHeight="1">
      <c r="A89" s="61"/>
      <c r="B89" s="47"/>
      <c r="C89" s="47"/>
      <c r="D89" s="47"/>
      <c r="E89" s="49"/>
      <c r="F89" s="49"/>
      <c r="G89" s="50"/>
      <c r="H89" s="71"/>
      <c r="I89" s="72" t="s">
        <v>313</v>
      </c>
      <c r="J89" s="257"/>
      <c r="K89" s="256"/>
      <c r="L89" s="256"/>
      <c r="M89" s="256"/>
      <c r="N89" s="55"/>
      <c r="O89" s="256"/>
      <c r="P89" s="256"/>
      <c r="Q89" s="256"/>
      <c r="R89" s="256"/>
      <c r="S89" s="256"/>
      <c r="T89" s="256"/>
      <c r="U89" s="256"/>
      <c r="V89" s="258" t="s">
        <v>290</v>
      </c>
      <c r="W89" s="73"/>
      <c r="X89" s="258">
        <f>SUM(X90:X94)</f>
        <v>688000</v>
      </c>
      <c r="Y89" s="74" t="s">
        <v>25</v>
      </c>
      <c r="Z89" s="6"/>
    </row>
    <row r="90" spans="1:26" s="11" customFormat="1" ht="19.5" customHeight="1">
      <c r="A90" s="61"/>
      <c r="B90" s="47"/>
      <c r="C90" s="47"/>
      <c r="D90" s="47"/>
      <c r="E90" s="49"/>
      <c r="F90" s="49"/>
      <c r="G90" s="50"/>
      <c r="H90" s="71"/>
      <c r="I90" s="449" t="s">
        <v>477</v>
      </c>
      <c r="J90" s="257"/>
      <c r="K90" s="256"/>
      <c r="L90" s="256"/>
      <c r="M90" s="256">
        <f>M88</f>
        <v>74684000</v>
      </c>
      <c r="N90" s="55" t="s">
        <v>283</v>
      </c>
      <c r="O90" s="75" t="s">
        <v>288</v>
      </c>
      <c r="P90" s="290">
        <v>0.09</v>
      </c>
      <c r="Q90" s="289">
        <v>2</v>
      </c>
      <c r="R90" s="75" t="s">
        <v>288</v>
      </c>
      <c r="S90" s="79">
        <v>0.1</v>
      </c>
      <c r="T90" s="77"/>
      <c r="U90" s="289" t="s">
        <v>287</v>
      </c>
      <c r="V90" s="256"/>
      <c r="W90" s="69"/>
      <c r="X90" s="69">
        <f>ROUND(M90*P90/Q90*S90,-3)</f>
        <v>336000</v>
      </c>
      <c r="Y90" s="58" t="s">
        <v>283</v>
      </c>
      <c r="Z90" s="6"/>
    </row>
    <row r="91" spans="1:26" s="11" customFormat="1" ht="19.5" customHeight="1">
      <c r="A91" s="61"/>
      <c r="B91" s="47"/>
      <c r="C91" s="47"/>
      <c r="D91" s="47"/>
      <c r="E91" s="49"/>
      <c r="F91" s="49"/>
      <c r="G91" s="50"/>
      <c r="H91" s="71"/>
      <c r="I91" s="449" t="s">
        <v>478</v>
      </c>
      <c r="J91" s="257"/>
      <c r="K91" s="256"/>
      <c r="L91" s="256"/>
      <c r="M91" s="256">
        <f>M88</f>
        <v>74684000</v>
      </c>
      <c r="N91" s="55" t="s">
        <v>283</v>
      </c>
      <c r="O91" s="75" t="s">
        <v>288</v>
      </c>
      <c r="P91" s="291">
        <v>6.0699999999999997E-2</v>
      </c>
      <c r="Q91" s="289">
        <v>2</v>
      </c>
      <c r="R91" s="75" t="s">
        <v>288</v>
      </c>
      <c r="S91" s="79">
        <v>0.1</v>
      </c>
      <c r="T91" s="77"/>
      <c r="U91" s="289" t="s">
        <v>287</v>
      </c>
      <c r="V91" s="256"/>
      <c r="W91" s="69"/>
      <c r="X91" s="69">
        <f>ROUND(M91*P91/Q91*S91,-3)</f>
        <v>227000</v>
      </c>
      <c r="Y91" s="58" t="s">
        <v>283</v>
      </c>
      <c r="Z91" s="6"/>
    </row>
    <row r="92" spans="1:26" s="11" customFormat="1" ht="19.5" customHeight="1">
      <c r="A92" s="61"/>
      <c r="B92" s="47"/>
      <c r="C92" s="47"/>
      <c r="D92" s="47"/>
      <c r="E92" s="49"/>
      <c r="F92" s="49"/>
      <c r="G92" s="50"/>
      <c r="H92" s="71"/>
      <c r="I92" s="449" t="s">
        <v>479</v>
      </c>
      <c r="J92" s="257"/>
      <c r="K92" s="256"/>
      <c r="L92" s="256"/>
      <c r="M92" s="256">
        <f>X91</f>
        <v>227000</v>
      </c>
      <c r="N92" s="55" t="s">
        <v>283</v>
      </c>
      <c r="O92" s="75" t="s">
        <v>288</v>
      </c>
      <c r="P92" s="81">
        <v>6.5500000000000003E-2</v>
      </c>
      <c r="Q92" s="82"/>
      <c r="R92" s="75"/>
      <c r="S92" s="79"/>
      <c r="T92" s="84"/>
      <c r="U92" s="289" t="s">
        <v>287</v>
      </c>
      <c r="V92" s="256"/>
      <c r="W92" s="69"/>
      <c r="X92" s="69">
        <f>ROUND(M92*P92,-3)</f>
        <v>15000</v>
      </c>
      <c r="Y92" s="58" t="s">
        <v>283</v>
      </c>
      <c r="Z92" s="6"/>
    </row>
    <row r="93" spans="1:26" s="11" customFormat="1" ht="19.5" customHeight="1">
      <c r="A93" s="61"/>
      <c r="B93" s="47"/>
      <c r="C93" s="47"/>
      <c r="D93" s="47"/>
      <c r="E93" s="49"/>
      <c r="F93" s="49"/>
      <c r="G93" s="50"/>
      <c r="H93" s="71"/>
      <c r="I93" s="449" t="s">
        <v>480</v>
      </c>
      <c r="J93" s="257"/>
      <c r="K93" s="256"/>
      <c r="L93" s="256"/>
      <c r="M93" s="256">
        <f>M88</f>
        <v>74684000</v>
      </c>
      <c r="N93" s="55" t="s">
        <v>283</v>
      </c>
      <c r="O93" s="75" t="s">
        <v>288</v>
      </c>
      <c r="P93" s="81">
        <v>8.9999999999999993E-3</v>
      </c>
      <c r="Q93" s="75"/>
      <c r="R93" s="75" t="s">
        <v>288</v>
      </c>
      <c r="S93" s="79">
        <v>0.1</v>
      </c>
      <c r="T93" s="77"/>
      <c r="U93" s="289" t="s">
        <v>287</v>
      </c>
      <c r="V93" s="256"/>
      <c r="W93" s="69"/>
      <c r="X93" s="69">
        <f>ROUND(M93*P93*S93,-3)</f>
        <v>67000</v>
      </c>
      <c r="Y93" s="58" t="s">
        <v>283</v>
      </c>
      <c r="Z93" s="6"/>
    </row>
    <row r="94" spans="1:26" s="11" customFormat="1" ht="19.5" customHeight="1">
      <c r="A94" s="61"/>
      <c r="B94" s="47"/>
      <c r="C94" s="47"/>
      <c r="D94" s="47"/>
      <c r="E94" s="49"/>
      <c r="F94" s="49"/>
      <c r="G94" s="50"/>
      <c r="H94" s="71"/>
      <c r="I94" s="449" t="s">
        <v>481</v>
      </c>
      <c r="J94" s="257"/>
      <c r="K94" s="256"/>
      <c r="L94" s="256"/>
      <c r="M94" s="256">
        <f>M88</f>
        <v>74684000</v>
      </c>
      <c r="N94" s="55" t="s">
        <v>283</v>
      </c>
      <c r="O94" s="75" t="s">
        <v>288</v>
      </c>
      <c r="P94" s="340">
        <v>5.7400000000000003E-3</v>
      </c>
      <c r="Q94" s="75"/>
      <c r="R94" s="75" t="s">
        <v>288</v>
      </c>
      <c r="S94" s="79">
        <v>0.1</v>
      </c>
      <c r="T94" s="77"/>
      <c r="U94" s="289" t="s">
        <v>287</v>
      </c>
      <c r="V94" s="256"/>
      <c r="W94" s="69"/>
      <c r="X94" s="69">
        <f t="shared" ref="X94" si="25">ROUND(M94*P94*S94,-3)</f>
        <v>43000</v>
      </c>
      <c r="Y94" s="58" t="s">
        <v>283</v>
      </c>
      <c r="Z94" s="6"/>
    </row>
    <row r="95" spans="1:26" s="11" customFormat="1" ht="19.5" customHeight="1">
      <c r="A95" s="61"/>
      <c r="B95" s="47"/>
      <c r="C95" s="47"/>
      <c r="D95" s="47"/>
      <c r="E95" s="49"/>
      <c r="F95" s="49"/>
      <c r="G95" s="50"/>
      <c r="H95" s="71"/>
      <c r="I95" s="68"/>
      <c r="J95" s="69"/>
      <c r="K95" s="240"/>
      <c r="L95" s="240"/>
      <c r="M95" s="256"/>
      <c r="N95" s="256"/>
      <c r="O95" s="237"/>
      <c r="P95" s="256"/>
      <c r="Q95" s="55"/>
      <c r="R95" s="239"/>
      <c r="S95" s="57"/>
      <c r="T95" s="289"/>
      <c r="U95" s="289"/>
      <c r="V95" s="79"/>
      <c r="W95" s="257"/>
      <c r="X95" s="69"/>
      <c r="Y95" s="58"/>
      <c r="Z95" s="6"/>
    </row>
    <row r="96" spans="1:26" s="11" customFormat="1" ht="19.5" customHeight="1">
      <c r="A96" s="61"/>
      <c r="B96" s="47"/>
      <c r="C96" s="47"/>
      <c r="D96" s="47"/>
      <c r="E96" s="49"/>
      <c r="F96" s="49"/>
      <c r="G96" s="50"/>
      <c r="H96" s="71"/>
      <c r="I96" s="72" t="s">
        <v>315</v>
      </c>
      <c r="J96" s="69"/>
      <c r="K96" s="240"/>
      <c r="L96" s="240"/>
      <c r="M96" s="256"/>
      <c r="N96" s="256"/>
      <c r="O96" s="237"/>
      <c r="P96" s="256"/>
      <c r="Q96" s="55"/>
      <c r="R96" s="239"/>
      <c r="S96" s="57"/>
      <c r="T96" s="289"/>
      <c r="U96" s="289"/>
      <c r="V96" s="258" t="s">
        <v>314</v>
      </c>
      <c r="W96" s="73"/>
      <c r="X96" s="258">
        <f>SUM(X97:X99)</f>
        <v>2120000</v>
      </c>
      <c r="Y96" s="74" t="s">
        <v>25</v>
      </c>
      <c r="Z96" s="6"/>
    </row>
    <row r="97" spans="1:26" s="11" customFormat="1" ht="19.5" customHeight="1">
      <c r="A97" s="61"/>
      <c r="B97" s="47"/>
      <c r="C97" s="47"/>
      <c r="D97" s="47"/>
      <c r="E97" s="49"/>
      <c r="F97" s="49"/>
      <c r="G97" s="50"/>
      <c r="H97" s="71"/>
      <c r="I97" s="68" t="s">
        <v>316</v>
      </c>
      <c r="J97" s="257"/>
      <c r="K97" s="256"/>
      <c r="L97" s="256"/>
      <c r="M97" s="298">
        <v>300000</v>
      </c>
      <c r="N97" s="70" t="s">
        <v>283</v>
      </c>
      <c r="O97" s="70" t="s">
        <v>288</v>
      </c>
      <c r="P97" s="341">
        <v>1</v>
      </c>
      <c r="Q97" s="295">
        <v>12</v>
      </c>
      <c r="R97" s="70" t="s">
        <v>286</v>
      </c>
      <c r="S97" s="296">
        <v>0.1</v>
      </c>
      <c r="T97" s="70"/>
      <c r="U97" s="70" t="s">
        <v>287</v>
      </c>
      <c r="V97" s="256"/>
      <c r="W97" s="69"/>
      <c r="X97" s="256">
        <f>M97*P97*Q97*S97</f>
        <v>360000</v>
      </c>
      <c r="Y97" s="58" t="s">
        <v>283</v>
      </c>
      <c r="Z97" s="6"/>
    </row>
    <row r="98" spans="1:26" s="11" customFormat="1" ht="19.5" customHeight="1">
      <c r="A98" s="61"/>
      <c r="B98" s="47"/>
      <c r="C98" s="47"/>
      <c r="D98" s="47"/>
      <c r="E98" s="49"/>
      <c r="F98" s="49"/>
      <c r="G98" s="50"/>
      <c r="H98" s="71"/>
      <c r="I98" s="449" t="s">
        <v>482</v>
      </c>
      <c r="J98" s="257"/>
      <c r="K98" s="256"/>
      <c r="L98" s="256"/>
      <c r="M98" s="298">
        <v>5000000</v>
      </c>
      <c r="N98" s="70" t="s">
        <v>283</v>
      </c>
      <c r="O98" s="70" t="s">
        <v>288</v>
      </c>
      <c r="P98" s="79">
        <v>0.1</v>
      </c>
      <c r="Q98" s="295"/>
      <c r="R98" s="70"/>
      <c r="S98" s="296"/>
      <c r="T98" s="70"/>
      <c r="U98" s="70" t="s">
        <v>289</v>
      </c>
      <c r="V98" s="256"/>
      <c r="W98" s="69"/>
      <c r="X98" s="256">
        <f>M98*P98</f>
        <v>500000</v>
      </c>
      <c r="Y98" s="58" t="s">
        <v>283</v>
      </c>
      <c r="Z98" s="6"/>
    </row>
    <row r="99" spans="1:26" s="11" customFormat="1" ht="19.5" customHeight="1">
      <c r="A99" s="61"/>
      <c r="B99" s="47"/>
      <c r="C99" s="47"/>
      <c r="D99" s="47"/>
      <c r="E99" s="49"/>
      <c r="F99" s="49"/>
      <c r="G99" s="50"/>
      <c r="H99" s="71"/>
      <c r="I99" s="449" t="s">
        <v>507</v>
      </c>
      <c r="J99" s="257"/>
      <c r="K99" s="256"/>
      <c r="L99" s="256"/>
      <c r="M99" s="298">
        <v>70000</v>
      </c>
      <c r="N99" s="70" t="s">
        <v>283</v>
      </c>
      <c r="O99" s="70" t="s">
        <v>288</v>
      </c>
      <c r="P99" s="299">
        <v>1</v>
      </c>
      <c r="Q99" s="459">
        <v>180</v>
      </c>
      <c r="R99" s="70" t="s">
        <v>299</v>
      </c>
      <c r="S99" s="296">
        <v>0.1</v>
      </c>
      <c r="T99" s="70"/>
      <c r="U99" s="70" t="s">
        <v>287</v>
      </c>
      <c r="V99" s="256"/>
      <c r="W99" s="69"/>
      <c r="X99" s="347">
        <f t="shared" ref="X99" si="26">M99*P99*Q99*S99</f>
        <v>1260000</v>
      </c>
      <c r="Y99" s="469" t="s">
        <v>635</v>
      </c>
      <c r="Z99" s="6"/>
    </row>
    <row r="100" spans="1:26" s="11" customFormat="1" ht="19.5" customHeight="1">
      <c r="A100" s="61"/>
      <c r="B100" s="47"/>
      <c r="C100" s="47"/>
      <c r="D100" s="60"/>
      <c r="E100" s="62"/>
      <c r="F100" s="62"/>
      <c r="G100" s="63"/>
      <c r="H100" s="91"/>
      <c r="I100" s="259"/>
      <c r="J100" s="73"/>
      <c r="K100" s="278"/>
      <c r="L100" s="278"/>
      <c r="M100" s="258"/>
      <c r="N100" s="258"/>
      <c r="O100" s="279"/>
      <c r="P100" s="258"/>
      <c r="Q100" s="144"/>
      <c r="R100" s="280"/>
      <c r="S100" s="258"/>
      <c r="T100" s="229"/>
      <c r="U100" s="229"/>
      <c r="V100" s="281"/>
      <c r="W100" s="259"/>
      <c r="X100" s="73"/>
      <c r="Y100" s="74"/>
      <c r="Z100" s="6"/>
    </row>
    <row r="101" spans="1:26" s="11" customFormat="1" ht="19.5" customHeight="1">
      <c r="A101" s="61"/>
      <c r="B101" s="47"/>
      <c r="C101" s="47"/>
      <c r="D101" s="47" t="s">
        <v>318</v>
      </c>
      <c r="E101" s="49">
        <v>764</v>
      </c>
      <c r="F101" s="273">
        <f>ROUND(X101/1000,0)</f>
        <v>728</v>
      </c>
      <c r="G101" s="50">
        <f t="shared" ref="G101" si="27">F101-E101</f>
        <v>-36</v>
      </c>
      <c r="H101" s="71">
        <f t="shared" ref="H101" si="28">IF(E101=0,0,G101/E101)</f>
        <v>-4.712041884816754E-2</v>
      </c>
      <c r="I101" s="72" t="s">
        <v>321</v>
      </c>
      <c r="J101" s="69"/>
      <c r="K101" s="240"/>
      <c r="L101" s="240"/>
      <c r="M101" s="256"/>
      <c r="N101" s="256"/>
      <c r="O101" s="237"/>
      <c r="P101" s="256"/>
      <c r="Q101" s="55"/>
      <c r="R101" s="239"/>
      <c r="S101" s="57"/>
      <c r="T101" s="289"/>
      <c r="U101" s="289"/>
      <c r="V101" s="258" t="s">
        <v>320</v>
      </c>
      <c r="W101" s="73"/>
      <c r="X101" s="258">
        <f>SUM(X102:X102)</f>
        <v>728000</v>
      </c>
      <c r="Y101" s="74" t="s">
        <v>25</v>
      </c>
      <c r="Z101" s="6"/>
    </row>
    <row r="102" spans="1:26" s="11" customFormat="1" ht="19.5" customHeight="1">
      <c r="A102" s="61"/>
      <c r="B102" s="47"/>
      <c r="C102" s="47"/>
      <c r="D102" s="47" t="s">
        <v>319</v>
      </c>
      <c r="E102" s="49"/>
      <c r="F102" s="49"/>
      <c r="G102" s="50"/>
      <c r="H102" s="71"/>
      <c r="I102" s="355" t="s">
        <v>654</v>
      </c>
      <c r="J102" s="69"/>
      <c r="K102" s="240"/>
      <c r="L102" s="240"/>
      <c r="M102" s="298">
        <v>3640000</v>
      </c>
      <c r="N102" s="70" t="s">
        <v>283</v>
      </c>
      <c r="O102" s="70" t="s">
        <v>288</v>
      </c>
      <c r="P102" s="79">
        <v>0.2</v>
      </c>
      <c r="Q102" s="295"/>
      <c r="R102" s="70"/>
      <c r="S102" s="296"/>
      <c r="T102" s="70"/>
      <c r="U102" s="70" t="s">
        <v>289</v>
      </c>
      <c r="V102" s="256"/>
      <c r="W102" s="69"/>
      <c r="X102" s="256">
        <f>ROUND(M102*P102,-3)</f>
        <v>728000</v>
      </c>
      <c r="Y102" s="58" t="s">
        <v>283</v>
      </c>
      <c r="Z102" s="6"/>
    </row>
    <row r="103" spans="1:26" s="11" customFormat="1" ht="19.5" customHeight="1">
      <c r="A103" s="61"/>
      <c r="B103" s="89"/>
      <c r="C103" s="90"/>
      <c r="D103" s="60"/>
      <c r="E103" s="62"/>
      <c r="F103" s="62"/>
      <c r="G103" s="63"/>
      <c r="H103" s="91"/>
      <c r="I103" s="259"/>
      <c r="J103" s="258"/>
      <c r="K103" s="92"/>
      <c r="L103" s="92"/>
      <c r="M103" s="258"/>
      <c r="N103" s="258"/>
      <c r="O103" s="259"/>
      <c r="P103" s="258"/>
      <c r="Q103" s="258"/>
      <c r="R103" s="259"/>
      <c r="S103" s="259"/>
      <c r="T103" s="259"/>
      <c r="U103" s="259"/>
      <c r="V103" s="259"/>
      <c r="W103" s="259"/>
      <c r="X103" s="258"/>
      <c r="Y103" s="74"/>
      <c r="Z103" s="6"/>
    </row>
    <row r="104" spans="1:26" ht="21" customHeight="1">
      <c r="A104" s="46"/>
      <c r="B104" s="47"/>
      <c r="C104" s="47" t="s">
        <v>223</v>
      </c>
      <c r="D104" s="317" t="s">
        <v>169</v>
      </c>
      <c r="E104" s="249">
        <f>SUM(E105:E168)</f>
        <v>744653</v>
      </c>
      <c r="F104" s="249">
        <f>SUM(F105:F168)</f>
        <v>577603</v>
      </c>
      <c r="G104" s="250">
        <f t="shared" ref="G104:G105" si="29">F104-E104</f>
        <v>-167050</v>
      </c>
      <c r="H104" s="251">
        <f t="shared" ref="H104:H105" si="30">IF(E104=0,0,G104/E104)</f>
        <v>-0.22433267575635901</v>
      </c>
      <c r="I104" s="233" t="s">
        <v>224</v>
      </c>
      <c r="J104" s="234"/>
      <c r="K104" s="235"/>
      <c r="L104" s="235"/>
      <c r="M104" s="235"/>
      <c r="N104" s="235"/>
      <c r="O104" s="235"/>
      <c r="P104" s="236"/>
      <c r="Q104" s="236"/>
      <c r="R104" s="236"/>
      <c r="S104" s="236"/>
      <c r="T104" s="236"/>
      <c r="U104" s="236"/>
      <c r="V104" s="270" t="s">
        <v>73</v>
      </c>
      <c r="W104" s="271"/>
      <c r="X104" s="272">
        <f>SUM(X105,X110,X125,X129,X137,X162)</f>
        <v>577603000</v>
      </c>
      <c r="Y104" s="320" t="s">
        <v>57</v>
      </c>
    </row>
    <row r="105" spans="1:26" ht="21" customHeight="1">
      <c r="A105" s="46"/>
      <c r="B105" s="47"/>
      <c r="C105" s="47" t="s">
        <v>274</v>
      </c>
      <c r="D105" s="37" t="s">
        <v>273</v>
      </c>
      <c r="E105" s="273">
        <v>5726</v>
      </c>
      <c r="F105" s="273">
        <f>ROUND(X105/1000,0)</f>
        <v>2150</v>
      </c>
      <c r="G105" s="336">
        <f t="shared" si="29"/>
        <v>-3576</v>
      </c>
      <c r="H105" s="211">
        <f t="shared" si="30"/>
        <v>-0.62451973454418441</v>
      </c>
      <c r="I105" s="160" t="s">
        <v>271</v>
      </c>
      <c r="J105" s="179"/>
      <c r="K105" s="95"/>
      <c r="L105" s="95"/>
      <c r="M105" s="95"/>
      <c r="N105" s="288"/>
      <c r="O105" s="274"/>
      <c r="P105" s="95"/>
      <c r="Q105" s="275"/>
      <c r="R105" s="276"/>
      <c r="S105" s="277"/>
      <c r="T105" s="277"/>
      <c r="U105" s="288"/>
      <c r="V105" s="255" t="s">
        <v>272</v>
      </c>
      <c r="W105" s="162"/>
      <c r="X105" s="162">
        <f>SUM(X106:X108)</f>
        <v>2150000</v>
      </c>
      <c r="Y105" s="163" t="s">
        <v>57</v>
      </c>
    </row>
    <row r="106" spans="1:26" ht="21" customHeight="1">
      <c r="A106" s="46"/>
      <c r="B106" s="47"/>
      <c r="C106" s="47"/>
      <c r="D106" s="47"/>
      <c r="E106" s="49"/>
      <c r="F106" s="49"/>
      <c r="G106" s="50"/>
      <c r="H106" s="71"/>
      <c r="I106" s="449" t="s">
        <v>462</v>
      </c>
      <c r="J106" s="462"/>
      <c r="K106" s="461"/>
      <c r="L106" s="461"/>
      <c r="M106" s="461">
        <v>231464</v>
      </c>
      <c r="N106" s="601" t="s">
        <v>25</v>
      </c>
      <c r="O106" s="237" t="s">
        <v>26</v>
      </c>
      <c r="P106" s="602">
        <v>25</v>
      </c>
      <c r="Q106" s="55" t="s">
        <v>167</v>
      </c>
      <c r="R106" s="238" t="s">
        <v>26</v>
      </c>
      <c r="S106" s="241">
        <v>12</v>
      </c>
      <c r="T106" s="241" t="s">
        <v>29</v>
      </c>
      <c r="U106" s="601" t="s">
        <v>26</v>
      </c>
      <c r="V106" s="293">
        <v>0.03</v>
      </c>
      <c r="W106" s="69" t="s">
        <v>27</v>
      </c>
      <c r="X106" s="69">
        <f>ROUND(M106*P106*S106*V106,-3)</f>
        <v>2083000</v>
      </c>
      <c r="Y106" s="58" t="s">
        <v>216</v>
      </c>
    </row>
    <row r="107" spans="1:26" ht="21" customHeight="1">
      <c r="A107" s="46"/>
      <c r="B107" s="47"/>
      <c r="C107" s="47"/>
      <c r="D107" s="47"/>
      <c r="E107" s="49"/>
      <c r="F107" s="49"/>
      <c r="G107" s="50"/>
      <c r="H107" s="71"/>
      <c r="I107" s="449" t="s">
        <v>220</v>
      </c>
      <c r="J107" s="462"/>
      <c r="K107" s="461"/>
      <c r="L107" s="461"/>
      <c r="M107" s="461">
        <v>29340</v>
      </c>
      <c r="N107" s="601" t="s">
        <v>25</v>
      </c>
      <c r="O107" s="237" t="s">
        <v>26</v>
      </c>
      <c r="P107" s="602">
        <v>25</v>
      </c>
      <c r="Q107" s="55" t="s">
        <v>167</v>
      </c>
      <c r="R107" s="239" t="s">
        <v>26</v>
      </c>
      <c r="S107" s="241">
        <v>1</v>
      </c>
      <c r="T107" s="241" t="s">
        <v>219</v>
      </c>
      <c r="U107" s="601" t="s">
        <v>26</v>
      </c>
      <c r="V107" s="293">
        <v>0.03</v>
      </c>
      <c r="W107" s="69" t="s">
        <v>27</v>
      </c>
      <c r="X107" s="69">
        <f>ROUND(M107*P107*S107*V107,-3)</f>
        <v>22000</v>
      </c>
      <c r="Y107" s="58" t="s">
        <v>216</v>
      </c>
    </row>
    <row r="108" spans="1:26" ht="21" customHeight="1">
      <c r="A108" s="46"/>
      <c r="B108" s="47"/>
      <c r="C108" s="47"/>
      <c r="D108" s="47"/>
      <c r="E108" s="49"/>
      <c r="F108" s="49"/>
      <c r="G108" s="50"/>
      <c r="H108" s="71"/>
      <c r="I108" s="449" t="s">
        <v>221</v>
      </c>
      <c r="J108" s="69"/>
      <c r="K108" s="240"/>
      <c r="L108" s="240"/>
      <c r="M108" s="461">
        <v>30000</v>
      </c>
      <c r="N108" s="461" t="s">
        <v>25</v>
      </c>
      <c r="O108" s="237" t="s">
        <v>26</v>
      </c>
      <c r="P108" s="602">
        <v>25</v>
      </c>
      <c r="Q108" s="55" t="s">
        <v>167</v>
      </c>
      <c r="R108" s="239" t="s">
        <v>26</v>
      </c>
      <c r="S108" s="57">
        <v>2</v>
      </c>
      <c r="T108" s="601" t="s">
        <v>219</v>
      </c>
      <c r="U108" s="601" t="s">
        <v>26</v>
      </c>
      <c r="V108" s="293">
        <v>0.03</v>
      </c>
      <c r="W108" s="257" t="s">
        <v>27</v>
      </c>
      <c r="X108" s="69">
        <f>ROUND(M108*P108*S108*V108,-3)</f>
        <v>45000</v>
      </c>
      <c r="Y108" s="58" t="s">
        <v>222</v>
      </c>
    </row>
    <row r="109" spans="1:26" ht="21" customHeight="1">
      <c r="A109" s="46"/>
      <c r="B109" s="47"/>
      <c r="C109" s="47"/>
      <c r="D109" s="60"/>
      <c r="E109" s="62"/>
      <c r="F109" s="62"/>
      <c r="G109" s="63"/>
      <c r="H109" s="91"/>
      <c r="I109" s="72"/>
      <c r="J109" s="73"/>
      <c r="K109" s="278"/>
      <c r="L109" s="278"/>
      <c r="M109" s="258"/>
      <c r="N109" s="258"/>
      <c r="O109" s="279"/>
      <c r="P109" s="258"/>
      <c r="Q109" s="144"/>
      <c r="R109" s="280"/>
      <c r="S109" s="88"/>
      <c r="T109" s="229"/>
      <c r="U109" s="229"/>
      <c r="V109" s="281"/>
      <c r="W109" s="259"/>
      <c r="X109" s="73"/>
      <c r="Y109" s="74"/>
    </row>
    <row r="110" spans="1:26" ht="21" customHeight="1" thickBot="1">
      <c r="A110" s="46"/>
      <c r="B110" s="47"/>
      <c r="C110" s="47"/>
      <c r="D110" s="37" t="s">
        <v>282</v>
      </c>
      <c r="E110" s="38">
        <v>517671</v>
      </c>
      <c r="F110" s="273">
        <f>ROUND(X110/1000,0)</f>
        <v>340764</v>
      </c>
      <c r="G110" s="39">
        <f t="shared" ref="G110" si="31">F110-E110</f>
        <v>-176907</v>
      </c>
      <c r="H110" s="132">
        <f t="shared" ref="H110" si="32">IF(E110=0,0,G110/E110)</f>
        <v>-0.34173635378454653</v>
      </c>
      <c r="I110" s="285" t="s">
        <v>930</v>
      </c>
      <c r="J110" s="284"/>
      <c r="K110" s="292"/>
      <c r="L110" s="292"/>
      <c r="M110" s="95"/>
      <c r="N110" s="95"/>
      <c r="O110" s="274"/>
      <c r="P110" s="95"/>
      <c r="Q110" s="275"/>
      <c r="R110" s="282"/>
      <c r="S110" s="283"/>
      <c r="T110" s="288"/>
      <c r="U110" s="288"/>
      <c r="V110" s="286" t="s">
        <v>272</v>
      </c>
      <c r="W110" s="287"/>
      <c r="X110" s="287">
        <f>SUM(X111,X112,X116,X118)</f>
        <v>340764000</v>
      </c>
      <c r="Y110" s="321" t="s">
        <v>57</v>
      </c>
    </row>
    <row r="111" spans="1:26" ht="21" customHeight="1">
      <c r="A111" s="46"/>
      <c r="B111" s="47"/>
      <c r="C111" s="47"/>
      <c r="D111" s="47"/>
      <c r="E111" s="49"/>
      <c r="F111" s="49"/>
      <c r="G111" s="50"/>
      <c r="H111" s="71"/>
      <c r="I111" s="450" t="s">
        <v>463</v>
      </c>
      <c r="J111" s="257"/>
      <c r="K111" s="256"/>
      <c r="L111" s="256"/>
      <c r="M111" s="461">
        <v>844114000</v>
      </c>
      <c r="N111" s="256" t="s">
        <v>277</v>
      </c>
      <c r="O111" s="75" t="s">
        <v>288</v>
      </c>
      <c r="P111" s="352">
        <v>0.255</v>
      </c>
      <c r="Q111" s="256"/>
      <c r="R111" s="256"/>
      <c r="S111" s="256"/>
      <c r="T111" s="256"/>
      <c r="U111" s="256" t="s">
        <v>289</v>
      </c>
      <c r="V111" s="258" t="s">
        <v>290</v>
      </c>
      <c r="W111" s="73"/>
      <c r="X111" s="258">
        <f>ROUND(M111*P111,-3)</f>
        <v>215249000</v>
      </c>
      <c r="Y111" s="74" t="s">
        <v>25</v>
      </c>
    </row>
    <row r="112" spans="1:26" ht="21" customHeight="1">
      <c r="A112" s="46"/>
      <c r="B112" s="47"/>
      <c r="C112" s="47"/>
      <c r="D112" s="47"/>
      <c r="E112" s="49"/>
      <c r="F112" s="49"/>
      <c r="G112" s="50"/>
      <c r="H112" s="71"/>
      <c r="I112" s="451" t="s">
        <v>464</v>
      </c>
      <c r="J112" s="257"/>
      <c r="K112" s="256"/>
      <c r="L112" s="256"/>
      <c r="M112" s="461"/>
      <c r="N112" s="256"/>
      <c r="O112" s="256"/>
      <c r="P112" s="256"/>
      <c r="Q112" s="256"/>
      <c r="R112" s="256"/>
      <c r="S112" s="256"/>
      <c r="T112" s="256"/>
      <c r="U112" s="256"/>
      <c r="V112" s="161" t="s">
        <v>290</v>
      </c>
      <c r="W112" s="162"/>
      <c r="X112" s="161">
        <f>SUM(X113:X115)</f>
        <v>74662000</v>
      </c>
      <c r="Y112" s="163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1"/>
      <c r="I113" s="449" t="s">
        <v>465</v>
      </c>
      <c r="J113" s="257"/>
      <c r="K113" s="256"/>
      <c r="L113" s="256"/>
      <c r="M113" s="461">
        <v>83530000</v>
      </c>
      <c r="N113" s="256" t="s">
        <v>277</v>
      </c>
      <c r="O113" s="75" t="s">
        <v>288</v>
      </c>
      <c r="P113" s="352">
        <v>0.255</v>
      </c>
      <c r="Q113" s="256"/>
      <c r="R113" s="256"/>
      <c r="S113" s="256"/>
      <c r="T113" s="256"/>
      <c r="U113" s="256" t="s">
        <v>289</v>
      </c>
      <c r="V113" s="759"/>
      <c r="W113" s="759"/>
      <c r="X113" s="284">
        <f>ROUND(M113*P113,-3)</f>
        <v>21300000</v>
      </c>
      <c r="Y113" s="134" t="s">
        <v>283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1"/>
      <c r="I114" s="449" t="s">
        <v>466</v>
      </c>
      <c r="J114" s="257"/>
      <c r="K114" s="256"/>
      <c r="L114" s="256"/>
      <c r="M114" s="461">
        <v>6480000</v>
      </c>
      <c r="N114" s="256" t="s">
        <v>277</v>
      </c>
      <c r="O114" s="75" t="s">
        <v>288</v>
      </c>
      <c r="P114" s="352">
        <v>0.255</v>
      </c>
      <c r="Q114" s="256"/>
      <c r="R114" s="256"/>
      <c r="S114" s="256"/>
      <c r="T114" s="256"/>
      <c r="U114" s="256" t="s">
        <v>289</v>
      </c>
      <c r="V114" s="752"/>
      <c r="W114" s="752"/>
      <c r="X114" s="69">
        <f t="shared" ref="X114" si="33">ROUND(M114*P114,-3)</f>
        <v>1652000</v>
      </c>
      <c r="Y114" s="58" t="s">
        <v>283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1"/>
      <c r="I115" s="449" t="s">
        <v>475</v>
      </c>
      <c r="J115" s="257"/>
      <c r="K115" s="256"/>
      <c r="L115" s="256"/>
      <c r="M115" s="461">
        <v>202785000</v>
      </c>
      <c r="N115" s="256" t="s">
        <v>277</v>
      </c>
      <c r="O115" s="75" t="s">
        <v>288</v>
      </c>
      <c r="P115" s="352">
        <v>0.255</v>
      </c>
      <c r="Q115" s="256"/>
      <c r="R115" s="256"/>
      <c r="S115" s="256"/>
      <c r="T115" s="256"/>
      <c r="U115" s="256" t="s">
        <v>289</v>
      </c>
      <c r="V115" s="752"/>
      <c r="W115" s="752"/>
      <c r="X115" s="69">
        <f>ROUND(M115*P115,-3)</f>
        <v>51710000</v>
      </c>
      <c r="Y115" s="58" t="s">
        <v>283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1"/>
      <c r="I116" s="450" t="s">
        <v>483</v>
      </c>
      <c r="J116" s="257"/>
      <c r="K116" s="256"/>
      <c r="L116" s="256"/>
      <c r="M116" s="461"/>
      <c r="N116" s="256"/>
      <c r="O116" s="256"/>
      <c r="P116" s="256"/>
      <c r="Q116" s="256"/>
      <c r="R116" s="256"/>
      <c r="S116" s="256"/>
      <c r="T116" s="256"/>
      <c r="U116" s="256"/>
      <c r="V116" s="258" t="s">
        <v>290</v>
      </c>
      <c r="W116" s="73"/>
      <c r="X116" s="258">
        <f>X117</f>
        <v>24159000</v>
      </c>
      <c r="Y116" s="74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1"/>
      <c r="I117" s="449" t="s">
        <v>931</v>
      </c>
      <c r="J117" s="257"/>
      <c r="K117" s="256"/>
      <c r="L117" s="256"/>
      <c r="M117" s="461">
        <f>SUM(M111:M115)</f>
        <v>1136909000</v>
      </c>
      <c r="N117" s="55" t="s">
        <v>283</v>
      </c>
      <c r="O117" s="289" t="s">
        <v>285</v>
      </c>
      <c r="P117" s="78">
        <v>12</v>
      </c>
      <c r="Q117" s="237" t="s">
        <v>286</v>
      </c>
      <c r="R117" s="75" t="s">
        <v>288</v>
      </c>
      <c r="S117" s="352">
        <v>0.255</v>
      </c>
      <c r="T117" s="256"/>
      <c r="U117" s="256" t="s">
        <v>287</v>
      </c>
      <c r="V117" s="95"/>
      <c r="W117" s="95"/>
      <c r="X117" s="284">
        <f>ROUND(M117/P117*S117,-3)</f>
        <v>24159000</v>
      </c>
      <c r="Y117" s="323" t="s">
        <v>277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1"/>
      <c r="I118" s="450" t="s">
        <v>484</v>
      </c>
      <c r="J118" s="257"/>
      <c r="K118" s="256"/>
      <c r="L118" s="256"/>
      <c r="M118" s="461"/>
      <c r="N118" s="55"/>
      <c r="O118" s="256"/>
      <c r="P118" s="256"/>
      <c r="Q118" s="256"/>
      <c r="R118" s="256"/>
      <c r="S118" s="256"/>
      <c r="T118" s="256"/>
      <c r="U118" s="256"/>
      <c r="V118" s="258" t="s">
        <v>290</v>
      </c>
      <c r="W118" s="73"/>
      <c r="X118" s="258">
        <f>SUM(X119:X123)</f>
        <v>26694000</v>
      </c>
      <c r="Y118" s="74" t="s">
        <v>25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1"/>
      <c r="I119" s="449" t="s">
        <v>477</v>
      </c>
      <c r="J119" s="257"/>
      <c r="K119" s="256"/>
      <c r="L119" s="256"/>
      <c r="M119" s="461">
        <f>M117</f>
        <v>1136909000</v>
      </c>
      <c r="N119" s="55" t="s">
        <v>283</v>
      </c>
      <c r="O119" s="75" t="s">
        <v>288</v>
      </c>
      <c r="P119" s="290">
        <v>0.09</v>
      </c>
      <c r="Q119" s="289">
        <v>2</v>
      </c>
      <c r="R119" s="75" t="s">
        <v>288</v>
      </c>
      <c r="S119" s="352">
        <v>0.255</v>
      </c>
      <c r="T119" s="77"/>
      <c r="U119" s="289" t="s">
        <v>287</v>
      </c>
      <c r="V119" s="256"/>
      <c r="W119" s="69"/>
      <c r="X119" s="69">
        <f>ROUND(M119*P119/Q119*S119,-3)</f>
        <v>13046000</v>
      </c>
      <c r="Y119" s="58" t="s">
        <v>283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1"/>
      <c r="I120" s="449" t="s">
        <v>478</v>
      </c>
      <c r="J120" s="257"/>
      <c r="K120" s="256"/>
      <c r="L120" s="256"/>
      <c r="M120" s="461">
        <f>M117</f>
        <v>1136909000</v>
      </c>
      <c r="N120" s="55" t="s">
        <v>283</v>
      </c>
      <c r="O120" s="75" t="s">
        <v>288</v>
      </c>
      <c r="P120" s="291">
        <v>6.0699999999999997E-2</v>
      </c>
      <c r="Q120" s="289">
        <v>2</v>
      </c>
      <c r="R120" s="75" t="s">
        <v>288</v>
      </c>
      <c r="S120" s="352">
        <v>0.255</v>
      </c>
      <c r="T120" s="77"/>
      <c r="U120" s="289" t="s">
        <v>287</v>
      </c>
      <c r="V120" s="256"/>
      <c r="W120" s="69"/>
      <c r="X120" s="69">
        <f>ROUND(M120*P120/Q120*S120,-3)</f>
        <v>8799000</v>
      </c>
      <c r="Y120" s="58" t="s">
        <v>283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1"/>
      <c r="I121" s="449" t="s">
        <v>479</v>
      </c>
      <c r="J121" s="257"/>
      <c r="K121" s="256"/>
      <c r="L121" s="256"/>
      <c r="M121" s="461">
        <f>X120</f>
        <v>8799000</v>
      </c>
      <c r="N121" s="55" t="s">
        <v>283</v>
      </c>
      <c r="O121" s="75" t="s">
        <v>288</v>
      </c>
      <c r="P121" s="81">
        <v>6.5500000000000003E-2</v>
      </c>
      <c r="Q121" s="82"/>
      <c r="R121" s="75"/>
      <c r="S121" s="79"/>
      <c r="T121" s="84"/>
      <c r="U121" s="289" t="s">
        <v>287</v>
      </c>
      <c r="V121" s="256"/>
      <c r="W121" s="69"/>
      <c r="X121" s="69">
        <f>ROUND(M121*P121,-3)</f>
        <v>576000</v>
      </c>
      <c r="Y121" s="58" t="s">
        <v>283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1"/>
      <c r="I122" s="449" t="s">
        <v>480</v>
      </c>
      <c r="J122" s="257"/>
      <c r="K122" s="256"/>
      <c r="L122" s="256"/>
      <c r="M122" s="461">
        <f>M117</f>
        <v>1136909000</v>
      </c>
      <c r="N122" s="55" t="s">
        <v>283</v>
      </c>
      <c r="O122" s="75" t="s">
        <v>288</v>
      </c>
      <c r="P122" s="81">
        <v>8.9999999999999993E-3</v>
      </c>
      <c r="Q122" s="75"/>
      <c r="R122" s="75" t="s">
        <v>288</v>
      </c>
      <c r="S122" s="352">
        <v>0.255</v>
      </c>
      <c r="T122" s="77"/>
      <c r="U122" s="289" t="s">
        <v>287</v>
      </c>
      <c r="V122" s="256"/>
      <c r="W122" s="69"/>
      <c r="X122" s="69">
        <f t="shared" ref="X122:X123" si="34">ROUND(M122*P122*S122,-3)</f>
        <v>2609000</v>
      </c>
      <c r="Y122" s="58" t="s">
        <v>283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1"/>
      <c r="I123" s="449" t="s">
        <v>481</v>
      </c>
      <c r="J123" s="257"/>
      <c r="K123" s="256"/>
      <c r="L123" s="256"/>
      <c r="M123" s="461">
        <f>M117</f>
        <v>1136909000</v>
      </c>
      <c r="N123" s="55" t="s">
        <v>283</v>
      </c>
      <c r="O123" s="75" t="s">
        <v>288</v>
      </c>
      <c r="P123" s="340">
        <v>5.7400000000000003E-3</v>
      </c>
      <c r="Q123" s="75"/>
      <c r="R123" s="75" t="s">
        <v>288</v>
      </c>
      <c r="S123" s="352">
        <v>0.255</v>
      </c>
      <c r="T123" s="77"/>
      <c r="U123" s="289" t="s">
        <v>287</v>
      </c>
      <c r="V123" s="256"/>
      <c r="W123" s="69"/>
      <c r="X123" s="69">
        <f t="shared" si="34"/>
        <v>1664000</v>
      </c>
      <c r="Y123" s="58" t="s">
        <v>283</v>
      </c>
    </row>
    <row r="124" spans="1:25" ht="21" customHeight="1">
      <c r="A124" s="46"/>
      <c r="B124" s="47"/>
      <c r="C124" s="47"/>
      <c r="D124" s="60"/>
      <c r="E124" s="62"/>
      <c r="F124" s="62"/>
      <c r="G124" s="63"/>
      <c r="H124" s="91"/>
      <c r="I124" s="72"/>
      <c r="J124" s="73"/>
      <c r="K124" s="278"/>
      <c r="L124" s="278"/>
      <c r="M124" s="258"/>
      <c r="N124" s="258"/>
      <c r="O124" s="279"/>
      <c r="P124" s="258"/>
      <c r="Q124" s="144"/>
      <c r="R124" s="280"/>
      <c r="S124" s="88"/>
      <c r="T124" s="229"/>
      <c r="U124" s="229"/>
      <c r="V124" s="281"/>
      <c r="W124" s="259"/>
      <c r="X124" s="73"/>
      <c r="Y124" s="74"/>
    </row>
    <row r="125" spans="1:25" ht="21" customHeight="1" thickBot="1">
      <c r="A125" s="46"/>
      <c r="B125" s="47"/>
      <c r="C125" s="47"/>
      <c r="D125" s="37" t="s">
        <v>291</v>
      </c>
      <c r="E125" s="38">
        <v>30578</v>
      </c>
      <c r="F125" s="273">
        <f>ROUND(X125/1000,0)</f>
        <v>19838</v>
      </c>
      <c r="G125" s="39">
        <f t="shared" ref="G125" si="35">F125-E125</f>
        <v>-10740</v>
      </c>
      <c r="H125" s="132">
        <f t="shared" ref="H125" si="36">IF(E125=0,0,G125/E125)</f>
        <v>-0.35123291255150763</v>
      </c>
      <c r="I125" s="285" t="s">
        <v>292</v>
      </c>
      <c r="J125" s="284"/>
      <c r="K125" s="292"/>
      <c r="L125" s="292"/>
      <c r="M125" s="95"/>
      <c r="N125" s="95"/>
      <c r="O125" s="274"/>
      <c r="P125" s="95"/>
      <c r="Q125" s="275"/>
      <c r="R125" s="282"/>
      <c r="S125" s="283"/>
      <c r="T125" s="288"/>
      <c r="U125" s="288"/>
      <c r="V125" s="286" t="s">
        <v>272</v>
      </c>
      <c r="W125" s="287"/>
      <c r="X125" s="287">
        <f>SUM(X126:X127)</f>
        <v>19838000</v>
      </c>
      <c r="Y125" s="321" t="s">
        <v>57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1"/>
      <c r="I126" s="462" t="s">
        <v>293</v>
      </c>
      <c r="J126" s="69"/>
      <c r="K126" s="240"/>
      <c r="L126" s="240"/>
      <c r="M126" s="347">
        <v>2090000</v>
      </c>
      <c r="N126" s="347" t="s">
        <v>25</v>
      </c>
      <c r="O126" s="619" t="s">
        <v>26</v>
      </c>
      <c r="P126" s="620">
        <v>30</v>
      </c>
      <c r="Q126" s="621" t="s">
        <v>637</v>
      </c>
      <c r="R126" s="499" t="s">
        <v>638</v>
      </c>
      <c r="S126" s="622">
        <v>0.255</v>
      </c>
      <c r="T126" s="504"/>
      <c r="U126" s="502" t="s">
        <v>639</v>
      </c>
      <c r="V126" s="752"/>
      <c r="W126" s="752"/>
      <c r="X126" s="69">
        <f>ROUND(M126*P126*S126,-3)</f>
        <v>15989000</v>
      </c>
      <c r="Y126" s="58" t="s">
        <v>57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1"/>
      <c r="I127" s="462" t="s">
        <v>294</v>
      </c>
      <c r="J127" s="69"/>
      <c r="K127" s="240"/>
      <c r="L127" s="240"/>
      <c r="M127" s="347">
        <v>629000</v>
      </c>
      <c r="N127" s="347" t="s">
        <v>25</v>
      </c>
      <c r="O127" s="619" t="s">
        <v>26</v>
      </c>
      <c r="P127" s="620">
        <v>24</v>
      </c>
      <c r="Q127" s="621" t="s">
        <v>637</v>
      </c>
      <c r="R127" s="499" t="s">
        <v>638</v>
      </c>
      <c r="S127" s="622">
        <v>0.255</v>
      </c>
      <c r="T127" s="504"/>
      <c r="U127" s="502" t="s">
        <v>639</v>
      </c>
      <c r="V127" s="752"/>
      <c r="W127" s="752"/>
      <c r="X127" s="69">
        <f>ROUND(M127*P127*S127,-3)</f>
        <v>3849000</v>
      </c>
      <c r="Y127" s="58" t="s">
        <v>57</v>
      </c>
    </row>
    <row r="128" spans="1:25" ht="21" customHeight="1">
      <c r="A128" s="46"/>
      <c r="B128" s="47"/>
      <c r="C128" s="47"/>
      <c r="D128" s="60"/>
      <c r="E128" s="62"/>
      <c r="F128" s="62"/>
      <c r="G128" s="63"/>
      <c r="H128" s="91"/>
      <c r="I128" s="72"/>
      <c r="J128" s="73"/>
      <c r="K128" s="278"/>
      <c r="L128" s="278"/>
      <c r="M128" s="258"/>
      <c r="N128" s="258"/>
      <c r="O128" s="279"/>
      <c r="P128" s="258"/>
      <c r="Q128" s="144"/>
      <c r="R128" s="280"/>
      <c r="S128" s="88"/>
      <c r="T128" s="229"/>
      <c r="U128" s="229"/>
      <c r="V128" s="281"/>
      <c r="W128" s="259"/>
      <c r="X128" s="73"/>
      <c r="Y128" s="74"/>
    </row>
    <row r="129" spans="1:25" ht="21" customHeight="1" thickBot="1">
      <c r="A129" s="46"/>
      <c r="B129" s="47"/>
      <c r="C129" s="47"/>
      <c r="D129" s="37" t="s">
        <v>295</v>
      </c>
      <c r="E129" s="38">
        <v>18111</v>
      </c>
      <c r="F129" s="273">
        <f>ROUND(X129/1000,0)</f>
        <v>18842</v>
      </c>
      <c r="G129" s="39">
        <f t="shared" ref="G129" si="37">F129-E129</f>
        <v>731</v>
      </c>
      <c r="H129" s="132">
        <f t="shared" ref="H129" si="38">IF(E129=0,0,G129/E129)</f>
        <v>4.0362210811109273E-2</v>
      </c>
      <c r="I129" s="285" t="s">
        <v>297</v>
      </c>
      <c r="J129" s="284"/>
      <c r="K129" s="292"/>
      <c r="L129" s="292"/>
      <c r="M129" s="95"/>
      <c r="N129" s="95"/>
      <c r="O129" s="274"/>
      <c r="P129" s="95"/>
      <c r="Q129" s="275"/>
      <c r="R129" s="282"/>
      <c r="S129" s="283"/>
      <c r="T129" s="288"/>
      <c r="U129" s="288"/>
      <c r="V129" s="286" t="s">
        <v>272</v>
      </c>
      <c r="W129" s="287"/>
      <c r="X129" s="287">
        <f>SUM(X130:X135)</f>
        <v>18842000</v>
      </c>
      <c r="Y129" s="321" t="s">
        <v>57</v>
      </c>
    </row>
    <row r="130" spans="1:25" ht="21" customHeight="1">
      <c r="A130" s="46"/>
      <c r="B130" s="47"/>
      <c r="C130" s="47"/>
      <c r="D130" s="47" t="s">
        <v>296</v>
      </c>
      <c r="E130" s="49"/>
      <c r="F130" s="49"/>
      <c r="G130" s="50"/>
      <c r="H130" s="71"/>
      <c r="I130" s="68" t="s">
        <v>298</v>
      </c>
      <c r="J130" s="257"/>
      <c r="K130" s="256"/>
      <c r="L130" s="256"/>
      <c r="M130" s="256">
        <v>500</v>
      </c>
      <c r="N130" s="256" t="s">
        <v>283</v>
      </c>
      <c r="O130" s="257" t="s">
        <v>288</v>
      </c>
      <c r="P130" s="294">
        <v>54</v>
      </c>
      <c r="Q130" s="295">
        <v>365</v>
      </c>
      <c r="R130" s="256" t="s">
        <v>299</v>
      </c>
      <c r="S130" s="353">
        <v>0.85</v>
      </c>
      <c r="T130" s="256"/>
      <c r="U130" s="256" t="s">
        <v>287</v>
      </c>
      <c r="V130" s="256"/>
      <c r="W130" s="69"/>
      <c r="X130" s="69">
        <f>ROUND(M130*P130*Q130*S130,-3)</f>
        <v>8377000</v>
      </c>
      <c r="Y130" s="58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1"/>
      <c r="I131" s="68" t="s">
        <v>300</v>
      </c>
      <c r="J131" s="257"/>
      <c r="K131" s="256"/>
      <c r="L131" s="256"/>
      <c r="M131" s="256">
        <v>5000</v>
      </c>
      <c r="N131" s="256" t="s">
        <v>283</v>
      </c>
      <c r="O131" s="257" t="s">
        <v>288</v>
      </c>
      <c r="P131" s="294">
        <v>54</v>
      </c>
      <c r="Q131" s="295">
        <v>12</v>
      </c>
      <c r="R131" s="256" t="s">
        <v>286</v>
      </c>
      <c r="S131" s="353">
        <v>0.85</v>
      </c>
      <c r="T131" s="256"/>
      <c r="U131" s="256" t="s">
        <v>287</v>
      </c>
      <c r="V131" s="256"/>
      <c r="W131" s="69"/>
      <c r="X131" s="69">
        <f>ROUND(M131*P131*Q131*S131,-3)</f>
        <v>2754000</v>
      </c>
      <c r="Y131" s="58" t="s">
        <v>25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1"/>
      <c r="I132" s="68" t="s">
        <v>301</v>
      </c>
      <c r="J132" s="257"/>
      <c r="K132" s="256"/>
      <c r="L132" s="256"/>
      <c r="M132" s="256">
        <v>20000</v>
      </c>
      <c r="N132" s="256" t="s">
        <v>283</v>
      </c>
      <c r="O132" s="257" t="s">
        <v>288</v>
      </c>
      <c r="P132" s="294">
        <v>54</v>
      </c>
      <c r="Q132" s="295">
        <v>4</v>
      </c>
      <c r="R132" s="256" t="s">
        <v>302</v>
      </c>
      <c r="S132" s="353">
        <v>0.85</v>
      </c>
      <c r="T132" s="256"/>
      <c r="U132" s="256" t="s">
        <v>287</v>
      </c>
      <c r="V132" s="256"/>
      <c r="W132" s="69"/>
      <c r="X132" s="69">
        <f>ROUND(M132*P132*Q132*S132,-3)</f>
        <v>3672000</v>
      </c>
      <c r="Y132" s="58" t="s">
        <v>25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1"/>
      <c r="I133" s="68" t="s">
        <v>303</v>
      </c>
      <c r="J133" s="257"/>
      <c r="K133" s="256"/>
      <c r="L133" s="256"/>
      <c r="M133" s="256">
        <v>12000</v>
      </c>
      <c r="N133" s="256" t="s">
        <v>283</v>
      </c>
      <c r="O133" s="257" t="s">
        <v>288</v>
      </c>
      <c r="P133" s="294">
        <v>54</v>
      </c>
      <c r="Q133" s="295">
        <v>4</v>
      </c>
      <c r="R133" s="256" t="s">
        <v>302</v>
      </c>
      <c r="S133" s="353">
        <v>0.85</v>
      </c>
      <c r="T133" s="256"/>
      <c r="U133" s="256" t="s">
        <v>287</v>
      </c>
      <c r="V133" s="256"/>
      <c r="W133" s="69"/>
      <c r="X133" s="69">
        <f>ROUND(M133*P133*Q133*S133,-3)</f>
        <v>2203000</v>
      </c>
      <c r="Y133" s="58" t="s">
        <v>25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1"/>
      <c r="I134" s="68" t="s">
        <v>304</v>
      </c>
      <c r="J134" s="257"/>
      <c r="K134" s="256"/>
      <c r="L134" s="256"/>
      <c r="M134" s="256"/>
      <c r="N134" s="256"/>
      <c r="O134" s="257"/>
      <c r="P134" s="294"/>
      <c r="Q134" s="295"/>
      <c r="R134" s="256"/>
      <c r="S134" s="256"/>
      <c r="T134" s="256"/>
      <c r="U134" s="256"/>
      <c r="V134" s="256"/>
      <c r="W134" s="69"/>
      <c r="X134" s="69"/>
      <c r="Y134" s="58"/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1"/>
      <c r="I135" s="68" t="s">
        <v>305</v>
      </c>
      <c r="J135" s="257"/>
      <c r="K135" s="256"/>
      <c r="L135" s="256"/>
      <c r="M135" s="256">
        <v>40000</v>
      </c>
      <c r="N135" s="256" t="s">
        <v>283</v>
      </c>
      <c r="O135" s="257" t="s">
        <v>288</v>
      </c>
      <c r="P135" s="294">
        <v>54</v>
      </c>
      <c r="Q135" s="295">
        <v>1</v>
      </c>
      <c r="R135" s="256" t="s">
        <v>302</v>
      </c>
      <c r="S135" s="353">
        <v>0.85</v>
      </c>
      <c r="T135" s="256"/>
      <c r="U135" s="256" t="s">
        <v>287</v>
      </c>
      <c r="V135" s="256"/>
      <c r="W135" s="69"/>
      <c r="X135" s="69">
        <f t="shared" ref="X135" si="39">ROUNDUP(M135*P135*Q135*S135,-3)</f>
        <v>1836000</v>
      </c>
      <c r="Y135" s="58" t="s">
        <v>25</v>
      </c>
    </row>
    <row r="136" spans="1:25" ht="21" customHeight="1">
      <c r="A136" s="46"/>
      <c r="B136" s="47"/>
      <c r="C136" s="47"/>
      <c r="D136" s="60"/>
      <c r="E136" s="62"/>
      <c r="F136" s="62"/>
      <c r="G136" s="63"/>
      <c r="H136" s="91"/>
      <c r="I136" s="72"/>
      <c r="J136" s="73"/>
      <c r="K136" s="278"/>
      <c r="L136" s="278"/>
      <c r="M136" s="258"/>
      <c r="N136" s="258"/>
      <c r="O136" s="279"/>
      <c r="P136" s="258"/>
      <c r="Q136" s="144"/>
      <c r="R136" s="280"/>
      <c r="S136" s="88"/>
      <c r="T136" s="229"/>
      <c r="U136" s="229"/>
      <c r="V136" s="281"/>
      <c r="W136" s="259"/>
      <c r="X136" s="73"/>
      <c r="Y136" s="74"/>
    </row>
    <row r="137" spans="1:25" ht="21" customHeight="1" thickBot="1">
      <c r="A137" s="46"/>
      <c r="B137" s="47"/>
      <c r="C137" s="47"/>
      <c r="D137" s="37" t="s">
        <v>306</v>
      </c>
      <c r="E137" s="38">
        <v>160291</v>
      </c>
      <c r="F137" s="273">
        <f>ROUND(X137/1000,0)</f>
        <v>183497</v>
      </c>
      <c r="G137" s="39">
        <f t="shared" ref="G137" si="40">F137-E137</f>
        <v>23206</v>
      </c>
      <c r="H137" s="132">
        <f t="shared" ref="H137" si="41">IF(E137=0,0,G137/E137)</f>
        <v>0.14477419193841201</v>
      </c>
      <c r="I137" s="285" t="s">
        <v>308</v>
      </c>
      <c r="J137" s="284"/>
      <c r="K137" s="292"/>
      <c r="L137" s="292"/>
      <c r="M137" s="95"/>
      <c r="N137" s="95"/>
      <c r="O137" s="274"/>
      <c r="P137" s="95"/>
      <c r="Q137" s="275"/>
      <c r="R137" s="282"/>
      <c r="S137" s="283"/>
      <c r="T137" s="600"/>
      <c r="U137" s="600"/>
      <c r="V137" s="286" t="s">
        <v>272</v>
      </c>
      <c r="W137" s="287"/>
      <c r="X137" s="287">
        <f>X138+X157</f>
        <v>183497000</v>
      </c>
      <c r="Y137" s="321" t="s">
        <v>57</v>
      </c>
    </row>
    <row r="138" spans="1:25" ht="21" customHeight="1">
      <c r="A138" s="46"/>
      <c r="B138" s="47"/>
      <c r="C138" s="47"/>
      <c r="D138" s="47" t="s">
        <v>307</v>
      </c>
      <c r="E138" s="49"/>
      <c r="F138" s="49"/>
      <c r="G138" s="50"/>
      <c r="H138" s="71"/>
      <c r="I138" s="297" t="s">
        <v>309</v>
      </c>
      <c r="J138" s="69"/>
      <c r="K138" s="240"/>
      <c r="L138" s="240"/>
      <c r="M138" s="461"/>
      <c r="N138" s="461"/>
      <c r="O138" s="237"/>
      <c r="P138" s="461"/>
      <c r="Q138" s="55"/>
      <c r="R138" s="239"/>
      <c r="S138" s="57"/>
      <c r="T138" s="601"/>
      <c r="U138" s="601"/>
      <c r="V138" s="603" t="s">
        <v>314</v>
      </c>
      <c r="W138" s="73"/>
      <c r="X138" s="603">
        <f>SUM(X139,X143,X148,X150)</f>
        <v>164417000</v>
      </c>
      <c r="Y138" s="74" t="s">
        <v>25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1"/>
      <c r="I139" s="72" t="s">
        <v>310</v>
      </c>
      <c r="J139" s="462"/>
      <c r="K139" s="461"/>
      <c r="L139" s="461"/>
      <c r="M139" s="461"/>
      <c r="N139" s="461"/>
      <c r="O139" s="75"/>
      <c r="P139" s="79"/>
      <c r="Q139" s="461"/>
      <c r="R139" s="461"/>
      <c r="S139" s="461"/>
      <c r="T139" s="461"/>
      <c r="U139" s="461"/>
      <c r="V139" s="603" t="s">
        <v>73</v>
      </c>
      <c r="W139" s="73"/>
      <c r="X139" s="603">
        <f>SUM(X140:X142)</f>
        <v>50471000</v>
      </c>
      <c r="Y139" s="74" t="s">
        <v>25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1"/>
      <c r="I140" s="452" t="s">
        <v>642</v>
      </c>
      <c r="J140" s="462"/>
      <c r="K140" s="461"/>
      <c r="L140" s="461"/>
      <c r="M140" s="461">
        <v>24644000</v>
      </c>
      <c r="N140" s="461" t="s">
        <v>57</v>
      </c>
      <c r="O140" s="75" t="s">
        <v>58</v>
      </c>
      <c r="P140" s="79">
        <v>0.9</v>
      </c>
      <c r="Q140" s="461"/>
      <c r="R140" s="461"/>
      <c r="S140" s="461"/>
      <c r="T140" s="461"/>
      <c r="U140" s="461" t="s">
        <v>53</v>
      </c>
      <c r="V140" s="95"/>
      <c r="W140" s="284"/>
      <c r="X140" s="95">
        <f>ROUNDDOWN(M140*P140,-3)</f>
        <v>22179000</v>
      </c>
      <c r="Y140" s="134" t="s">
        <v>57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1"/>
      <c r="I141" s="449" t="s">
        <v>643</v>
      </c>
      <c r="J141" s="462"/>
      <c r="K141" s="461"/>
      <c r="L141" s="461"/>
      <c r="M141" s="461">
        <v>15810000</v>
      </c>
      <c r="N141" s="461" t="s">
        <v>57</v>
      </c>
      <c r="O141" s="75" t="s">
        <v>58</v>
      </c>
      <c r="P141" s="79">
        <v>0.9</v>
      </c>
      <c r="Q141" s="461"/>
      <c r="R141" s="461"/>
      <c r="S141" s="461"/>
      <c r="T141" s="461"/>
      <c r="U141" s="461" t="s">
        <v>53</v>
      </c>
      <c r="V141" s="461"/>
      <c r="W141" s="69"/>
      <c r="X141" s="461">
        <f t="shared" ref="X141:X142" si="42">ROUND(M141*P141,-3)</f>
        <v>14229000</v>
      </c>
      <c r="Y141" s="58" t="s">
        <v>57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1"/>
      <c r="I142" s="449" t="s">
        <v>644</v>
      </c>
      <c r="J142" s="462"/>
      <c r="K142" s="461"/>
      <c r="L142" s="461"/>
      <c r="M142" s="461">
        <v>15625000</v>
      </c>
      <c r="N142" s="461" t="s">
        <v>57</v>
      </c>
      <c r="O142" s="75" t="s">
        <v>58</v>
      </c>
      <c r="P142" s="79">
        <v>0.9</v>
      </c>
      <c r="Q142" s="461"/>
      <c r="R142" s="461"/>
      <c r="S142" s="461"/>
      <c r="T142" s="461"/>
      <c r="U142" s="461" t="s">
        <v>53</v>
      </c>
      <c r="V142" s="461"/>
      <c r="W142" s="69"/>
      <c r="X142" s="461">
        <f t="shared" si="42"/>
        <v>14063000</v>
      </c>
      <c r="Y142" s="58" t="s">
        <v>57</v>
      </c>
    </row>
    <row r="143" spans="1:25" ht="21" customHeight="1">
      <c r="A143" s="46"/>
      <c r="B143" s="47"/>
      <c r="C143" s="47"/>
      <c r="D143" s="47"/>
      <c r="E143" s="49"/>
      <c r="F143" s="49"/>
      <c r="G143" s="50"/>
      <c r="H143" s="71"/>
      <c r="I143" s="72" t="s">
        <v>311</v>
      </c>
      <c r="J143" s="462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603" t="s">
        <v>73</v>
      </c>
      <c r="W143" s="73"/>
      <c r="X143" s="603">
        <f>SUM(X144:X147)</f>
        <v>102155000</v>
      </c>
      <c r="Y143" s="74" t="s">
        <v>25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1"/>
      <c r="I144" s="449" t="s">
        <v>465</v>
      </c>
      <c r="J144" s="462"/>
      <c r="K144" s="461"/>
      <c r="L144" s="461"/>
      <c r="M144" s="461">
        <v>4284000</v>
      </c>
      <c r="N144" s="461" t="s">
        <v>57</v>
      </c>
      <c r="O144" s="75" t="s">
        <v>58</v>
      </c>
      <c r="P144" s="79">
        <v>0.9</v>
      </c>
      <c r="Q144" s="461"/>
      <c r="R144" s="461"/>
      <c r="S144" s="461"/>
      <c r="T144" s="461"/>
      <c r="U144" s="461" t="s">
        <v>53</v>
      </c>
      <c r="V144" s="759"/>
      <c r="W144" s="759"/>
      <c r="X144" s="284">
        <f t="shared" ref="X144:X147" si="43">ROUND(M144*P144,-3)</f>
        <v>3856000</v>
      </c>
      <c r="Y144" s="134" t="s">
        <v>57</v>
      </c>
    </row>
    <row r="145" spans="1:25" ht="21" customHeight="1">
      <c r="A145" s="46"/>
      <c r="B145" s="47"/>
      <c r="C145" s="47"/>
      <c r="D145" s="47"/>
      <c r="E145" s="49"/>
      <c r="F145" s="49"/>
      <c r="G145" s="50"/>
      <c r="H145" s="71"/>
      <c r="I145" s="359" t="s">
        <v>284</v>
      </c>
      <c r="J145" s="462"/>
      <c r="K145" s="461"/>
      <c r="L145" s="461"/>
      <c r="M145" s="461">
        <v>1280000</v>
      </c>
      <c r="N145" s="461" t="s">
        <v>57</v>
      </c>
      <c r="O145" s="75" t="s">
        <v>58</v>
      </c>
      <c r="P145" s="79">
        <v>0.9</v>
      </c>
      <c r="Q145" s="461"/>
      <c r="R145" s="461"/>
      <c r="S145" s="461"/>
      <c r="T145" s="461"/>
      <c r="U145" s="461" t="s">
        <v>53</v>
      </c>
      <c r="V145" s="752"/>
      <c r="W145" s="752"/>
      <c r="X145" s="69">
        <f t="shared" si="43"/>
        <v>1152000</v>
      </c>
      <c r="Y145" s="58" t="s">
        <v>57</v>
      </c>
    </row>
    <row r="146" spans="1:25" ht="21" customHeight="1">
      <c r="A146" s="46"/>
      <c r="B146" s="47"/>
      <c r="C146" s="47"/>
      <c r="D146" s="47"/>
      <c r="E146" s="49"/>
      <c r="F146" s="49"/>
      <c r="G146" s="50"/>
      <c r="H146" s="71"/>
      <c r="I146" s="449" t="s">
        <v>467</v>
      </c>
      <c r="J146" s="462"/>
      <c r="K146" s="461"/>
      <c r="L146" s="461"/>
      <c r="M146" s="461">
        <v>13041000</v>
      </c>
      <c r="N146" s="461" t="s">
        <v>57</v>
      </c>
      <c r="O146" s="75" t="s">
        <v>58</v>
      </c>
      <c r="P146" s="79">
        <v>0.9</v>
      </c>
      <c r="Q146" s="461"/>
      <c r="R146" s="461"/>
      <c r="S146" s="461"/>
      <c r="T146" s="461"/>
      <c r="U146" s="461" t="s">
        <v>53</v>
      </c>
      <c r="V146" s="752"/>
      <c r="W146" s="752"/>
      <c r="X146" s="69">
        <f t="shared" si="43"/>
        <v>11737000</v>
      </c>
      <c r="Y146" s="58" t="s">
        <v>57</v>
      </c>
    </row>
    <row r="147" spans="1:25" ht="21" customHeight="1">
      <c r="A147" s="46"/>
      <c r="B147" s="47"/>
      <c r="C147" s="47"/>
      <c r="D147" s="47"/>
      <c r="E147" s="49"/>
      <c r="F147" s="49"/>
      <c r="G147" s="50"/>
      <c r="H147" s="71"/>
      <c r="I147" s="449" t="s">
        <v>476</v>
      </c>
      <c r="J147" s="462"/>
      <c r="K147" s="461"/>
      <c r="L147" s="461"/>
      <c r="M147" s="461">
        <v>94900000</v>
      </c>
      <c r="N147" s="461" t="s">
        <v>57</v>
      </c>
      <c r="O147" s="75" t="s">
        <v>58</v>
      </c>
      <c r="P147" s="79">
        <v>0.9</v>
      </c>
      <c r="Q147" s="461"/>
      <c r="R147" s="461"/>
      <c r="S147" s="461"/>
      <c r="T147" s="461"/>
      <c r="U147" s="461" t="s">
        <v>53</v>
      </c>
      <c r="V147" s="752"/>
      <c r="W147" s="752"/>
      <c r="X147" s="69">
        <f t="shared" si="43"/>
        <v>85410000</v>
      </c>
      <c r="Y147" s="58" t="s">
        <v>57</v>
      </c>
    </row>
    <row r="148" spans="1:25" ht="21" customHeight="1">
      <c r="A148" s="46"/>
      <c r="B148" s="47"/>
      <c r="C148" s="47"/>
      <c r="D148" s="47"/>
      <c r="E148" s="49"/>
      <c r="F148" s="49"/>
      <c r="G148" s="50"/>
      <c r="H148" s="71"/>
      <c r="I148" s="72" t="s">
        <v>312</v>
      </c>
      <c r="J148" s="462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603" t="s">
        <v>73</v>
      </c>
      <c r="W148" s="73"/>
      <c r="X148" s="603">
        <f>X149</f>
        <v>5602000</v>
      </c>
      <c r="Y148" s="74" t="s">
        <v>25</v>
      </c>
    </row>
    <row r="149" spans="1:25" ht="21" customHeight="1">
      <c r="A149" s="46"/>
      <c r="B149" s="47"/>
      <c r="C149" s="47"/>
      <c r="D149" s="47"/>
      <c r="E149" s="49"/>
      <c r="F149" s="49"/>
      <c r="G149" s="50"/>
      <c r="H149" s="71"/>
      <c r="I149" s="449" t="s">
        <v>932</v>
      </c>
      <c r="J149" s="462"/>
      <c r="K149" s="461"/>
      <c r="L149" s="461"/>
      <c r="M149" s="461">
        <f>SUM(M139:M146)</f>
        <v>74684000</v>
      </c>
      <c r="N149" s="55" t="s">
        <v>57</v>
      </c>
      <c r="O149" s="601" t="s">
        <v>74</v>
      </c>
      <c r="P149" s="78">
        <v>12</v>
      </c>
      <c r="Q149" s="237" t="s">
        <v>0</v>
      </c>
      <c r="R149" s="75" t="s">
        <v>58</v>
      </c>
      <c r="S149" s="79">
        <v>0.9</v>
      </c>
      <c r="T149" s="461"/>
      <c r="U149" s="461" t="s">
        <v>53</v>
      </c>
      <c r="V149" s="95"/>
      <c r="W149" s="95"/>
      <c r="X149" s="284">
        <f>ROUNDUP(M149/P149*S149,-3)</f>
        <v>5602000</v>
      </c>
      <c r="Y149" s="323" t="s">
        <v>57</v>
      </c>
    </row>
    <row r="150" spans="1:25" ht="21" customHeight="1">
      <c r="A150" s="46"/>
      <c r="B150" s="47"/>
      <c r="C150" s="47"/>
      <c r="D150" s="47"/>
      <c r="E150" s="49"/>
      <c r="F150" s="49"/>
      <c r="G150" s="50"/>
      <c r="H150" s="71"/>
      <c r="I150" s="72" t="s">
        <v>313</v>
      </c>
      <c r="J150" s="462"/>
      <c r="K150" s="461"/>
      <c r="L150" s="461"/>
      <c r="M150" s="461"/>
      <c r="N150" s="55"/>
      <c r="O150" s="461"/>
      <c r="P150" s="461"/>
      <c r="Q150" s="461"/>
      <c r="R150" s="461"/>
      <c r="S150" s="461"/>
      <c r="T150" s="461"/>
      <c r="U150" s="461"/>
      <c r="V150" s="603" t="s">
        <v>73</v>
      </c>
      <c r="W150" s="73"/>
      <c r="X150" s="603">
        <f>SUM(X151:X155)</f>
        <v>6189000</v>
      </c>
      <c r="Y150" s="74" t="s">
        <v>25</v>
      </c>
    </row>
    <row r="151" spans="1:25" ht="21" customHeight="1">
      <c r="A151" s="46"/>
      <c r="B151" s="47"/>
      <c r="C151" s="47"/>
      <c r="D151" s="47"/>
      <c r="E151" s="49"/>
      <c r="F151" s="49"/>
      <c r="G151" s="50"/>
      <c r="H151" s="71"/>
      <c r="I151" s="449" t="s">
        <v>470</v>
      </c>
      <c r="J151" s="462"/>
      <c r="K151" s="461"/>
      <c r="L151" s="461"/>
      <c r="M151" s="461">
        <f>M149</f>
        <v>74684000</v>
      </c>
      <c r="N151" s="55" t="s">
        <v>57</v>
      </c>
      <c r="O151" s="75" t="s">
        <v>58</v>
      </c>
      <c r="P151" s="290">
        <v>0.09</v>
      </c>
      <c r="Q151" s="601">
        <v>2</v>
      </c>
      <c r="R151" s="75" t="s">
        <v>58</v>
      </c>
      <c r="S151" s="79">
        <v>0.9</v>
      </c>
      <c r="T151" s="77"/>
      <c r="U151" s="601" t="s">
        <v>53</v>
      </c>
      <c r="V151" s="461"/>
      <c r="W151" s="69"/>
      <c r="X151" s="69">
        <f>ROUND(M151*P151/Q151*S151,-3)</f>
        <v>3025000</v>
      </c>
      <c r="Y151" s="58" t="s">
        <v>57</v>
      </c>
    </row>
    <row r="152" spans="1:25" ht="21" customHeight="1">
      <c r="A152" s="46"/>
      <c r="B152" s="47"/>
      <c r="C152" s="47"/>
      <c r="D152" s="47"/>
      <c r="E152" s="49"/>
      <c r="F152" s="49"/>
      <c r="G152" s="50"/>
      <c r="H152" s="71"/>
      <c r="I152" s="449" t="s">
        <v>471</v>
      </c>
      <c r="J152" s="462"/>
      <c r="K152" s="461"/>
      <c r="L152" s="461"/>
      <c r="M152" s="461">
        <f>M149</f>
        <v>74684000</v>
      </c>
      <c r="N152" s="55" t="s">
        <v>57</v>
      </c>
      <c r="O152" s="75" t="s">
        <v>58</v>
      </c>
      <c r="P152" s="291">
        <v>6.0699999999999997E-2</v>
      </c>
      <c r="Q152" s="601">
        <v>2</v>
      </c>
      <c r="R152" s="75" t="s">
        <v>58</v>
      </c>
      <c r="S152" s="79">
        <v>0.9</v>
      </c>
      <c r="T152" s="77"/>
      <c r="U152" s="601" t="s">
        <v>53</v>
      </c>
      <c r="V152" s="461"/>
      <c r="W152" s="69"/>
      <c r="X152" s="69">
        <f>ROUND(M152*P152/Q152*S152,-3)</f>
        <v>2040000</v>
      </c>
      <c r="Y152" s="58" t="s">
        <v>57</v>
      </c>
    </row>
    <row r="153" spans="1:25" ht="21" customHeight="1">
      <c r="A153" s="46"/>
      <c r="B153" s="47"/>
      <c r="C153" s="47"/>
      <c r="D153" s="47"/>
      <c r="E153" s="49"/>
      <c r="F153" s="49"/>
      <c r="G153" s="50"/>
      <c r="H153" s="71"/>
      <c r="I153" s="449" t="s">
        <v>472</v>
      </c>
      <c r="J153" s="462"/>
      <c r="K153" s="461"/>
      <c r="L153" s="461"/>
      <c r="M153" s="461">
        <f>X152</f>
        <v>2040000</v>
      </c>
      <c r="N153" s="55" t="s">
        <v>57</v>
      </c>
      <c r="O153" s="75" t="s">
        <v>58</v>
      </c>
      <c r="P153" s="81">
        <v>6.5500000000000003E-2</v>
      </c>
      <c r="Q153" s="82"/>
      <c r="R153" s="75"/>
      <c r="S153" s="79"/>
      <c r="T153" s="84"/>
      <c r="U153" s="601" t="s">
        <v>53</v>
      </c>
      <c r="V153" s="461"/>
      <c r="W153" s="69"/>
      <c r="X153" s="69">
        <f>ROUNDDOWN(M153*P153,-3)</f>
        <v>133000</v>
      </c>
      <c r="Y153" s="58" t="s">
        <v>57</v>
      </c>
    </row>
    <row r="154" spans="1:25" ht="21" customHeight="1">
      <c r="A154" s="46"/>
      <c r="B154" s="47"/>
      <c r="C154" s="47"/>
      <c r="D154" s="47"/>
      <c r="E154" s="49"/>
      <c r="F154" s="49"/>
      <c r="G154" s="50"/>
      <c r="H154" s="71"/>
      <c r="I154" s="449" t="s">
        <v>473</v>
      </c>
      <c r="J154" s="462"/>
      <c r="K154" s="461"/>
      <c r="L154" s="461"/>
      <c r="M154" s="461">
        <f>M149</f>
        <v>74684000</v>
      </c>
      <c r="N154" s="55" t="s">
        <v>57</v>
      </c>
      <c r="O154" s="75" t="s">
        <v>58</v>
      </c>
      <c r="P154" s="81">
        <v>8.9999999999999993E-3</v>
      </c>
      <c r="Q154" s="75"/>
      <c r="R154" s="75" t="s">
        <v>58</v>
      </c>
      <c r="S154" s="79">
        <v>0.9</v>
      </c>
      <c r="T154" s="77"/>
      <c r="U154" s="601" t="s">
        <v>53</v>
      </c>
      <c r="V154" s="461"/>
      <c r="W154" s="69"/>
      <c r="X154" s="69">
        <f>ROUND(M154*P154*S154,-3)</f>
        <v>605000</v>
      </c>
      <c r="Y154" s="58" t="s">
        <v>57</v>
      </c>
    </row>
    <row r="155" spans="1:25" ht="21" customHeight="1">
      <c r="A155" s="46"/>
      <c r="B155" s="47"/>
      <c r="C155" s="47"/>
      <c r="D155" s="47"/>
      <c r="E155" s="49"/>
      <c r="F155" s="49"/>
      <c r="G155" s="50"/>
      <c r="H155" s="71"/>
      <c r="I155" s="449" t="s">
        <v>474</v>
      </c>
      <c r="J155" s="462"/>
      <c r="K155" s="461"/>
      <c r="L155" s="461"/>
      <c r="M155" s="461">
        <f>M149</f>
        <v>74684000</v>
      </c>
      <c r="N155" s="55" t="s">
        <v>57</v>
      </c>
      <c r="O155" s="75" t="s">
        <v>58</v>
      </c>
      <c r="P155" s="340">
        <v>5.7400000000000003E-3</v>
      </c>
      <c r="Q155" s="75"/>
      <c r="R155" s="75" t="s">
        <v>58</v>
      </c>
      <c r="S155" s="79">
        <v>0.9</v>
      </c>
      <c r="T155" s="77"/>
      <c r="U155" s="601" t="s">
        <v>53</v>
      </c>
      <c r="V155" s="461"/>
      <c r="W155" s="69"/>
      <c r="X155" s="69">
        <f t="shared" ref="X155" si="44">ROUND(M155*P155*S155,-3)</f>
        <v>386000</v>
      </c>
      <c r="Y155" s="58" t="s">
        <v>57</v>
      </c>
    </row>
    <row r="156" spans="1:25" ht="21" customHeight="1">
      <c r="A156" s="46"/>
      <c r="B156" s="47"/>
      <c r="C156" s="47"/>
      <c r="D156" s="47"/>
      <c r="E156" s="49"/>
      <c r="F156" s="49"/>
      <c r="G156" s="50"/>
      <c r="H156" s="71"/>
      <c r="I156" s="68"/>
      <c r="J156" s="69"/>
      <c r="K156" s="240"/>
      <c r="L156" s="240"/>
      <c r="M156" s="461"/>
      <c r="N156" s="461"/>
      <c r="O156" s="237"/>
      <c r="P156" s="461"/>
      <c r="Q156" s="55"/>
      <c r="R156" s="239"/>
      <c r="S156" s="57"/>
      <c r="T156" s="601"/>
      <c r="U156" s="601"/>
      <c r="V156" s="79"/>
      <c r="W156" s="462"/>
      <c r="X156" s="69"/>
      <c r="Y156" s="58"/>
    </row>
    <row r="157" spans="1:25" ht="21" customHeight="1">
      <c r="A157" s="46"/>
      <c r="B157" s="47"/>
      <c r="C157" s="47"/>
      <c r="D157" s="47"/>
      <c r="E157" s="49"/>
      <c r="F157" s="49"/>
      <c r="G157" s="50"/>
      <c r="H157" s="71"/>
      <c r="I157" s="72" t="s">
        <v>315</v>
      </c>
      <c r="J157" s="69"/>
      <c r="K157" s="240"/>
      <c r="L157" s="240"/>
      <c r="M157" s="461"/>
      <c r="N157" s="461"/>
      <c r="O157" s="237"/>
      <c r="P157" s="461"/>
      <c r="Q157" s="55"/>
      <c r="R157" s="239"/>
      <c r="S157" s="57"/>
      <c r="T157" s="601"/>
      <c r="U157" s="601"/>
      <c r="V157" s="603" t="s">
        <v>314</v>
      </c>
      <c r="W157" s="73"/>
      <c r="X157" s="603">
        <f>SUM(X158:X160)</f>
        <v>19080000</v>
      </c>
      <c r="Y157" s="74" t="s">
        <v>25</v>
      </c>
    </row>
    <row r="158" spans="1:25" ht="21" customHeight="1">
      <c r="A158" s="46"/>
      <c r="B158" s="47"/>
      <c r="C158" s="47"/>
      <c r="D158" s="47"/>
      <c r="E158" s="49"/>
      <c r="F158" s="49"/>
      <c r="G158" s="50"/>
      <c r="H158" s="71"/>
      <c r="I158" s="68" t="s">
        <v>316</v>
      </c>
      <c r="J158" s="462"/>
      <c r="K158" s="461"/>
      <c r="L158" s="461"/>
      <c r="M158" s="298">
        <v>300000</v>
      </c>
      <c r="N158" s="70" t="s">
        <v>57</v>
      </c>
      <c r="O158" s="70" t="s">
        <v>58</v>
      </c>
      <c r="P158" s="341">
        <v>1</v>
      </c>
      <c r="Q158" s="295">
        <v>12</v>
      </c>
      <c r="R158" s="70" t="s">
        <v>0</v>
      </c>
      <c r="S158" s="296">
        <v>0.9</v>
      </c>
      <c r="T158" s="70"/>
      <c r="U158" s="70" t="s">
        <v>53</v>
      </c>
      <c r="V158" s="461"/>
      <c r="W158" s="69"/>
      <c r="X158" s="461">
        <f>M158*P158*Q158*S158</f>
        <v>3240000</v>
      </c>
      <c r="Y158" s="58" t="s">
        <v>57</v>
      </c>
    </row>
    <row r="159" spans="1:25" ht="21" customHeight="1">
      <c r="A159" s="46"/>
      <c r="B159" s="47"/>
      <c r="C159" s="47"/>
      <c r="D159" s="47"/>
      <c r="E159" s="49"/>
      <c r="F159" s="49"/>
      <c r="G159" s="50"/>
      <c r="H159" s="71"/>
      <c r="I159" s="449" t="s">
        <v>482</v>
      </c>
      <c r="J159" s="462"/>
      <c r="K159" s="461"/>
      <c r="L159" s="461"/>
      <c r="M159" s="298">
        <v>5000000</v>
      </c>
      <c r="N159" s="70" t="s">
        <v>57</v>
      </c>
      <c r="O159" s="70" t="s">
        <v>58</v>
      </c>
      <c r="P159" s="79">
        <v>0.9</v>
      </c>
      <c r="Q159" s="295"/>
      <c r="R159" s="70"/>
      <c r="S159" s="296"/>
      <c r="T159" s="70"/>
      <c r="U159" s="70" t="s">
        <v>53</v>
      </c>
      <c r="V159" s="461"/>
      <c r="W159" s="69"/>
      <c r="X159" s="461">
        <f>M159*P159</f>
        <v>4500000</v>
      </c>
      <c r="Y159" s="58" t="s">
        <v>57</v>
      </c>
    </row>
    <row r="160" spans="1:25" ht="21" customHeight="1">
      <c r="A160" s="46"/>
      <c r="B160" s="47"/>
      <c r="C160" s="47"/>
      <c r="D160" s="47"/>
      <c r="E160" s="49"/>
      <c r="F160" s="49"/>
      <c r="G160" s="50"/>
      <c r="H160" s="71"/>
      <c r="I160" s="449" t="s">
        <v>507</v>
      </c>
      <c r="J160" s="462"/>
      <c r="K160" s="461"/>
      <c r="L160" s="461"/>
      <c r="M160" s="298">
        <v>70000</v>
      </c>
      <c r="N160" s="70" t="s">
        <v>57</v>
      </c>
      <c r="O160" s="70" t="s">
        <v>58</v>
      </c>
      <c r="P160" s="299">
        <v>1</v>
      </c>
      <c r="Q160" s="459">
        <v>180</v>
      </c>
      <c r="R160" s="70" t="s">
        <v>85</v>
      </c>
      <c r="S160" s="296">
        <v>0.9</v>
      </c>
      <c r="T160" s="70"/>
      <c r="U160" s="70" t="s">
        <v>53</v>
      </c>
      <c r="V160" s="461"/>
      <c r="W160" s="69"/>
      <c r="X160" s="347">
        <f t="shared" ref="X160" si="45">M160*P160*Q160*S160</f>
        <v>11340000</v>
      </c>
      <c r="Y160" s="469" t="s">
        <v>635</v>
      </c>
    </row>
    <row r="161" spans="1:26" ht="21" customHeight="1">
      <c r="A161" s="46"/>
      <c r="B161" s="47"/>
      <c r="C161" s="47"/>
      <c r="D161" s="60"/>
      <c r="E161" s="62"/>
      <c r="F161" s="62"/>
      <c r="G161" s="63"/>
      <c r="H161" s="91"/>
      <c r="I161" s="604"/>
      <c r="J161" s="73"/>
      <c r="K161" s="278"/>
      <c r="L161" s="278"/>
      <c r="M161" s="603"/>
      <c r="N161" s="603"/>
      <c r="O161" s="279"/>
      <c r="P161" s="603"/>
      <c r="Q161" s="144"/>
      <c r="R161" s="280"/>
      <c r="S161" s="603"/>
      <c r="T161" s="229"/>
      <c r="U161" s="229"/>
      <c r="V161" s="281"/>
      <c r="W161" s="604"/>
      <c r="X161" s="73"/>
      <c r="Y161" s="74"/>
    </row>
    <row r="162" spans="1:26" ht="21" customHeight="1">
      <c r="A162" s="46"/>
      <c r="B162" s="47"/>
      <c r="C162" s="47"/>
      <c r="D162" s="47" t="s">
        <v>318</v>
      </c>
      <c r="E162" s="49">
        <v>12276</v>
      </c>
      <c r="F162" s="273">
        <f>ROUND(X162/1000,0)</f>
        <v>12512</v>
      </c>
      <c r="G162" s="50">
        <f t="shared" ref="G162" si="46">F162-E162</f>
        <v>236</v>
      </c>
      <c r="H162" s="71">
        <f t="shared" ref="H162" si="47">IF(E162=0,0,G162/E162)</f>
        <v>1.9224503095470837E-2</v>
      </c>
      <c r="I162" s="72" t="s">
        <v>317</v>
      </c>
      <c r="J162" s="69"/>
      <c r="K162" s="240"/>
      <c r="L162" s="240"/>
      <c r="M162" s="256"/>
      <c r="N162" s="256"/>
      <c r="O162" s="237"/>
      <c r="P162" s="256"/>
      <c r="Q162" s="55"/>
      <c r="R162" s="239"/>
      <c r="S162" s="57"/>
      <c r="T162" s="289"/>
      <c r="U162" s="289"/>
      <c r="V162" s="258" t="s">
        <v>320</v>
      </c>
      <c r="W162" s="73"/>
      <c r="X162" s="258">
        <f>SUM(X163:X167)</f>
        <v>12512000</v>
      </c>
      <c r="Y162" s="74" t="s">
        <v>25</v>
      </c>
    </row>
    <row r="163" spans="1:26" ht="21" customHeight="1">
      <c r="A163" s="46"/>
      <c r="B163" s="47"/>
      <c r="C163" s="47"/>
      <c r="D163" s="47" t="s">
        <v>319</v>
      </c>
      <c r="E163" s="49"/>
      <c r="F163" s="49"/>
      <c r="G163" s="50"/>
      <c r="H163" s="71"/>
      <c r="I163" s="355" t="s">
        <v>654</v>
      </c>
      <c r="J163" s="69"/>
      <c r="K163" s="240"/>
      <c r="L163" s="240"/>
      <c r="M163" s="298">
        <v>3640000</v>
      </c>
      <c r="N163" s="70" t="s">
        <v>283</v>
      </c>
      <c r="O163" s="70" t="s">
        <v>288</v>
      </c>
      <c r="P163" s="79">
        <v>0.8</v>
      </c>
      <c r="Q163" s="295"/>
      <c r="R163" s="70"/>
      <c r="S163" s="296"/>
      <c r="T163" s="70"/>
      <c r="U163" s="70" t="s">
        <v>289</v>
      </c>
      <c r="V163" s="256"/>
      <c r="W163" s="69"/>
      <c r="X163" s="256">
        <f>ROUND(M163*P163,-3)</f>
        <v>2912000</v>
      </c>
      <c r="Y163" s="58" t="s">
        <v>283</v>
      </c>
    </row>
    <row r="164" spans="1:26" ht="21" customHeight="1">
      <c r="A164" s="46"/>
      <c r="B164" s="47"/>
      <c r="C164" s="47"/>
      <c r="D164" s="47"/>
      <c r="E164" s="49"/>
      <c r="F164" s="49"/>
      <c r="G164" s="50"/>
      <c r="H164" s="71"/>
      <c r="I164" s="68" t="s">
        <v>322</v>
      </c>
      <c r="J164" s="257"/>
      <c r="K164" s="256"/>
      <c r="L164" s="256"/>
      <c r="M164" s="256"/>
      <c r="N164" s="55"/>
      <c r="O164" s="75"/>
      <c r="P164" s="81"/>
      <c r="Q164" s="75"/>
      <c r="R164" s="75"/>
      <c r="S164" s="79"/>
      <c r="T164" s="77"/>
      <c r="U164" s="289"/>
      <c r="V164" s="256"/>
      <c r="W164" s="69"/>
      <c r="X164" s="69">
        <v>2000000</v>
      </c>
      <c r="Y164" s="58" t="s">
        <v>277</v>
      </c>
    </row>
    <row r="165" spans="1:26" ht="21" customHeight="1">
      <c r="A165" s="46"/>
      <c r="B165" s="47"/>
      <c r="C165" s="47"/>
      <c r="D165" s="47"/>
      <c r="E165" s="49"/>
      <c r="F165" s="49"/>
      <c r="G165" s="50"/>
      <c r="H165" s="71"/>
      <c r="I165" s="449" t="s">
        <v>508</v>
      </c>
      <c r="J165" s="257"/>
      <c r="K165" s="256"/>
      <c r="L165" s="256"/>
      <c r="M165" s="256"/>
      <c r="N165" s="55"/>
      <c r="O165" s="75"/>
      <c r="P165" s="81"/>
      <c r="Q165" s="75"/>
      <c r="R165" s="75"/>
      <c r="S165" s="79"/>
      <c r="T165" s="77"/>
      <c r="U165" s="289"/>
      <c r="V165" s="256"/>
      <c r="W165" s="69"/>
      <c r="X165" s="149">
        <v>2000000</v>
      </c>
      <c r="Y165" s="150" t="s">
        <v>509</v>
      </c>
    </row>
    <row r="166" spans="1:26" ht="21" customHeight="1">
      <c r="A166" s="46"/>
      <c r="B166" s="47"/>
      <c r="C166" s="47"/>
      <c r="D166" s="47"/>
      <c r="E166" s="49"/>
      <c r="F166" s="49"/>
      <c r="G166" s="50"/>
      <c r="H166" s="71"/>
      <c r="I166" s="68" t="s">
        <v>658</v>
      </c>
      <c r="J166" s="257"/>
      <c r="K166" s="256"/>
      <c r="L166" s="256"/>
      <c r="M166" s="256"/>
      <c r="N166" s="55"/>
      <c r="O166" s="75"/>
      <c r="P166" s="81"/>
      <c r="Q166" s="75"/>
      <c r="R166" s="75"/>
      <c r="S166" s="79"/>
      <c r="T166" s="77"/>
      <c r="U166" s="289"/>
      <c r="V166" s="256"/>
      <c r="W166" s="69"/>
      <c r="X166" s="69">
        <v>2000000</v>
      </c>
      <c r="Y166" s="58" t="s">
        <v>277</v>
      </c>
    </row>
    <row r="167" spans="1:26" ht="21" customHeight="1">
      <c r="A167" s="46"/>
      <c r="B167" s="47"/>
      <c r="C167" s="47"/>
      <c r="D167" s="47"/>
      <c r="E167" s="49"/>
      <c r="F167" s="49"/>
      <c r="G167" s="50"/>
      <c r="H167" s="71"/>
      <c r="I167" s="449" t="s">
        <v>485</v>
      </c>
      <c r="J167" s="257"/>
      <c r="K167" s="256"/>
      <c r="L167" s="256"/>
      <c r="M167" s="298">
        <v>200000</v>
      </c>
      <c r="N167" s="70" t="s">
        <v>283</v>
      </c>
      <c r="O167" s="70" t="s">
        <v>288</v>
      </c>
      <c r="P167" s="299">
        <v>18</v>
      </c>
      <c r="Q167" s="295"/>
      <c r="R167" s="70"/>
      <c r="S167" s="296"/>
      <c r="T167" s="70"/>
      <c r="U167" s="70" t="s">
        <v>289</v>
      </c>
      <c r="V167" s="256"/>
      <c r="W167" s="69"/>
      <c r="X167" s="256">
        <f>ROUND(M167*P167,-3)</f>
        <v>3600000</v>
      </c>
      <c r="Y167" s="58" t="s">
        <v>283</v>
      </c>
    </row>
    <row r="168" spans="1:26" ht="21" customHeight="1">
      <c r="A168" s="46"/>
      <c r="B168" s="47"/>
      <c r="C168" s="47"/>
      <c r="D168" s="47"/>
      <c r="E168" s="49"/>
      <c r="F168" s="49"/>
      <c r="G168" s="50"/>
      <c r="H168" s="71"/>
      <c r="I168" s="68"/>
      <c r="J168" s="257"/>
      <c r="K168" s="256"/>
      <c r="L168" s="256"/>
      <c r="M168" s="256"/>
      <c r="N168" s="55"/>
      <c r="O168" s="75"/>
      <c r="P168" s="81"/>
      <c r="Q168" s="75"/>
      <c r="R168" s="75"/>
      <c r="S168" s="79"/>
      <c r="T168" s="77"/>
      <c r="U168" s="289"/>
      <c r="V168" s="256"/>
      <c r="W168" s="69"/>
      <c r="X168" s="69"/>
      <c r="Y168" s="58"/>
    </row>
    <row r="169" spans="1:26" ht="21" customHeight="1">
      <c r="A169" s="46"/>
      <c r="B169" s="47"/>
      <c r="C169" s="37" t="s">
        <v>225</v>
      </c>
      <c r="D169" s="317" t="s">
        <v>169</v>
      </c>
      <c r="E169" s="249">
        <f>E170</f>
        <v>0</v>
      </c>
      <c r="F169" s="249">
        <f>F170</f>
        <v>0</v>
      </c>
      <c r="G169" s="250">
        <f t="shared" ref="G169:G170" si="48">F169-E169</f>
        <v>0</v>
      </c>
      <c r="H169" s="251">
        <f t="shared" ref="H169:H170" si="49">IF(E169=0,0,G169/E169)</f>
        <v>0</v>
      </c>
      <c r="I169" s="233" t="s">
        <v>224</v>
      </c>
      <c r="J169" s="234"/>
      <c r="K169" s="235"/>
      <c r="L169" s="235"/>
      <c r="M169" s="235"/>
      <c r="N169" s="235"/>
      <c r="O169" s="235"/>
      <c r="P169" s="236"/>
      <c r="Q169" s="236"/>
      <c r="R169" s="236"/>
      <c r="S169" s="236"/>
      <c r="T169" s="236"/>
      <c r="U169" s="236"/>
      <c r="V169" s="270" t="s">
        <v>73</v>
      </c>
      <c r="W169" s="271"/>
      <c r="X169" s="271">
        <f>SUM(X170:X170)</f>
        <v>0</v>
      </c>
      <c r="Y169" s="320" t="s">
        <v>57</v>
      </c>
    </row>
    <row r="170" spans="1:26" ht="21" customHeight="1">
      <c r="A170" s="46"/>
      <c r="B170" s="47"/>
      <c r="C170" s="47" t="s">
        <v>218</v>
      </c>
      <c r="D170" s="47" t="s">
        <v>226</v>
      </c>
      <c r="E170" s="49">
        <v>0</v>
      </c>
      <c r="F170" s="49">
        <f>ROUND(X170/1000,0)</f>
        <v>0</v>
      </c>
      <c r="G170" s="336">
        <f t="shared" si="48"/>
        <v>0</v>
      </c>
      <c r="H170" s="211">
        <f t="shared" si="49"/>
        <v>0</v>
      </c>
      <c r="I170" s="68"/>
      <c r="J170" s="257"/>
      <c r="K170" s="256"/>
      <c r="L170" s="256"/>
      <c r="M170" s="256"/>
      <c r="N170" s="289"/>
      <c r="O170" s="237"/>
      <c r="P170" s="256"/>
      <c r="Q170" s="55"/>
      <c r="R170" s="238"/>
      <c r="S170" s="241"/>
      <c r="T170" s="241"/>
      <c r="U170" s="289"/>
      <c r="V170" s="133"/>
      <c r="W170" s="69"/>
      <c r="X170" s="69">
        <v>0</v>
      </c>
      <c r="Y170" s="58" t="s">
        <v>222</v>
      </c>
    </row>
    <row r="171" spans="1:26" s="11" customFormat="1" ht="19.5" customHeight="1">
      <c r="A171" s="324"/>
      <c r="B171" s="90"/>
      <c r="C171" s="90"/>
      <c r="D171" s="60"/>
      <c r="E171" s="62"/>
      <c r="F171" s="62"/>
      <c r="G171" s="63"/>
      <c r="H171" s="91"/>
      <c r="I171" s="72"/>
      <c r="J171" s="258"/>
      <c r="K171" s="92"/>
      <c r="L171" s="92"/>
      <c r="M171" s="93"/>
      <c r="N171" s="258"/>
      <c r="O171" s="92"/>
      <c r="P171" s="258"/>
      <c r="Q171" s="258"/>
      <c r="R171" s="258"/>
      <c r="S171" s="258"/>
      <c r="T171" s="258"/>
      <c r="U171" s="258"/>
      <c r="V171" s="258"/>
      <c r="W171" s="258"/>
      <c r="X171" s="258"/>
      <c r="Y171" s="74"/>
      <c r="Z171" s="6"/>
    </row>
    <row r="172" spans="1:26" ht="21" customHeight="1">
      <c r="A172" s="36" t="s">
        <v>76</v>
      </c>
      <c r="B172" s="37" t="s">
        <v>30</v>
      </c>
      <c r="C172" s="744" t="s">
        <v>359</v>
      </c>
      <c r="D172" s="745"/>
      <c r="E172" s="300">
        <f>SUM(E173,E183)</f>
        <v>77600</v>
      </c>
      <c r="F172" s="300">
        <f>SUM(F173,F183)</f>
        <v>106600</v>
      </c>
      <c r="G172" s="301">
        <f t="shared" ref="G172" si="50">F172-E172</f>
        <v>29000</v>
      </c>
      <c r="H172" s="302">
        <f t="shared" ref="H172" si="51">IF(E172=0,0,G172/E172)</f>
        <v>0.37371134020618557</v>
      </c>
      <c r="I172" s="303" t="s">
        <v>360</v>
      </c>
      <c r="J172" s="304"/>
      <c r="K172" s="305"/>
      <c r="L172" s="305"/>
      <c r="M172" s="304"/>
      <c r="N172" s="304"/>
      <c r="O172" s="304"/>
      <c r="P172" s="304"/>
      <c r="Q172" s="304" t="s">
        <v>69</v>
      </c>
      <c r="R172" s="306"/>
      <c r="S172" s="306"/>
      <c r="T172" s="306"/>
      <c r="U172" s="306"/>
      <c r="V172" s="306"/>
      <c r="W172" s="306"/>
      <c r="X172" s="307">
        <f>X173+X183</f>
        <v>106600000</v>
      </c>
      <c r="Y172" s="319" t="s">
        <v>25</v>
      </c>
    </row>
    <row r="173" spans="1:26" ht="21" customHeight="1">
      <c r="A173" s="46" t="s">
        <v>207</v>
      </c>
      <c r="B173" s="47" t="s">
        <v>207</v>
      </c>
      <c r="C173" s="37" t="s">
        <v>227</v>
      </c>
      <c r="D173" s="317" t="s">
        <v>365</v>
      </c>
      <c r="E173" s="249">
        <f>E174+E181</f>
        <v>11600</v>
      </c>
      <c r="F173" s="249">
        <f>F174+F181</f>
        <v>22600</v>
      </c>
      <c r="G173" s="250">
        <f t="shared" ref="G173:G174" si="52">F173-E173</f>
        <v>11000</v>
      </c>
      <c r="H173" s="251">
        <f t="shared" ref="H173:H174" si="53">IF(E173=0,0,G173/E173)</f>
        <v>0.94827586206896552</v>
      </c>
      <c r="I173" s="233" t="s">
        <v>366</v>
      </c>
      <c r="J173" s="234"/>
      <c r="K173" s="235"/>
      <c r="L173" s="235"/>
      <c r="M173" s="235"/>
      <c r="N173" s="235"/>
      <c r="O173" s="235"/>
      <c r="P173" s="236"/>
      <c r="Q173" s="236"/>
      <c r="R173" s="236"/>
      <c r="S173" s="236"/>
      <c r="T173" s="236"/>
      <c r="U173" s="236"/>
      <c r="V173" s="270" t="s">
        <v>354</v>
      </c>
      <c r="W173" s="271"/>
      <c r="X173" s="272">
        <f>SUM(X174,X181)</f>
        <v>22600000</v>
      </c>
      <c r="Y173" s="320" t="s">
        <v>345</v>
      </c>
    </row>
    <row r="174" spans="1:26" ht="21.75" customHeight="1">
      <c r="A174" s="46"/>
      <c r="B174" s="47"/>
      <c r="C174" s="47" t="s">
        <v>228</v>
      </c>
      <c r="D174" s="37" t="s">
        <v>229</v>
      </c>
      <c r="E174" s="38">
        <v>11000</v>
      </c>
      <c r="F174" s="49">
        <f>ROUND(X174/1000,0)</f>
        <v>22000</v>
      </c>
      <c r="G174" s="336">
        <f t="shared" si="52"/>
        <v>11000</v>
      </c>
      <c r="H174" s="211">
        <f t="shared" si="53"/>
        <v>1</v>
      </c>
      <c r="I174" s="160" t="s">
        <v>230</v>
      </c>
      <c r="J174" s="179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742" t="s">
        <v>73</v>
      </c>
      <c r="W174" s="742"/>
      <c r="X174" s="162">
        <f>SUM(X175:X179)</f>
        <v>22000000</v>
      </c>
      <c r="Y174" s="163" t="s">
        <v>67</v>
      </c>
    </row>
    <row r="175" spans="1:26" ht="18" customHeight="1">
      <c r="A175" s="46"/>
      <c r="B175" s="47"/>
      <c r="C175" s="47"/>
      <c r="D175" s="47"/>
      <c r="E175" s="49"/>
      <c r="F175" s="49"/>
      <c r="G175" s="50"/>
      <c r="H175" s="32"/>
      <c r="I175" s="68" t="s">
        <v>136</v>
      </c>
      <c r="J175" s="257"/>
      <c r="K175" s="256"/>
      <c r="L175" s="256"/>
      <c r="M175" s="256">
        <v>500000</v>
      </c>
      <c r="N175" s="289" t="s">
        <v>70</v>
      </c>
      <c r="O175" s="75" t="s">
        <v>71</v>
      </c>
      <c r="P175" s="70">
        <v>12</v>
      </c>
      <c r="Q175" s="75" t="s">
        <v>188</v>
      </c>
      <c r="R175" s="85"/>
      <c r="S175" s="77"/>
      <c r="T175" s="77"/>
      <c r="U175" s="289" t="s">
        <v>72</v>
      </c>
      <c r="V175" s="256"/>
      <c r="W175" s="69"/>
      <c r="X175" s="69">
        <f>M175*P175</f>
        <v>6000000</v>
      </c>
      <c r="Y175" s="58" t="s">
        <v>67</v>
      </c>
    </row>
    <row r="176" spans="1:26" ht="18" customHeight="1">
      <c r="A176" s="46"/>
      <c r="B176" s="47"/>
      <c r="C176" s="47"/>
      <c r="D176" s="47"/>
      <c r="E176" s="49"/>
      <c r="F176" s="49"/>
      <c r="G176" s="50"/>
      <c r="H176" s="32"/>
      <c r="I176" s="68" t="s">
        <v>657</v>
      </c>
      <c r="J176" s="462"/>
      <c r="K176" s="461"/>
      <c r="L176" s="461"/>
      <c r="M176" s="461"/>
      <c r="N176" s="601"/>
      <c r="O176" s="75"/>
      <c r="P176" s="70"/>
      <c r="Q176" s="75"/>
      <c r="R176" s="85"/>
      <c r="S176" s="77"/>
      <c r="T176" s="77"/>
      <c r="U176" s="601"/>
      <c r="V176" s="461"/>
      <c r="W176" s="69"/>
      <c r="X176" s="69">
        <v>6000000</v>
      </c>
      <c r="Y176" s="58" t="s">
        <v>652</v>
      </c>
    </row>
    <row r="177" spans="1:25" ht="18" customHeight="1">
      <c r="A177" s="46"/>
      <c r="B177" s="47"/>
      <c r="C177" s="47"/>
      <c r="D177" s="47"/>
      <c r="E177" s="49"/>
      <c r="F177" s="49"/>
      <c r="G177" s="50"/>
      <c r="H177" s="32"/>
      <c r="I177" s="68" t="s">
        <v>653</v>
      </c>
      <c r="J177" s="462"/>
      <c r="K177" s="461"/>
      <c r="L177" s="461"/>
      <c r="M177" s="461"/>
      <c r="N177" s="601"/>
      <c r="O177" s="75"/>
      <c r="P177" s="70"/>
      <c r="Q177" s="75"/>
      <c r="R177" s="85"/>
      <c r="S177" s="77"/>
      <c r="T177" s="77"/>
      <c r="U177" s="601"/>
      <c r="V177" s="461"/>
      <c r="W177" s="69"/>
      <c r="X177" s="69">
        <v>3000000</v>
      </c>
      <c r="Y177" s="58" t="s">
        <v>652</v>
      </c>
    </row>
    <row r="178" spans="1:25" ht="18" customHeight="1">
      <c r="A178" s="46"/>
      <c r="B178" s="47"/>
      <c r="C178" s="47"/>
      <c r="D178" s="47"/>
      <c r="E178" s="49"/>
      <c r="F178" s="49"/>
      <c r="G178" s="50"/>
      <c r="H178" s="32"/>
      <c r="I178" s="68" t="s">
        <v>659</v>
      </c>
      <c r="J178" s="462"/>
      <c r="K178" s="461"/>
      <c r="L178" s="461"/>
      <c r="M178" s="461"/>
      <c r="N178" s="601"/>
      <c r="O178" s="75"/>
      <c r="P178" s="70"/>
      <c r="Q178" s="75"/>
      <c r="R178" s="85"/>
      <c r="S178" s="77"/>
      <c r="T178" s="77"/>
      <c r="U178" s="601"/>
      <c r="V178" s="461"/>
      <c r="W178" s="69"/>
      <c r="X178" s="69">
        <v>2000000</v>
      </c>
      <c r="Y178" s="58" t="s">
        <v>652</v>
      </c>
    </row>
    <row r="179" spans="1:25" ht="18" customHeight="1">
      <c r="A179" s="46"/>
      <c r="B179" s="47"/>
      <c r="C179" s="47"/>
      <c r="D179" s="47"/>
      <c r="E179" s="49"/>
      <c r="F179" s="49"/>
      <c r="G179" s="50"/>
      <c r="H179" s="32"/>
      <c r="I179" s="68" t="s">
        <v>567</v>
      </c>
      <c r="J179" s="462"/>
      <c r="K179" s="461"/>
      <c r="L179" s="461"/>
      <c r="M179" s="461"/>
      <c r="N179" s="460"/>
      <c r="O179" s="75"/>
      <c r="P179" s="70"/>
      <c r="Q179" s="75"/>
      <c r="R179" s="85"/>
      <c r="S179" s="77"/>
      <c r="T179" s="77"/>
      <c r="U179" s="460"/>
      <c r="V179" s="461"/>
      <c r="W179" s="69"/>
      <c r="X179" s="69">
        <v>5000000</v>
      </c>
      <c r="Y179" s="58" t="s">
        <v>510</v>
      </c>
    </row>
    <row r="180" spans="1:25" ht="18" customHeight="1">
      <c r="A180" s="46"/>
      <c r="B180" s="47"/>
      <c r="C180" s="47"/>
      <c r="D180" s="60"/>
      <c r="E180" s="62"/>
      <c r="F180" s="62"/>
      <c r="G180" s="63"/>
      <c r="H180" s="232"/>
      <c r="I180" s="72"/>
      <c r="J180" s="259"/>
      <c r="K180" s="258"/>
      <c r="L180" s="258"/>
      <c r="M180" s="258"/>
      <c r="N180" s="229"/>
      <c r="O180" s="242"/>
      <c r="P180" s="243"/>
      <c r="Q180" s="242"/>
      <c r="R180" s="244"/>
      <c r="S180" s="245"/>
      <c r="T180" s="245"/>
      <c r="U180" s="229"/>
      <c r="V180" s="258"/>
      <c r="W180" s="73"/>
      <c r="X180" s="73"/>
      <c r="Y180" s="74"/>
    </row>
    <row r="181" spans="1:25" ht="18" customHeight="1">
      <c r="A181" s="46"/>
      <c r="B181" s="47"/>
      <c r="C181" s="47"/>
      <c r="D181" s="37" t="s">
        <v>355</v>
      </c>
      <c r="E181" s="38">
        <v>600</v>
      </c>
      <c r="F181" s="49">
        <f>ROUND(X181/1000,0)</f>
        <v>600</v>
      </c>
      <c r="G181" s="39">
        <f t="shared" ref="G181" si="54">F181-E181</f>
        <v>0</v>
      </c>
      <c r="H181" s="40">
        <f t="shared" ref="H181" si="55">IF(E181=0,0,G181/E181)</f>
        <v>0</v>
      </c>
      <c r="I181" s="160" t="s">
        <v>230</v>
      </c>
      <c r="J181" s="179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742" t="s">
        <v>73</v>
      </c>
      <c r="W181" s="742"/>
      <c r="X181" s="162">
        <f>X182</f>
        <v>600000</v>
      </c>
      <c r="Y181" s="163" t="s">
        <v>57</v>
      </c>
    </row>
    <row r="182" spans="1:25" ht="18" customHeight="1">
      <c r="A182" s="46"/>
      <c r="B182" s="47"/>
      <c r="C182" s="60"/>
      <c r="D182" s="60"/>
      <c r="E182" s="62"/>
      <c r="F182" s="62"/>
      <c r="G182" s="63"/>
      <c r="H182" s="232"/>
      <c r="I182" s="68" t="s">
        <v>356</v>
      </c>
      <c r="J182" s="257"/>
      <c r="K182" s="256"/>
      <c r="L182" s="256"/>
      <c r="M182" s="256">
        <v>50000</v>
      </c>
      <c r="N182" s="289" t="s">
        <v>57</v>
      </c>
      <c r="O182" s="75" t="s">
        <v>58</v>
      </c>
      <c r="P182" s="70">
        <v>12</v>
      </c>
      <c r="Q182" s="75" t="s">
        <v>0</v>
      </c>
      <c r="R182" s="85"/>
      <c r="S182" s="77"/>
      <c r="T182" s="77"/>
      <c r="U182" s="289" t="s">
        <v>53</v>
      </c>
      <c r="V182" s="256"/>
      <c r="W182" s="69"/>
      <c r="X182" s="69">
        <f>M182*P182</f>
        <v>600000</v>
      </c>
      <c r="Y182" s="58" t="s">
        <v>57</v>
      </c>
    </row>
    <row r="183" spans="1:25" ht="25.5" customHeight="1">
      <c r="A183" s="46"/>
      <c r="B183" s="47"/>
      <c r="C183" s="47" t="s">
        <v>231</v>
      </c>
      <c r="D183" s="317" t="s">
        <v>169</v>
      </c>
      <c r="E183" s="249">
        <f>E184</f>
        <v>66000</v>
      </c>
      <c r="F183" s="249">
        <f>F184</f>
        <v>84000</v>
      </c>
      <c r="G183" s="250">
        <f t="shared" ref="G183:G184" si="56">F183-E183</f>
        <v>18000</v>
      </c>
      <c r="H183" s="251">
        <f t="shared" ref="H183:H184" si="57">IF(E183=0,0,G183/E183)</f>
        <v>0.27272727272727271</v>
      </c>
      <c r="I183" s="233" t="s">
        <v>233</v>
      </c>
      <c r="J183" s="234"/>
      <c r="K183" s="235"/>
      <c r="L183" s="235"/>
      <c r="M183" s="235"/>
      <c r="N183" s="235"/>
      <c r="O183" s="235"/>
      <c r="P183" s="236"/>
      <c r="Q183" s="236"/>
      <c r="R183" s="236"/>
      <c r="S183" s="236"/>
      <c r="T183" s="236"/>
      <c r="U183" s="236"/>
      <c r="V183" s="270" t="s">
        <v>73</v>
      </c>
      <c r="W183" s="271"/>
      <c r="X183" s="271">
        <f>SUM(X184:X184)</f>
        <v>84000000</v>
      </c>
      <c r="Y183" s="320" t="s">
        <v>57</v>
      </c>
    </row>
    <row r="184" spans="1:25" ht="21" customHeight="1">
      <c r="A184" s="46"/>
      <c r="B184" s="47"/>
      <c r="C184" s="47" t="s">
        <v>228</v>
      </c>
      <c r="D184" s="47" t="s">
        <v>232</v>
      </c>
      <c r="E184" s="49">
        <v>66000</v>
      </c>
      <c r="F184" s="49">
        <f>ROUND(X184/1000,0)</f>
        <v>84000</v>
      </c>
      <c r="G184" s="336">
        <f t="shared" si="56"/>
        <v>18000</v>
      </c>
      <c r="H184" s="211">
        <f t="shared" si="57"/>
        <v>0.27272727272727271</v>
      </c>
      <c r="I184" s="68" t="s">
        <v>77</v>
      </c>
      <c r="J184" s="257" t="s">
        <v>78</v>
      </c>
      <c r="K184" s="256"/>
      <c r="L184" s="256"/>
      <c r="M184" s="256">
        <v>7000000</v>
      </c>
      <c r="N184" s="289" t="s">
        <v>70</v>
      </c>
      <c r="O184" s="75" t="s">
        <v>71</v>
      </c>
      <c r="P184" s="70">
        <v>12</v>
      </c>
      <c r="Q184" s="75" t="s">
        <v>188</v>
      </c>
      <c r="R184" s="85"/>
      <c r="S184" s="77"/>
      <c r="T184" s="77"/>
      <c r="U184" s="289" t="s">
        <v>72</v>
      </c>
      <c r="V184" s="256"/>
      <c r="W184" s="69"/>
      <c r="X184" s="69">
        <f>M184*P184</f>
        <v>84000000</v>
      </c>
      <c r="Y184" s="58" t="s">
        <v>67</v>
      </c>
    </row>
    <row r="185" spans="1:25" ht="21" customHeight="1">
      <c r="A185" s="59"/>
      <c r="B185" s="60"/>
      <c r="C185" s="60"/>
      <c r="D185" s="60"/>
      <c r="E185" s="62"/>
      <c r="F185" s="62"/>
      <c r="G185" s="63"/>
      <c r="H185" s="232"/>
      <c r="I185" s="72"/>
      <c r="J185" s="259"/>
      <c r="K185" s="258"/>
      <c r="L185" s="258"/>
      <c r="M185" s="258"/>
      <c r="N185" s="229"/>
      <c r="O185" s="242"/>
      <c r="P185" s="243"/>
      <c r="Q185" s="242"/>
      <c r="R185" s="244"/>
      <c r="S185" s="245"/>
      <c r="T185" s="245"/>
      <c r="U185" s="229"/>
      <c r="V185" s="258"/>
      <c r="W185" s="73"/>
      <c r="X185" s="73"/>
      <c r="Y185" s="74"/>
    </row>
    <row r="186" spans="1:25" ht="21" customHeight="1">
      <c r="A186" s="36" t="s">
        <v>234</v>
      </c>
      <c r="B186" s="37" t="s">
        <v>234</v>
      </c>
      <c r="C186" s="744" t="s">
        <v>359</v>
      </c>
      <c r="D186" s="745"/>
      <c r="E186" s="300">
        <f>E187+E190</f>
        <v>0</v>
      </c>
      <c r="F186" s="300">
        <f>F187+F190</f>
        <v>0</v>
      </c>
      <c r="G186" s="301">
        <f t="shared" ref="G186:G188" si="58">F186-E186</f>
        <v>0</v>
      </c>
      <c r="H186" s="302">
        <f t="shared" ref="H186:H188" si="59">IF(E186=0,0,G186/E186)</f>
        <v>0</v>
      </c>
      <c r="I186" s="303" t="s">
        <v>361</v>
      </c>
      <c r="J186" s="304"/>
      <c r="K186" s="305"/>
      <c r="L186" s="305"/>
      <c r="M186" s="304"/>
      <c r="N186" s="304"/>
      <c r="O186" s="304"/>
      <c r="P186" s="304"/>
      <c r="Q186" s="304" t="s">
        <v>68</v>
      </c>
      <c r="R186" s="306"/>
      <c r="S186" s="306"/>
      <c r="T186" s="306"/>
      <c r="U186" s="306"/>
      <c r="V186" s="306"/>
      <c r="W186" s="306"/>
      <c r="X186" s="307">
        <f>X187+X190</f>
        <v>0</v>
      </c>
      <c r="Y186" s="319" t="s">
        <v>25</v>
      </c>
    </row>
    <row r="187" spans="1:25" ht="21" customHeight="1">
      <c r="A187" s="46"/>
      <c r="B187" s="47"/>
      <c r="C187" s="37" t="s">
        <v>235</v>
      </c>
      <c r="D187" s="317" t="s">
        <v>169</v>
      </c>
      <c r="E187" s="249">
        <f>E188</f>
        <v>0</v>
      </c>
      <c r="F187" s="249">
        <f>F188</f>
        <v>0</v>
      </c>
      <c r="G187" s="250">
        <f t="shared" si="58"/>
        <v>0</v>
      </c>
      <c r="H187" s="251">
        <f t="shared" si="59"/>
        <v>0</v>
      </c>
      <c r="I187" s="233" t="s">
        <v>238</v>
      </c>
      <c r="J187" s="234"/>
      <c r="K187" s="235"/>
      <c r="L187" s="235"/>
      <c r="M187" s="235"/>
      <c r="N187" s="235"/>
      <c r="O187" s="235"/>
      <c r="P187" s="236"/>
      <c r="Q187" s="236"/>
      <c r="R187" s="236"/>
      <c r="S187" s="236"/>
      <c r="T187" s="236"/>
      <c r="U187" s="236"/>
      <c r="V187" s="270" t="s">
        <v>73</v>
      </c>
      <c r="W187" s="271"/>
      <c r="X187" s="272">
        <f>X188</f>
        <v>0</v>
      </c>
      <c r="Y187" s="320" t="s">
        <v>57</v>
      </c>
    </row>
    <row r="188" spans="1:25" ht="21" customHeight="1">
      <c r="A188" s="46"/>
      <c r="B188" s="47"/>
      <c r="C188" s="47" t="s">
        <v>236</v>
      </c>
      <c r="D188" s="37" t="s">
        <v>240</v>
      </c>
      <c r="E188" s="38">
        <v>0</v>
      </c>
      <c r="F188" s="49">
        <f>ROUND(X188/1000,0)</f>
        <v>0</v>
      </c>
      <c r="G188" s="39">
        <f t="shared" si="58"/>
        <v>0</v>
      </c>
      <c r="H188" s="40">
        <f t="shared" si="59"/>
        <v>0</v>
      </c>
      <c r="I188" s="160" t="s">
        <v>238</v>
      </c>
      <c r="J188" s="179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742" t="s">
        <v>73</v>
      </c>
      <c r="W188" s="742"/>
      <c r="X188" s="162">
        <f>X189</f>
        <v>0</v>
      </c>
      <c r="Y188" s="163" t="s">
        <v>57</v>
      </c>
    </row>
    <row r="189" spans="1:25" ht="21" customHeight="1">
      <c r="A189" s="46"/>
      <c r="B189" s="47"/>
      <c r="C189" s="47" t="s">
        <v>234</v>
      </c>
      <c r="D189" s="47" t="s">
        <v>234</v>
      </c>
      <c r="E189" s="49"/>
      <c r="F189" s="49"/>
      <c r="G189" s="50"/>
      <c r="H189" s="32"/>
      <c r="I189" s="68" t="s">
        <v>239</v>
      </c>
      <c r="J189" s="257"/>
      <c r="K189" s="256"/>
      <c r="L189" s="256"/>
      <c r="M189" s="256"/>
      <c r="N189" s="289"/>
      <c r="O189" s="75"/>
      <c r="P189" s="70"/>
      <c r="Q189" s="75"/>
      <c r="R189" s="85"/>
      <c r="S189" s="77"/>
      <c r="T189" s="77"/>
      <c r="U189" s="289"/>
      <c r="V189" s="256"/>
      <c r="W189" s="69"/>
      <c r="X189" s="69">
        <v>0</v>
      </c>
      <c r="Y189" s="58" t="s">
        <v>57</v>
      </c>
    </row>
    <row r="190" spans="1:25" ht="21" customHeight="1">
      <c r="A190" s="46"/>
      <c r="B190" s="47"/>
      <c r="C190" s="37" t="s">
        <v>225</v>
      </c>
      <c r="D190" s="317" t="s">
        <v>169</v>
      </c>
      <c r="E190" s="249">
        <f>E191</f>
        <v>0</v>
      </c>
      <c r="F190" s="249">
        <f>F191</f>
        <v>0</v>
      </c>
      <c r="G190" s="250">
        <f t="shared" ref="G190:G191" si="60">F190-E190</f>
        <v>0</v>
      </c>
      <c r="H190" s="251">
        <f t="shared" ref="H190:H191" si="61">IF(E190=0,0,G190/E190)</f>
        <v>0</v>
      </c>
      <c r="I190" s="233" t="s">
        <v>241</v>
      </c>
      <c r="J190" s="234"/>
      <c r="K190" s="235"/>
      <c r="L190" s="235"/>
      <c r="M190" s="235"/>
      <c r="N190" s="235"/>
      <c r="O190" s="235"/>
      <c r="P190" s="236"/>
      <c r="Q190" s="236"/>
      <c r="R190" s="236"/>
      <c r="S190" s="236"/>
      <c r="T190" s="236"/>
      <c r="U190" s="236"/>
      <c r="V190" s="270" t="s">
        <v>73</v>
      </c>
      <c r="W190" s="271"/>
      <c r="X190" s="271">
        <f>X191</f>
        <v>0</v>
      </c>
      <c r="Y190" s="320" t="s">
        <v>57</v>
      </c>
    </row>
    <row r="191" spans="1:25" ht="21" customHeight="1">
      <c r="A191" s="46"/>
      <c r="B191" s="47"/>
      <c r="C191" s="47" t="s">
        <v>234</v>
      </c>
      <c r="D191" s="47" t="s">
        <v>237</v>
      </c>
      <c r="E191" s="49">
        <v>0</v>
      </c>
      <c r="F191" s="49">
        <f>ROUND(X191/1000,0)</f>
        <v>0</v>
      </c>
      <c r="G191" s="39">
        <f t="shared" si="60"/>
        <v>0</v>
      </c>
      <c r="H191" s="40">
        <f t="shared" si="61"/>
        <v>0</v>
      </c>
      <c r="I191" s="68" t="s">
        <v>242</v>
      </c>
      <c r="J191" s="257"/>
      <c r="K191" s="256"/>
      <c r="L191" s="256"/>
      <c r="M191" s="256"/>
      <c r="N191" s="289"/>
      <c r="O191" s="75"/>
      <c r="P191" s="70"/>
      <c r="Q191" s="75"/>
      <c r="R191" s="85"/>
      <c r="S191" s="77"/>
      <c r="T191" s="77"/>
      <c r="U191" s="289"/>
      <c r="V191" s="256"/>
      <c r="W191" s="69"/>
      <c r="X191" s="69">
        <v>0</v>
      </c>
      <c r="Y191" s="58" t="s">
        <v>57</v>
      </c>
    </row>
    <row r="192" spans="1:25" ht="21" customHeight="1">
      <c r="A192" s="59"/>
      <c r="B192" s="60"/>
      <c r="C192" s="60"/>
      <c r="D192" s="60"/>
      <c r="E192" s="62"/>
      <c r="F192" s="62"/>
      <c r="G192" s="63"/>
      <c r="H192" s="232"/>
      <c r="I192" s="72"/>
      <c r="J192" s="259"/>
      <c r="K192" s="258"/>
      <c r="L192" s="258"/>
      <c r="M192" s="258"/>
      <c r="N192" s="229"/>
      <c r="O192" s="242"/>
      <c r="P192" s="243"/>
      <c r="Q192" s="242"/>
      <c r="R192" s="244"/>
      <c r="S192" s="245"/>
      <c r="T192" s="245"/>
      <c r="U192" s="229"/>
      <c r="V192" s="258"/>
      <c r="W192" s="73"/>
      <c r="X192" s="73"/>
      <c r="Y192" s="74"/>
    </row>
    <row r="193" spans="1:27" ht="21" customHeight="1">
      <c r="A193" s="36" t="s">
        <v>79</v>
      </c>
      <c r="B193" s="37" t="s">
        <v>13</v>
      </c>
      <c r="C193" s="744" t="s">
        <v>359</v>
      </c>
      <c r="D193" s="745"/>
      <c r="E193" s="300">
        <f>SUM(E194,E198)</f>
        <v>48278</v>
      </c>
      <c r="F193" s="300">
        <f>SUM(F194,F198)</f>
        <v>46952</v>
      </c>
      <c r="G193" s="301">
        <f t="shared" ref="G193:G195" si="62">F193-E193</f>
        <v>-1326</v>
      </c>
      <c r="H193" s="302">
        <f t="shared" ref="H193:H195" si="63">IF(E193=0,0,G193/E193)</f>
        <v>-2.7465926508968889E-2</v>
      </c>
      <c r="I193" s="303" t="s">
        <v>362</v>
      </c>
      <c r="J193" s="304"/>
      <c r="K193" s="305"/>
      <c r="L193" s="305"/>
      <c r="M193" s="304"/>
      <c r="N193" s="304"/>
      <c r="O193" s="304"/>
      <c r="P193" s="304"/>
      <c r="Q193" s="304" t="s">
        <v>68</v>
      </c>
      <c r="R193" s="306"/>
      <c r="S193" s="306"/>
      <c r="T193" s="306"/>
      <c r="U193" s="306"/>
      <c r="V193" s="306"/>
      <c r="W193" s="306"/>
      <c r="X193" s="307">
        <f>X195+X198</f>
        <v>46952000</v>
      </c>
      <c r="Y193" s="319" t="s">
        <v>25</v>
      </c>
      <c r="Z193" s="23"/>
      <c r="AA193" s="24"/>
    </row>
    <row r="194" spans="1:27" ht="21" customHeight="1">
      <c r="A194" s="46"/>
      <c r="B194" s="47"/>
      <c r="C194" s="37" t="s">
        <v>243</v>
      </c>
      <c r="D194" s="317" t="s">
        <v>365</v>
      </c>
      <c r="E194" s="249">
        <f>E195</f>
        <v>0</v>
      </c>
      <c r="F194" s="249">
        <f>F195</f>
        <v>0</v>
      </c>
      <c r="G194" s="250">
        <f t="shared" si="62"/>
        <v>0</v>
      </c>
      <c r="H194" s="251">
        <f t="shared" si="63"/>
        <v>0</v>
      </c>
      <c r="I194" s="233" t="s">
        <v>367</v>
      </c>
      <c r="J194" s="234"/>
      <c r="K194" s="235"/>
      <c r="L194" s="235"/>
      <c r="M194" s="235"/>
      <c r="N194" s="235"/>
      <c r="O194" s="235"/>
      <c r="P194" s="236"/>
      <c r="Q194" s="236"/>
      <c r="R194" s="236"/>
      <c r="S194" s="236"/>
      <c r="T194" s="236"/>
      <c r="U194" s="236"/>
      <c r="V194" s="270" t="s">
        <v>354</v>
      </c>
      <c r="W194" s="271"/>
      <c r="X194" s="272">
        <f>SUM(X195:X195)</f>
        <v>0</v>
      </c>
      <c r="Y194" s="320" t="s">
        <v>345</v>
      </c>
      <c r="Z194" s="23"/>
      <c r="AA194" s="24"/>
    </row>
    <row r="195" spans="1:27" ht="21" customHeight="1">
      <c r="A195" s="46"/>
      <c r="B195" s="47"/>
      <c r="C195" s="47" t="s">
        <v>244</v>
      </c>
      <c r="D195" s="37" t="s">
        <v>245</v>
      </c>
      <c r="E195" s="38">
        <v>0</v>
      </c>
      <c r="F195" s="49">
        <f>ROUND(X195/1000,0)</f>
        <v>0</v>
      </c>
      <c r="G195" s="39">
        <f t="shared" si="62"/>
        <v>0</v>
      </c>
      <c r="H195" s="40">
        <f t="shared" si="63"/>
        <v>0</v>
      </c>
      <c r="I195" s="160" t="s">
        <v>249</v>
      </c>
      <c r="J195" s="179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742" t="s">
        <v>73</v>
      </c>
      <c r="W195" s="742"/>
      <c r="X195" s="162">
        <f>SUM(X197:X197)</f>
        <v>0</v>
      </c>
      <c r="Y195" s="163" t="s">
        <v>57</v>
      </c>
      <c r="Z195" s="23"/>
      <c r="AA195" s="24"/>
    </row>
    <row r="196" spans="1:27" ht="21" customHeight="1">
      <c r="A196" s="46"/>
      <c r="B196" s="47"/>
      <c r="C196" s="47"/>
      <c r="D196" s="47"/>
      <c r="E196" s="49"/>
      <c r="F196" s="49"/>
      <c r="G196" s="50"/>
      <c r="H196" s="32"/>
      <c r="I196" s="68" t="s">
        <v>325</v>
      </c>
      <c r="J196" s="257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89"/>
      <c r="W196" s="289"/>
      <c r="X196" s="69"/>
      <c r="Y196" s="58" t="s">
        <v>326</v>
      </c>
      <c r="Z196" s="23"/>
      <c r="AA196" s="24"/>
    </row>
    <row r="197" spans="1:27" ht="21" customHeight="1">
      <c r="A197" s="46"/>
      <c r="B197" s="47"/>
      <c r="C197" s="47"/>
      <c r="D197" s="47"/>
      <c r="E197" s="49"/>
      <c r="F197" s="49"/>
      <c r="G197" s="50"/>
      <c r="H197" s="32"/>
      <c r="I197" s="68"/>
      <c r="J197" s="257"/>
      <c r="K197" s="256"/>
      <c r="L197" s="256"/>
      <c r="M197" s="256"/>
      <c r="N197" s="289"/>
      <c r="O197" s="75"/>
      <c r="P197" s="70"/>
      <c r="Q197" s="75"/>
      <c r="R197" s="85"/>
      <c r="S197" s="77"/>
      <c r="T197" s="77"/>
      <c r="U197" s="289"/>
      <c r="V197" s="256"/>
      <c r="W197" s="69"/>
      <c r="X197" s="69"/>
      <c r="Y197" s="58"/>
      <c r="Z197" s="23"/>
      <c r="AA197" s="24"/>
    </row>
    <row r="198" spans="1:27" ht="21" customHeight="1">
      <c r="A198" s="46"/>
      <c r="B198" s="47"/>
      <c r="C198" s="37" t="s">
        <v>246</v>
      </c>
      <c r="D198" s="317" t="s">
        <v>365</v>
      </c>
      <c r="E198" s="249">
        <f>E199</f>
        <v>48278</v>
      </c>
      <c r="F198" s="249">
        <f>F199</f>
        <v>46952</v>
      </c>
      <c r="G198" s="250">
        <f t="shared" ref="G198:G199" si="64">F198-E198</f>
        <v>-1326</v>
      </c>
      <c r="H198" s="251">
        <f t="shared" ref="H198:H199" si="65">IF(E198=0,0,G198/E198)</f>
        <v>-2.7465926508968889E-2</v>
      </c>
      <c r="I198" s="233" t="s">
        <v>368</v>
      </c>
      <c r="J198" s="234"/>
      <c r="K198" s="235"/>
      <c r="L198" s="235"/>
      <c r="M198" s="235"/>
      <c r="N198" s="235"/>
      <c r="O198" s="235"/>
      <c r="P198" s="236"/>
      <c r="Q198" s="236"/>
      <c r="R198" s="236"/>
      <c r="S198" s="236"/>
      <c r="T198" s="236"/>
      <c r="U198" s="236"/>
      <c r="V198" s="270" t="s">
        <v>354</v>
      </c>
      <c r="W198" s="271"/>
      <c r="X198" s="271">
        <f>SUM(X199:X199)</f>
        <v>46952000</v>
      </c>
      <c r="Y198" s="320" t="s">
        <v>345</v>
      </c>
      <c r="Z198" s="23"/>
      <c r="AA198" s="24"/>
    </row>
    <row r="199" spans="1:27" ht="21" customHeight="1">
      <c r="A199" s="46"/>
      <c r="B199" s="47"/>
      <c r="C199" s="47" t="s">
        <v>244</v>
      </c>
      <c r="D199" s="47" t="s">
        <v>245</v>
      </c>
      <c r="E199" s="49">
        <v>48278</v>
      </c>
      <c r="F199" s="49">
        <f>ROUND(X199/1000,0)</f>
        <v>46952</v>
      </c>
      <c r="G199" s="39">
        <f t="shared" si="64"/>
        <v>-1326</v>
      </c>
      <c r="H199" s="40">
        <f t="shared" si="65"/>
        <v>-2.7465926508968889E-2</v>
      </c>
      <c r="I199" s="160" t="s">
        <v>250</v>
      </c>
      <c r="J199" s="164"/>
      <c r="K199" s="256"/>
      <c r="L199" s="256"/>
      <c r="M199" s="256"/>
      <c r="N199" s="289"/>
      <c r="O199" s="75"/>
      <c r="P199" s="70"/>
      <c r="Q199" s="75"/>
      <c r="R199" s="85"/>
      <c r="S199" s="77"/>
      <c r="T199" s="77"/>
      <c r="U199" s="289"/>
      <c r="V199" s="742" t="s">
        <v>73</v>
      </c>
      <c r="W199" s="742"/>
      <c r="X199" s="162">
        <f>SUM(X200,X209,X213,X216,X220,X228,X233,X238,X241)</f>
        <v>46952000</v>
      </c>
      <c r="Y199" s="163" t="s">
        <v>57</v>
      </c>
    </row>
    <row r="200" spans="1:27" ht="21" customHeight="1" thickBot="1">
      <c r="A200" s="46"/>
      <c r="B200" s="47"/>
      <c r="C200" s="47" t="s">
        <v>323</v>
      </c>
      <c r="D200" s="47" t="s">
        <v>324</v>
      </c>
      <c r="E200" s="49"/>
      <c r="F200" s="49"/>
      <c r="G200" s="50"/>
      <c r="H200" s="32"/>
      <c r="I200" s="326" t="s">
        <v>370</v>
      </c>
      <c r="J200" s="65"/>
      <c r="K200" s="256"/>
      <c r="L200" s="256"/>
      <c r="M200" s="256"/>
      <c r="N200" s="256"/>
      <c r="O200" s="256"/>
      <c r="P200" s="256"/>
      <c r="Q200" s="743" t="s">
        <v>371</v>
      </c>
      <c r="R200" s="743"/>
      <c r="S200" s="743"/>
      <c r="T200" s="743"/>
      <c r="U200" s="743"/>
      <c r="V200" s="743"/>
      <c r="W200" s="743"/>
      <c r="X200" s="327">
        <f>SUM(X201:X207)</f>
        <v>12272000</v>
      </c>
      <c r="Y200" s="328" t="s">
        <v>57</v>
      </c>
    </row>
    <row r="201" spans="1:27" ht="21" customHeight="1">
      <c r="A201" s="46"/>
      <c r="B201" s="47"/>
      <c r="C201" s="47"/>
      <c r="D201" s="47"/>
      <c r="E201" s="49"/>
      <c r="F201" s="49"/>
      <c r="G201" s="50"/>
      <c r="H201" s="32"/>
      <c r="I201" s="257" t="s">
        <v>372</v>
      </c>
      <c r="J201" s="257"/>
      <c r="K201" s="256"/>
      <c r="L201" s="256"/>
      <c r="M201" s="256">
        <v>870000</v>
      </c>
      <c r="N201" s="256" t="s">
        <v>57</v>
      </c>
      <c r="O201" s="257" t="s">
        <v>58</v>
      </c>
      <c r="P201" s="289">
        <v>1</v>
      </c>
      <c r="Q201" s="256" t="s">
        <v>56</v>
      </c>
      <c r="R201" s="257" t="s">
        <v>58</v>
      </c>
      <c r="S201" s="256">
        <v>12</v>
      </c>
      <c r="T201" s="256" t="s">
        <v>0</v>
      </c>
      <c r="U201" s="256" t="s">
        <v>53</v>
      </c>
      <c r="V201" s="256"/>
      <c r="W201" s="69"/>
      <c r="X201" s="69">
        <f>M201*P201*S201</f>
        <v>10440000</v>
      </c>
      <c r="Y201" s="58" t="s">
        <v>57</v>
      </c>
    </row>
    <row r="202" spans="1:27" ht="21" customHeight="1">
      <c r="A202" s="46"/>
      <c r="B202" s="47"/>
      <c r="C202" s="47"/>
      <c r="D202" s="47"/>
      <c r="E202" s="49"/>
      <c r="F202" s="49"/>
      <c r="G202" s="50"/>
      <c r="H202" s="32"/>
      <c r="I202" s="257" t="s">
        <v>373</v>
      </c>
      <c r="J202" s="257"/>
      <c r="K202" s="256"/>
      <c r="L202" s="256"/>
      <c r="M202" s="256">
        <f>X201</f>
        <v>10440000</v>
      </c>
      <c r="N202" s="289" t="s">
        <v>57</v>
      </c>
      <c r="O202" s="75" t="s">
        <v>58</v>
      </c>
      <c r="P202" s="290">
        <v>0.09</v>
      </c>
      <c r="Q202" s="289" t="s">
        <v>74</v>
      </c>
      <c r="R202" s="80">
        <v>2</v>
      </c>
      <c r="S202" s="77"/>
      <c r="T202" s="77"/>
      <c r="U202" s="289" t="s">
        <v>53</v>
      </c>
      <c r="V202" s="203"/>
      <c r="W202" s="53"/>
      <c r="X202" s="69">
        <f>ROUND(M202*P202/R202,-3)</f>
        <v>470000</v>
      </c>
      <c r="Y202" s="58" t="s">
        <v>57</v>
      </c>
    </row>
    <row r="203" spans="1:27" ht="21" customHeight="1">
      <c r="A203" s="46"/>
      <c r="B203" s="47"/>
      <c r="C203" s="47"/>
      <c r="D203" s="47"/>
      <c r="E203" s="49"/>
      <c r="F203" s="49"/>
      <c r="G203" s="50"/>
      <c r="H203" s="32"/>
      <c r="I203" s="257" t="s">
        <v>374</v>
      </c>
      <c r="J203" s="257"/>
      <c r="K203" s="256"/>
      <c r="L203" s="256"/>
      <c r="M203" s="256">
        <f>X201</f>
        <v>10440000</v>
      </c>
      <c r="N203" s="289" t="s">
        <v>57</v>
      </c>
      <c r="O203" s="75" t="s">
        <v>58</v>
      </c>
      <c r="P203" s="291">
        <v>6.0699999999999997E-2</v>
      </c>
      <c r="Q203" s="289" t="s">
        <v>74</v>
      </c>
      <c r="R203" s="80">
        <v>2</v>
      </c>
      <c r="S203" s="77"/>
      <c r="T203" s="77"/>
      <c r="U203" s="289" t="s">
        <v>53</v>
      </c>
      <c r="V203" s="203"/>
      <c r="W203" s="53"/>
      <c r="X203" s="69">
        <f>ROUND(M203*P203/R203,-3)</f>
        <v>317000</v>
      </c>
      <c r="Y203" s="58" t="s">
        <v>57</v>
      </c>
    </row>
    <row r="204" spans="1:27" ht="21" customHeight="1">
      <c r="A204" s="46"/>
      <c r="B204" s="47"/>
      <c r="C204" s="47"/>
      <c r="D204" s="47"/>
      <c r="E204" s="49"/>
      <c r="F204" s="49"/>
      <c r="G204" s="50"/>
      <c r="H204" s="32"/>
      <c r="I204" s="257" t="s">
        <v>375</v>
      </c>
      <c r="J204" s="257"/>
      <c r="K204" s="256"/>
      <c r="L204" s="256"/>
      <c r="M204" s="256">
        <f>X203</f>
        <v>317000</v>
      </c>
      <c r="N204" s="289" t="s">
        <v>57</v>
      </c>
      <c r="O204" s="75" t="s">
        <v>58</v>
      </c>
      <c r="P204" s="81">
        <v>6.5500000000000003E-2</v>
      </c>
      <c r="Q204" s="82"/>
      <c r="R204" s="83"/>
      <c r="S204" s="84"/>
      <c r="T204" s="84"/>
      <c r="U204" s="289" t="s">
        <v>53</v>
      </c>
      <c r="V204" s="256"/>
      <c r="W204" s="69"/>
      <c r="X204" s="69">
        <f>ROUND(M204*P204,-3)</f>
        <v>21000</v>
      </c>
      <c r="Y204" s="58" t="s">
        <v>57</v>
      </c>
    </row>
    <row r="205" spans="1:27" ht="21" customHeight="1">
      <c r="A205" s="46"/>
      <c r="B205" s="47"/>
      <c r="C205" s="47"/>
      <c r="D205" s="47"/>
      <c r="E205" s="49"/>
      <c r="F205" s="49"/>
      <c r="G205" s="50"/>
      <c r="H205" s="32"/>
      <c r="I205" s="257" t="s">
        <v>376</v>
      </c>
      <c r="J205" s="257"/>
      <c r="K205" s="256"/>
      <c r="L205" s="256"/>
      <c r="M205" s="256">
        <f>X201</f>
        <v>10440000</v>
      </c>
      <c r="N205" s="289" t="s">
        <v>57</v>
      </c>
      <c r="O205" s="75" t="s">
        <v>58</v>
      </c>
      <c r="P205" s="81">
        <v>8.9999999999999993E-3</v>
      </c>
      <c r="Q205" s="75"/>
      <c r="R205" s="85"/>
      <c r="S205" s="77"/>
      <c r="T205" s="77"/>
      <c r="U205" s="289" t="s">
        <v>53</v>
      </c>
      <c r="V205" s="256"/>
      <c r="W205" s="69"/>
      <c r="X205" s="69">
        <f>ROUND(M205*P205,-3)</f>
        <v>94000</v>
      </c>
      <c r="Y205" s="58" t="s">
        <v>57</v>
      </c>
    </row>
    <row r="206" spans="1:27" ht="21" customHeight="1">
      <c r="A206" s="46"/>
      <c r="B206" s="47"/>
      <c r="C206" s="47"/>
      <c r="D206" s="47"/>
      <c r="E206" s="49"/>
      <c r="F206" s="49"/>
      <c r="G206" s="50"/>
      <c r="H206" s="32"/>
      <c r="I206" s="257" t="s">
        <v>377</v>
      </c>
      <c r="J206" s="257"/>
      <c r="K206" s="256"/>
      <c r="L206" s="256"/>
      <c r="M206" s="256">
        <f>X201</f>
        <v>10440000</v>
      </c>
      <c r="N206" s="289" t="s">
        <v>57</v>
      </c>
      <c r="O206" s="75" t="s">
        <v>58</v>
      </c>
      <c r="P206" s="340">
        <v>5.7400000000000003E-3</v>
      </c>
      <c r="Q206" s="75"/>
      <c r="R206" s="85"/>
      <c r="S206" s="77"/>
      <c r="T206" s="77"/>
      <c r="U206" s="289" t="s">
        <v>53</v>
      </c>
      <c r="V206" s="256"/>
      <c r="W206" s="69"/>
      <c r="X206" s="69">
        <f>ROUNDUP(M206*P206,-3)</f>
        <v>60000</v>
      </c>
      <c r="Y206" s="58" t="s">
        <v>57</v>
      </c>
    </row>
    <row r="207" spans="1:27" ht="21" customHeight="1">
      <c r="A207" s="46"/>
      <c r="B207" s="47"/>
      <c r="C207" s="47"/>
      <c r="D207" s="47"/>
      <c r="E207" s="49"/>
      <c r="F207" s="49"/>
      <c r="G207" s="50"/>
      <c r="H207" s="32"/>
      <c r="I207" s="257" t="s">
        <v>378</v>
      </c>
      <c r="J207" s="257"/>
      <c r="K207" s="256"/>
      <c r="L207" s="256"/>
      <c r="M207" s="256">
        <f>X201</f>
        <v>10440000</v>
      </c>
      <c r="N207" s="289" t="s">
        <v>57</v>
      </c>
      <c r="O207" s="289" t="s">
        <v>74</v>
      </c>
      <c r="P207" s="289">
        <v>12</v>
      </c>
      <c r="Q207" s="256" t="s">
        <v>0</v>
      </c>
      <c r="R207" s="256"/>
      <c r="S207" s="256"/>
      <c r="T207" s="256"/>
      <c r="U207" s="256" t="s">
        <v>53</v>
      </c>
      <c r="V207" s="256"/>
      <c r="W207" s="69"/>
      <c r="X207" s="69">
        <f>M207/P207</f>
        <v>870000</v>
      </c>
      <c r="Y207" s="58" t="s">
        <v>57</v>
      </c>
    </row>
    <row r="208" spans="1:27" ht="21" customHeight="1">
      <c r="A208" s="46"/>
      <c r="B208" s="47"/>
      <c r="C208" s="47"/>
      <c r="D208" s="47"/>
      <c r="E208" s="49"/>
      <c r="F208" s="49"/>
      <c r="G208" s="50"/>
      <c r="H208" s="32"/>
      <c r="I208" s="257"/>
      <c r="J208" s="257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69"/>
      <c r="X208" s="69"/>
      <c r="Y208" s="58"/>
    </row>
    <row r="209" spans="1:25" ht="21" customHeight="1" thickBot="1">
      <c r="A209" s="46"/>
      <c r="B209" s="47"/>
      <c r="C209" s="47"/>
      <c r="D209" s="47"/>
      <c r="E209" s="49"/>
      <c r="F209" s="49"/>
      <c r="G209" s="50"/>
      <c r="H209" s="32"/>
      <c r="I209" s="326" t="s">
        <v>379</v>
      </c>
      <c r="J209" s="257"/>
      <c r="K209" s="256"/>
      <c r="L209" s="256"/>
      <c r="M209" s="256"/>
      <c r="N209" s="256"/>
      <c r="O209" s="256"/>
      <c r="P209" s="256"/>
      <c r="Q209" s="743" t="s">
        <v>380</v>
      </c>
      <c r="R209" s="743"/>
      <c r="S209" s="743"/>
      <c r="T209" s="743"/>
      <c r="U209" s="743"/>
      <c r="V209" s="743"/>
      <c r="W209" s="743"/>
      <c r="X209" s="327">
        <f>SUM(X210:X211)</f>
        <v>6600000</v>
      </c>
      <c r="Y209" s="328" t="s">
        <v>57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57" t="s">
        <v>418</v>
      </c>
      <c r="J210" s="257"/>
      <c r="K210" s="256"/>
      <c r="L210" s="256"/>
      <c r="M210" s="256">
        <v>150000</v>
      </c>
      <c r="N210" s="256" t="s">
        <v>57</v>
      </c>
      <c r="O210" s="75" t="s">
        <v>58</v>
      </c>
      <c r="P210" s="256">
        <v>1</v>
      </c>
      <c r="Q210" s="256" t="s">
        <v>56</v>
      </c>
      <c r="R210" s="75" t="s">
        <v>58</v>
      </c>
      <c r="S210" s="256">
        <v>12</v>
      </c>
      <c r="T210" s="256" t="s">
        <v>0</v>
      </c>
      <c r="U210" s="256" t="s">
        <v>53</v>
      </c>
      <c r="V210" s="256"/>
      <c r="W210" s="69"/>
      <c r="X210" s="69">
        <f t="shared" ref="X210" si="66">M210*P210*S210</f>
        <v>1800000</v>
      </c>
      <c r="Y210" s="58" t="s">
        <v>57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55" t="s">
        <v>647</v>
      </c>
      <c r="J211" s="351"/>
      <c r="K211" s="350"/>
      <c r="L211" s="350"/>
      <c r="M211" s="350">
        <v>100000</v>
      </c>
      <c r="N211" s="350" t="s">
        <v>57</v>
      </c>
      <c r="O211" s="75" t="s">
        <v>58</v>
      </c>
      <c r="P211" s="350">
        <v>4</v>
      </c>
      <c r="Q211" s="350" t="s">
        <v>56</v>
      </c>
      <c r="R211" s="75" t="s">
        <v>58</v>
      </c>
      <c r="S211" s="350">
        <v>12</v>
      </c>
      <c r="T211" s="350" t="s">
        <v>29</v>
      </c>
      <c r="U211" s="350" t="s">
        <v>53</v>
      </c>
      <c r="V211" s="350"/>
      <c r="W211" s="69"/>
      <c r="X211" s="69">
        <f t="shared" ref="X211" si="67">M211*P211*S211</f>
        <v>4800000</v>
      </c>
      <c r="Y211" s="58" t="s">
        <v>57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51"/>
      <c r="J212" s="351"/>
      <c r="K212" s="350"/>
      <c r="L212" s="350"/>
      <c r="M212" s="350"/>
      <c r="N212" s="350"/>
      <c r="O212" s="75"/>
      <c r="P212" s="350"/>
      <c r="Q212" s="350"/>
      <c r="R212" s="75"/>
      <c r="S212" s="350"/>
      <c r="T212" s="350"/>
      <c r="U212" s="350"/>
      <c r="V212" s="350"/>
      <c r="W212" s="69"/>
      <c r="X212" s="69"/>
      <c r="Y212" s="58"/>
    </row>
    <row r="213" spans="1:25" ht="21" customHeight="1" thickBot="1">
      <c r="A213" s="46"/>
      <c r="B213" s="47"/>
      <c r="C213" s="47"/>
      <c r="D213" s="47"/>
      <c r="E213" s="49"/>
      <c r="F213" s="49"/>
      <c r="G213" s="50"/>
      <c r="H213" s="32"/>
      <c r="I213" s="326" t="s">
        <v>408</v>
      </c>
      <c r="J213" s="351"/>
      <c r="K213" s="350"/>
      <c r="L213" s="350"/>
      <c r="M213" s="350"/>
      <c r="N213" s="350"/>
      <c r="O213" s="350"/>
      <c r="P213" s="350"/>
      <c r="Q213" s="743" t="s">
        <v>413</v>
      </c>
      <c r="R213" s="743"/>
      <c r="S213" s="743"/>
      <c r="T213" s="743"/>
      <c r="U213" s="743"/>
      <c r="V213" s="743"/>
      <c r="W213" s="743"/>
      <c r="X213" s="349">
        <f>X214</f>
        <v>2400000</v>
      </c>
      <c r="Y213" s="328" t="s">
        <v>57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51" t="s">
        <v>409</v>
      </c>
      <c r="J214" s="351"/>
      <c r="K214" s="350"/>
      <c r="L214" s="350"/>
      <c r="M214" s="350">
        <v>40000</v>
      </c>
      <c r="N214" s="350" t="s">
        <v>57</v>
      </c>
      <c r="O214" s="75" t="s">
        <v>58</v>
      </c>
      <c r="P214" s="350">
        <v>60</v>
      </c>
      <c r="Q214" s="350" t="s">
        <v>410</v>
      </c>
      <c r="R214" s="75"/>
      <c r="S214" s="350"/>
      <c r="T214" s="350"/>
      <c r="U214" s="350" t="s">
        <v>53</v>
      </c>
      <c r="V214" s="350"/>
      <c r="W214" s="69"/>
      <c r="X214" s="69">
        <f>M214*P214</f>
        <v>2400000</v>
      </c>
      <c r="Y214" s="58" t="s">
        <v>57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257"/>
      <c r="J215" s="257"/>
      <c r="K215" s="256"/>
      <c r="L215" s="256"/>
      <c r="M215" s="256"/>
      <c r="N215" s="256"/>
      <c r="O215" s="75"/>
      <c r="P215" s="256"/>
      <c r="Q215" s="256"/>
      <c r="R215" s="75"/>
      <c r="S215" s="256"/>
      <c r="T215" s="256"/>
      <c r="U215" s="256"/>
      <c r="V215" s="256"/>
      <c r="W215" s="69"/>
      <c r="X215" s="69"/>
      <c r="Y215" s="58"/>
    </row>
    <row r="216" spans="1:25" ht="21" customHeight="1" thickBot="1">
      <c r="A216" s="46"/>
      <c r="B216" s="47"/>
      <c r="C216" s="47"/>
      <c r="D216" s="47"/>
      <c r="E216" s="49"/>
      <c r="F216" s="49"/>
      <c r="G216" s="50"/>
      <c r="H216" s="32"/>
      <c r="I216" s="326" t="s">
        <v>411</v>
      </c>
      <c r="J216" s="65"/>
      <c r="K216" s="256"/>
      <c r="L216" s="256"/>
      <c r="M216" s="256"/>
      <c r="N216" s="256"/>
      <c r="O216" s="256"/>
      <c r="P216" s="256"/>
      <c r="Q216" s="743" t="s">
        <v>381</v>
      </c>
      <c r="R216" s="743"/>
      <c r="S216" s="743"/>
      <c r="T216" s="743"/>
      <c r="U216" s="743"/>
      <c r="V216" s="743"/>
      <c r="W216" s="743"/>
      <c r="X216" s="327">
        <f>ROUND(SUM(X217:X218),-3)</f>
        <v>750000</v>
      </c>
      <c r="Y216" s="328" t="s">
        <v>57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355" t="s">
        <v>648</v>
      </c>
      <c r="J217" s="355"/>
      <c r="K217" s="347"/>
      <c r="L217" s="347"/>
      <c r="M217" s="347">
        <f>X209</f>
        <v>6600000</v>
      </c>
      <c r="N217" s="502" t="s">
        <v>635</v>
      </c>
      <c r="O217" s="502" t="s">
        <v>649</v>
      </c>
      <c r="P217" s="347">
        <v>12</v>
      </c>
      <c r="Q217" s="347" t="s">
        <v>650</v>
      </c>
      <c r="R217" s="347"/>
      <c r="S217" s="347"/>
      <c r="T217" s="347"/>
      <c r="U217" s="347" t="s">
        <v>639</v>
      </c>
      <c r="V217" s="347"/>
      <c r="W217" s="356"/>
      <c r="X217" s="356">
        <f>ROUNDUP(M217/P217,-3)</f>
        <v>550000</v>
      </c>
      <c r="Y217" s="58" t="s">
        <v>57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351" t="s">
        <v>412</v>
      </c>
      <c r="J218" s="351"/>
      <c r="K218" s="350"/>
      <c r="L218" s="350"/>
      <c r="M218" s="350">
        <f>X214</f>
        <v>2400000</v>
      </c>
      <c r="N218" s="348" t="s">
        <v>57</v>
      </c>
      <c r="O218" s="348" t="s">
        <v>74</v>
      </c>
      <c r="P218" s="350">
        <v>12</v>
      </c>
      <c r="Q218" s="350" t="s">
        <v>0</v>
      </c>
      <c r="R218" s="350"/>
      <c r="S218" s="350"/>
      <c r="T218" s="350"/>
      <c r="U218" s="350" t="s">
        <v>53</v>
      </c>
      <c r="V218" s="350"/>
      <c r="W218" s="69"/>
      <c r="X218" s="69">
        <f>ROUNDUP(M218/P218,-3)</f>
        <v>200000</v>
      </c>
      <c r="Y218" s="58" t="s">
        <v>57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257"/>
      <c r="J219" s="257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69"/>
      <c r="X219" s="69"/>
      <c r="Y219" s="58"/>
    </row>
    <row r="220" spans="1:25" ht="21" customHeight="1" thickBot="1">
      <c r="A220" s="46"/>
      <c r="B220" s="47"/>
      <c r="C220" s="47"/>
      <c r="D220" s="47"/>
      <c r="E220" s="49"/>
      <c r="F220" s="49"/>
      <c r="G220" s="50"/>
      <c r="H220" s="32"/>
      <c r="I220" s="326" t="s">
        <v>414</v>
      </c>
      <c r="J220" s="65"/>
      <c r="K220" s="256"/>
      <c r="L220" s="256"/>
      <c r="M220" s="256"/>
      <c r="N220" s="256"/>
      <c r="O220" s="256"/>
      <c r="P220" s="256"/>
      <c r="Q220" s="743" t="s">
        <v>382</v>
      </c>
      <c r="R220" s="743"/>
      <c r="S220" s="743"/>
      <c r="T220" s="743"/>
      <c r="U220" s="743"/>
      <c r="V220" s="743"/>
      <c r="W220" s="743"/>
      <c r="X220" s="327">
        <f>SUM(X221:X226)</f>
        <v>3930000</v>
      </c>
      <c r="Y220" s="328" t="s">
        <v>345</v>
      </c>
    </row>
    <row r="221" spans="1:25" ht="21" customHeight="1">
      <c r="A221" s="46"/>
      <c r="B221" s="47"/>
      <c r="C221" s="47"/>
      <c r="D221" s="47"/>
      <c r="E221" s="49"/>
      <c r="F221" s="49"/>
      <c r="G221" s="50"/>
      <c r="H221" s="32"/>
      <c r="I221" s="257" t="s">
        <v>383</v>
      </c>
      <c r="J221" s="257"/>
      <c r="K221" s="256"/>
      <c r="L221" s="256"/>
      <c r="M221" s="256">
        <v>100000</v>
      </c>
      <c r="N221" s="256" t="s">
        <v>345</v>
      </c>
      <c r="O221" s="75" t="s">
        <v>346</v>
      </c>
      <c r="P221" s="256">
        <v>1</v>
      </c>
      <c r="Q221" s="256" t="s">
        <v>347</v>
      </c>
      <c r="R221" s="75" t="s">
        <v>346</v>
      </c>
      <c r="S221" s="256">
        <v>12</v>
      </c>
      <c r="T221" s="256" t="s">
        <v>29</v>
      </c>
      <c r="U221" s="256" t="s">
        <v>349</v>
      </c>
      <c r="V221" s="256"/>
      <c r="W221" s="69"/>
      <c r="X221" s="69">
        <f>M221*P221*S221</f>
        <v>1200000</v>
      </c>
      <c r="Y221" s="58" t="s">
        <v>345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257" t="s">
        <v>384</v>
      </c>
      <c r="J222" s="257"/>
      <c r="K222" s="256"/>
      <c r="L222" s="256"/>
      <c r="M222" s="256">
        <v>300000</v>
      </c>
      <c r="N222" s="256" t="s">
        <v>345</v>
      </c>
      <c r="O222" s="75" t="s">
        <v>346</v>
      </c>
      <c r="P222" s="256">
        <v>2</v>
      </c>
      <c r="Q222" s="256" t="s">
        <v>385</v>
      </c>
      <c r="R222" s="256"/>
      <c r="S222" s="256"/>
      <c r="T222" s="256"/>
      <c r="U222" s="256" t="s">
        <v>349</v>
      </c>
      <c r="V222" s="256"/>
      <c r="W222" s="69"/>
      <c r="X222" s="69">
        <f>M222*P222</f>
        <v>600000</v>
      </c>
      <c r="Y222" s="58" t="s">
        <v>345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257" t="s">
        <v>386</v>
      </c>
      <c r="J223" s="257"/>
      <c r="K223" s="256"/>
      <c r="L223" s="256"/>
      <c r="M223" s="256">
        <v>20000</v>
      </c>
      <c r="N223" s="256" t="s">
        <v>345</v>
      </c>
      <c r="O223" s="75" t="s">
        <v>346</v>
      </c>
      <c r="P223" s="256">
        <v>36</v>
      </c>
      <c r="Q223" s="256" t="s">
        <v>347</v>
      </c>
      <c r="R223" s="75"/>
      <c r="S223" s="256"/>
      <c r="T223" s="256"/>
      <c r="U223" s="256" t="s">
        <v>349</v>
      </c>
      <c r="V223" s="256"/>
      <c r="W223" s="69"/>
      <c r="X223" s="69">
        <f>M223*P223</f>
        <v>720000</v>
      </c>
      <c r="Y223" s="58" t="s">
        <v>345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257" t="s">
        <v>387</v>
      </c>
      <c r="J224" s="257"/>
      <c r="K224" s="256"/>
      <c r="L224" s="256"/>
      <c r="M224" s="256">
        <v>10000</v>
      </c>
      <c r="N224" s="76" t="s">
        <v>345</v>
      </c>
      <c r="O224" s="75" t="s">
        <v>346</v>
      </c>
      <c r="P224" s="76">
        <v>31</v>
      </c>
      <c r="Q224" s="256" t="s">
        <v>347</v>
      </c>
      <c r="R224" s="76"/>
      <c r="S224" s="76"/>
      <c r="T224" s="76"/>
      <c r="U224" s="101" t="s">
        <v>349</v>
      </c>
      <c r="V224" s="76"/>
      <c r="W224" s="76"/>
      <c r="X224" s="256">
        <f>M224*P224</f>
        <v>310000</v>
      </c>
      <c r="Y224" s="100" t="s">
        <v>345</v>
      </c>
    </row>
    <row r="225" spans="1:25" ht="21" customHeight="1">
      <c r="A225" s="46"/>
      <c r="B225" s="47"/>
      <c r="C225" s="47"/>
      <c r="D225" s="47"/>
      <c r="E225" s="49"/>
      <c r="F225" s="49"/>
      <c r="G225" s="50"/>
      <c r="H225" s="32"/>
      <c r="I225" s="355" t="s">
        <v>651</v>
      </c>
      <c r="J225" s="344"/>
      <c r="K225" s="343"/>
      <c r="L225" s="343"/>
      <c r="M225" s="343">
        <v>300000</v>
      </c>
      <c r="N225" s="76" t="s">
        <v>57</v>
      </c>
      <c r="O225" s="75" t="s">
        <v>58</v>
      </c>
      <c r="P225" s="76">
        <v>1</v>
      </c>
      <c r="Q225" s="343" t="s">
        <v>56</v>
      </c>
      <c r="R225" s="75"/>
      <c r="S225" s="76"/>
      <c r="T225" s="76"/>
      <c r="U225" s="101" t="s">
        <v>53</v>
      </c>
      <c r="V225" s="76"/>
      <c r="W225" s="76"/>
      <c r="X225" s="343">
        <f>M225*P225</f>
        <v>300000</v>
      </c>
      <c r="Y225" s="100" t="s">
        <v>57</v>
      </c>
    </row>
    <row r="226" spans="1:25" ht="21" customHeight="1">
      <c r="A226" s="46"/>
      <c r="B226" s="47"/>
      <c r="C226" s="47"/>
      <c r="D226" s="47"/>
      <c r="E226" s="49"/>
      <c r="F226" s="49"/>
      <c r="G226" s="50"/>
      <c r="H226" s="32"/>
      <c r="I226" s="68" t="s">
        <v>388</v>
      </c>
      <c r="J226" s="257"/>
      <c r="K226" s="257"/>
      <c r="L226" s="257"/>
      <c r="M226" s="256"/>
      <c r="N226" s="76"/>
      <c r="O226" s="76"/>
      <c r="P226" s="76"/>
      <c r="Q226" s="256"/>
      <c r="R226" s="256"/>
      <c r="S226" s="76"/>
      <c r="T226" s="76"/>
      <c r="U226" s="76"/>
      <c r="V226" s="76"/>
      <c r="W226" s="76"/>
      <c r="X226" s="256">
        <v>800000</v>
      </c>
      <c r="Y226" s="100" t="s">
        <v>345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8"/>
      <c r="J227" s="257"/>
      <c r="K227" s="256"/>
      <c r="L227" s="256"/>
      <c r="M227" s="256"/>
      <c r="N227" s="256"/>
      <c r="O227" s="257"/>
      <c r="P227" s="256"/>
      <c r="Q227" s="256"/>
      <c r="R227" s="256"/>
      <c r="S227" s="256"/>
      <c r="T227" s="256"/>
      <c r="U227" s="256"/>
      <c r="V227" s="256"/>
      <c r="W227" s="69"/>
      <c r="X227" s="69"/>
      <c r="Y227" s="58"/>
    </row>
    <row r="228" spans="1:25" ht="21" customHeight="1" thickBot="1">
      <c r="A228" s="46"/>
      <c r="B228" s="47"/>
      <c r="C228" s="47"/>
      <c r="D228" s="47"/>
      <c r="E228" s="49"/>
      <c r="F228" s="49"/>
      <c r="G228" s="50"/>
      <c r="H228" s="32"/>
      <c r="I228" s="326" t="s">
        <v>415</v>
      </c>
      <c r="J228" s="65"/>
      <c r="K228" s="256"/>
      <c r="L228" s="256"/>
      <c r="M228" s="257"/>
      <c r="N228" s="257"/>
      <c r="O228" s="257"/>
      <c r="P228" s="257"/>
      <c r="Q228" s="743" t="s">
        <v>389</v>
      </c>
      <c r="R228" s="743"/>
      <c r="S228" s="743"/>
      <c r="T228" s="743"/>
      <c r="U228" s="743"/>
      <c r="V228" s="743"/>
      <c r="W228" s="743"/>
      <c r="X228" s="327">
        <f>SUM(X229:X231)</f>
        <v>2900000</v>
      </c>
      <c r="Y228" s="328" t="s">
        <v>345</v>
      </c>
    </row>
    <row r="229" spans="1:25" ht="21" customHeight="1">
      <c r="A229" s="46"/>
      <c r="B229" s="47"/>
      <c r="C229" s="47"/>
      <c r="D229" s="47"/>
      <c r="E229" s="49"/>
      <c r="F229" s="49"/>
      <c r="G229" s="50"/>
      <c r="H229" s="32"/>
      <c r="I229" s="68" t="s">
        <v>390</v>
      </c>
      <c r="J229" s="257"/>
      <c r="K229" s="257"/>
      <c r="L229" s="257"/>
      <c r="M229" s="256">
        <v>500000</v>
      </c>
      <c r="N229" s="76" t="s">
        <v>345</v>
      </c>
      <c r="O229" s="75" t="s">
        <v>346</v>
      </c>
      <c r="P229" s="76">
        <v>2</v>
      </c>
      <c r="Q229" s="256" t="s">
        <v>385</v>
      </c>
      <c r="R229" s="256"/>
      <c r="S229" s="76"/>
      <c r="T229" s="76"/>
      <c r="U229" s="76" t="s">
        <v>349</v>
      </c>
      <c r="V229" s="76"/>
      <c r="W229" s="76"/>
      <c r="X229" s="256">
        <f>M229*P229</f>
        <v>1000000</v>
      </c>
      <c r="Y229" s="100" t="s">
        <v>25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257" t="s">
        <v>391</v>
      </c>
      <c r="J230" s="257"/>
      <c r="K230" s="257"/>
      <c r="L230" s="257"/>
      <c r="M230" s="256"/>
      <c r="N230" s="256"/>
      <c r="O230" s="257"/>
      <c r="P230" s="256"/>
      <c r="Q230" s="256"/>
      <c r="R230" s="256"/>
      <c r="S230" s="76"/>
      <c r="T230" s="76"/>
      <c r="U230" s="76"/>
      <c r="V230" s="76"/>
      <c r="W230" s="76"/>
      <c r="X230" s="256">
        <v>400000</v>
      </c>
      <c r="Y230" s="100" t="s">
        <v>25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344" t="s">
        <v>406</v>
      </c>
      <c r="J231" s="257"/>
      <c r="K231" s="257"/>
      <c r="L231" s="257"/>
      <c r="M231" s="256">
        <v>100000</v>
      </c>
      <c r="N231" s="76" t="s">
        <v>57</v>
      </c>
      <c r="O231" s="75" t="s">
        <v>58</v>
      </c>
      <c r="P231" s="76">
        <v>15</v>
      </c>
      <c r="Q231" s="343" t="s">
        <v>56</v>
      </c>
      <c r="R231" s="76"/>
      <c r="S231" s="76"/>
      <c r="T231" s="76"/>
      <c r="U231" s="101" t="s">
        <v>53</v>
      </c>
      <c r="V231" s="76"/>
      <c r="W231" s="76"/>
      <c r="X231" s="343">
        <f>M231*P231</f>
        <v>1500000</v>
      </c>
      <c r="Y231" s="100" t="s">
        <v>345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329"/>
    </row>
    <row r="233" spans="1:25" ht="21" customHeight="1" thickBot="1">
      <c r="A233" s="46"/>
      <c r="B233" s="47"/>
      <c r="C233" s="47"/>
      <c r="D233" s="47"/>
      <c r="E233" s="49"/>
      <c r="F233" s="49"/>
      <c r="G233" s="50"/>
      <c r="H233" s="32"/>
      <c r="I233" s="326" t="s">
        <v>416</v>
      </c>
      <c r="J233" s="65"/>
      <c r="K233" s="256"/>
      <c r="L233" s="256"/>
      <c r="M233" s="256"/>
      <c r="N233" s="256"/>
      <c r="O233" s="256"/>
      <c r="P233" s="257"/>
      <c r="Q233" s="257"/>
      <c r="R233" s="257"/>
      <c r="S233" s="330" t="s">
        <v>392</v>
      </c>
      <c r="T233" s="65"/>
      <c r="U233" s="65"/>
      <c r="V233" s="330"/>
      <c r="W233" s="330"/>
      <c r="X233" s="327">
        <f>SUM(X234:X236)</f>
        <v>2600000</v>
      </c>
      <c r="Y233" s="328" t="s">
        <v>345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8" t="s">
        <v>393</v>
      </c>
      <c r="J234" s="257"/>
      <c r="K234" s="256"/>
      <c r="L234" s="256"/>
      <c r="M234" s="256">
        <v>100000</v>
      </c>
      <c r="N234" s="256" t="s">
        <v>345</v>
      </c>
      <c r="O234" s="75" t="s">
        <v>346</v>
      </c>
      <c r="P234" s="256">
        <v>1</v>
      </c>
      <c r="Q234" s="256" t="s">
        <v>385</v>
      </c>
      <c r="R234" s="75" t="s">
        <v>346</v>
      </c>
      <c r="S234" s="256">
        <v>12</v>
      </c>
      <c r="T234" s="256" t="s">
        <v>29</v>
      </c>
      <c r="U234" s="256" t="s">
        <v>349</v>
      </c>
      <c r="V234" s="256"/>
      <c r="W234" s="69"/>
      <c r="X234" s="69">
        <f>M234*P234*S234</f>
        <v>1200000</v>
      </c>
      <c r="Y234" s="58" t="s">
        <v>345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8" t="s">
        <v>394</v>
      </c>
      <c r="J235" s="257"/>
      <c r="K235" s="256"/>
      <c r="L235" s="256"/>
      <c r="M235" s="256">
        <v>50000</v>
      </c>
      <c r="N235" s="256" t="s">
        <v>345</v>
      </c>
      <c r="O235" s="75" t="s">
        <v>346</v>
      </c>
      <c r="P235" s="256">
        <v>1</v>
      </c>
      <c r="Q235" s="256" t="s">
        <v>347</v>
      </c>
      <c r="R235" s="75" t="s">
        <v>346</v>
      </c>
      <c r="S235" s="256">
        <v>12</v>
      </c>
      <c r="T235" s="256" t="s">
        <v>29</v>
      </c>
      <c r="U235" s="256" t="s">
        <v>349</v>
      </c>
      <c r="V235" s="256"/>
      <c r="W235" s="69"/>
      <c r="X235" s="69">
        <f>M235*P235*S235</f>
        <v>600000</v>
      </c>
      <c r="Y235" s="58" t="s">
        <v>345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449" t="s">
        <v>486</v>
      </c>
      <c r="J236" s="257"/>
      <c r="K236" s="256"/>
      <c r="L236" s="256"/>
      <c r="M236" s="256">
        <v>50000</v>
      </c>
      <c r="N236" s="256" t="s">
        <v>345</v>
      </c>
      <c r="O236" s="75" t="s">
        <v>346</v>
      </c>
      <c r="P236" s="148">
        <v>4</v>
      </c>
      <c r="Q236" s="256" t="s">
        <v>347</v>
      </c>
      <c r="R236" s="75" t="s">
        <v>346</v>
      </c>
      <c r="S236" s="256">
        <v>4</v>
      </c>
      <c r="T236" s="256" t="s">
        <v>29</v>
      </c>
      <c r="U236" s="256" t="s">
        <v>349</v>
      </c>
      <c r="V236" s="256"/>
      <c r="W236" s="69"/>
      <c r="X236" s="69">
        <f>M236*P236*S236</f>
        <v>800000</v>
      </c>
      <c r="Y236" s="58" t="s">
        <v>345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8"/>
      <c r="J237" s="257"/>
      <c r="K237" s="256"/>
      <c r="L237" s="256"/>
      <c r="M237" s="256"/>
      <c r="N237" s="256"/>
      <c r="O237" s="257"/>
      <c r="P237" s="256"/>
      <c r="Q237" s="256"/>
      <c r="R237" s="256"/>
      <c r="S237" s="256"/>
      <c r="T237" s="256"/>
      <c r="U237" s="256"/>
      <c r="V237" s="256"/>
      <c r="W237" s="69"/>
      <c r="X237" s="69"/>
      <c r="Y237" s="58"/>
    </row>
    <row r="238" spans="1:25" ht="21" customHeight="1" thickBot="1">
      <c r="A238" s="46"/>
      <c r="B238" s="47"/>
      <c r="C238" s="47"/>
      <c r="D238" s="47"/>
      <c r="E238" s="49"/>
      <c r="F238" s="49"/>
      <c r="G238" s="50"/>
      <c r="H238" s="32"/>
      <c r="I238" s="326" t="s">
        <v>417</v>
      </c>
      <c r="J238" s="331"/>
      <c r="K238" s="204"/>
      <c r="L238" s="204"/>
      <c r="M238" s="204"/>
      <c r="N238" s="204"/>
      <c r="O238" s="204"/>
      <c r="P238" s="204"/>
      <c r="Q238" s="204"/>
      <c r="R238" s="204"/>
      <c r="S238" s="331" t="s">
        <v>395</v>
      </c>
      <c r="T238" s="331"/>
      <c r="U238" s="331"/>
      <c r="V238" s="331"/>
      <c r="W238" s="331"/>
      <c r="X238" s="332">
        <f>X239</f>
        <v>500000</v>
      </c>
      <c r="Y238" s="328" t="s">
        <v>57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462" t="s">
        <v>396</v>
      </c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333">
        <v>500000</v>
      </c>
      <c r="Y239" s="58" t="s">
        <v>57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8"/>
      <c r="J240" s="462"/>
      <c r="K240" s="461"/>
      <c r="L240" s="461"/>
      <c r="M240" s="461"/>
      <c r="N240" s="461"/>
      <c r="O240" s="462"/>
      <c r="P240" s="461"/>
      <c r="Q240" s="461"/>
      <c r="R240" s="461"/>
      <c r="S240" s="461"/>
      <c r="T240" s="461"/>
      <c r="U240" s="461"/>
      <c r="V240" s="461"/>
      <c r="W240" s="69"/>
      <c r="X240" s="69"/>
      <c r="Y240" s="58"/>
    </row>
    <row r="241" spans="1:25" ht="21" customHeight="1" thickBot="1">
      <c r="A241" s="46"/>
      <c r="B241" s="47"/>
      <c r="C241" s="47"/>
      <c r="D241" s="47"/>
      <c r="E241" s="49"/>
      <c r="F241" s="49"/>
      <c r="G241" s="50"/>
      <c r="H241" s="32"/>
      <c r="I241" s="326" t="s">
        <v>511</v>
      </c>
      <c r="J241" s="331"/>
      <c r="K241" s="204"/>
      <c r="L241" s="204"/>
      <c r="M241" s="204"/>
      <c r="N241" s="204"/>
      <c r="O241" s="204"/>
      <c r="P241" s="204"/>
      <c r="Q241" s="204"/>
      <c r="R241" s="204"/>
      <c r="S241" s="331" t="s">
        <v>512</v>
      </c>
      <c r="T241" s="331"/>
      <c r="U241" s="331"/>
      <c r="V241" s="331"/>
      <c r="W241" s="331"/>
      <c r="X241" s="332">
        <f>X242</f>
        <v>15000000</v>
      </c>
      <c r="Y241" s="328" t="s">
        <v>345</v>
      </c>
    </row>
    <row r="242" spans="1:25" ht="21" customHeight="1">
      <c r="A242" s="46"/>
      <c r="B242" s="47"/>
      <c r="C242" s="47"/>
      <c r="D242" s="47"/>
      <c r="E242" s="49"/>
      <c r="F242" s="49"/>
      <c r="G242" s="50"/>
      <c r="H242" s="32"/>
      <c r="I242" s="462" t="s">
        <v>568</v>
      </c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333">
        <v>15000000</v>
      </c>
      <c r="Y242" s="58" t="s">
        <v>345</v>
      </c>
    </row>
    <row r="243" spans="1:25" ht="21" customHeight="1">
      <c r="A243" s="59"/>
      <c r="B243" s="60"/>
      <c r="C243" s="60"/>
      <c r="D243" s="60"/>
      <c r="E243" s="62"/>
      <c r="F243" s="62"/>
      <c r="G243" s="63"/>
      <c r="H243" s="232"/>
      <c r="I243" s="72"/>
      <c r="J243" s="259"/>
      <c r="K243" s="258"/>
      <c r="L243" s="258"/>
      <c r="M243" s="258"/>
      <c r="N243" s="229"/>
      <c r="O243" s="242"/>
      <c r="P243" s="243"/>
      <c r="Q243" s="242"/>
      <c r="R243" s="244"/>
      <c r="S243" s="245"/>
      <c r="T243" s="245"/>
      <c r="U243" s="229"/>
      <c r="V243" s="258"/>
      <c r="W243" s="73"/>
      <c r="X243" s="73"/>
      <c r="Y243" s="74"/>
    </row>
    <row r="244" spans="1:25" ht="21" customHeight="1">
      <c r="A244" s="36" t="s">
        <v>14</v>
      </c>
      <c r="B244" s="37" t="s">
        <v>14</v>
      </c>
      <c r="C244" s="744" t="s">
        <v>359</v>
      </c>
      <c r="D244" s="745"/>
      <c r="E244" s="300">
        <f>SUM(E245,E270,E274)</f>
        <v>43200</v>
      </c>
      <c r="F244" s="300">
        <f>SUM(F245,F270,F274)</f>
        <v>63289</v>
      </c>
      <c r="G244" s="301">
        <f t="shared" ref="G244:G246" si="68">F244-E244</f>
        <v>20089</v>
      </c>
      <c r="H244" s="302">
        <f t="shared" ref="H244:H246" si="69">IF(E244=0,0,G244/E244)</f>
        <v>0.46502314814814816</v>
      </c>
      <c r="I244" s="303" t="s">
        <v>363</v>
      </c>
      <c r="J244" s="304"/>
      <c r="K244" s="305"/>
      <c r="L244" s="305"/>
      <c r="M244" s="304"/>
      <c r="N244" s="304"/>
      <c r="O244" s="304"/>
      <c r="P244" s="304"/>
      <c r="Q244" s="304" t="s">
        <v>68</v>
      </c>
      <c r="R244" s="306"/>
      <c r="S244" s="306"/>
      <c r="T244" s="306"/>
      <c r="U244" s="306"/>
      <c r="V244" s="306"/>
      <c r="W244" s="306"/>
      <c r="X244" s="307">
        <f>SUM(X245,X270,X274)</f>
        <v>63289000</v>
      </c>
      <c r="Y244" s="319" t="s">
        <v>25</v>
      </c>
    </row>
    <row r="245" spans="1:25" ht="21" customHeight="1">
      <c r="A245" s="46"/>
      <c r="B245" s="47"/>
      <c r="C245" s="37" t="s">
        <v>251</v>
      </c>
      <c r="D245" s="317" t="s">
        <v>365</v>
      </c>
      <c r="E245" s="249">
        <f>SUM(E246,E249,E262,E266)</f>
        <v>23200</v>
      </c>
      <c r="F245" s="249">
        <f>SUM(F246,F249,F262,F266)</f>
        <v>31835</v>
      </c>
      <c r="G245" s="250">
        <f t="shared" si="68"/>
        <v>8635</v>
      </c>
      <c r="H245" s="251">
        <f t="shared" si="69"/>
        <v>0.37219827586206894</v>
      </c>
      <c r="I245" s="233" t="s">
        <v>369</v>
      </c>
      <c r="J245" s="234"/>
      <c r="K245" s="235"/>
      <c r="L245" s="235"/>
      <c r="M245" s="235"/>
      <c r="N245" s="235"/>
      <c r="O245" s="235"/>
      <c r="P245" s="236"/>
      <c r="Q245" s="236"/>
      <c r="R245" s="236"/>
      <c r="S245" s="236"/>
      <c r="T245" s="236"/>
      <c r="U245" s="236"/>
      <c r="V245" s="270" t="s">
        <v>354</v>
      </c>
      <c r="W245" s="271"/>
      <c r="X245" s="272">
        <f>SUM(X246,X249,X262,X266)</f>
        <v>31835000</v>
      </c>
      <c r="Y245" s="320" t="s">
        <v>345</v>
      </c>
    </row>
    <row r="246" spans="1:25" ht="21" customHeight="1">
      <c r="A246" s="46"/>
      <c r="B246" s="47"/>
      <c r="C246" s="47" t="s">
        <v>252</v>
      </c>
      <c r="D246" s="37" t="s">
        <v>332</v>
      </c>
      <c r="E246" s="38">
        <v>15000</v>
      </c>
      <c r="F246" s="49">
        <f>ROUND(X246/1000,0)</f>
        <v>15981</v>
      </c>
      <c r="G246" s="39">
        <f t="shared" si="68"/>
        <v>981</v>
      </c>
      <c r="H246" s="40">
        <f t="shared" si="69"/>
        <v>6.54E-2</v>
      </c>
      <c r="I246" s="160" t="s">
        <v>331</v>
      </c>
      <c r="J246" s="179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742" t="s">
        <v>73</v>
      </c>
      <c r="W246" s="742"/>
      <c r="X246" s="162">
        <f>ROUND(SUM(W247:X248),-3)</f>
        <v>15981000</v>
      </c>
      <c r="Y246" s="163" t="s">
        <v>57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449" t="s">
        <v>487</v>
      </c>
      <c r="J247" s="257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89"/>
      <c r="W247" s="289"/>
      <c r="X247" s="69">
        <v>15958737</v>
      </c>
      <c r="Y247" s="58" t="s">
        <v>326</v>
      </c>
    </row>
    <row r="248" spans="1:25" ht="21" customHeight="1">
      <c r="A248" s="46"/>
      <c r="B248" s="47"/>
      <c r="C248" s="47"/>
      <c r="D248" s="60"/>
      <c r="E248" s="62"/>
      <c r="F248" s="62"/>
      <c r="G248" s="63"/>
      <c r="H248" s="232"/>
      <c r="I248" s="450" t="s">
        <v>488</v>
      </c>
      <c r="J248" s="259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29"/>
      <c r="W248" s="229"/>
      <c r="X248" s="73">
        <v>22134</v>
      </c>
      <c r="Y248" s="74" t="s">
        <v>326</v>
      </c>
    </row>
    <row r="249" spans="1:25" ht="21" customHeight="1">
      <c r="A249" s="46"/>
      <c r="B249" s="47"/>
      <c r="C249" s="47"/>
      <c r="D249" s="37" t="s">
        <v>253</v>
      </c>
      <c r="E249" s="38">
        <v>2700</v>
      </c>
      <c r="F249" s="49">
        <f>ROUND(X249/1000,0)</f>
        <v>4929</v>
      </c>
      <c r="G249" s="39">
        <f t="shared" ref="G249" si="70">F249-E249</f>
        <v>2229</v>
      </c>
      <c r="H249" s="40">
        <f t="shared" ref="H249" si="71">IF(E249=0,0,G249/E249)</f>
        <v>0.8255555555555556</v>
      </c>
      <c r="I249" s="160" t="s">
        <v>333</v>
      </c>
      <c r="J249" s="179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742" t="s">
        <v>73</v>
      </c>
      <c r="W249" s="742"/>
      <c r="X249" s="162">
        <f>ROUND(SUM(W250:X260),-3)</f>
        <v>4929000</v>
      </c>
      <c r="Y249" s="163" t="s">
        <v>57</v>
      </c>
    </row>
    <row r="250" spans="1:25" ht="21" customHeight="1">
      <c r="A250" s="46"/>
      <c r="B250" s="47"/>
      <c r="C250" s="47"/>
      <c r="D250" s="47"/>
      <c r="E250" s="49"/>
      <c r="F250" s="49"/>
      <c r="G250" s="50"/>
      <c r="H250" s="32"/>
      <c r="I250" s="449" t="s">
        <v>489</v>
      </c>
      <c r="J250" s="257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89"/>
      <c r="W250" s="289"/>
      <c r="X250" s="69">
        <v>3669520</v>
      </c>
      <c r="Y250" s="58" t="s">
        <v>326</v>
      </c>
    </row>
    <row r="251" spans="1:25" ht="21" customHeight="1">
      <c r="A251" s="46"/>
      <c r="B251" s="47"/>
      <c r="C251" s="47"/>
      <c r="D251" s="47"/>
      <c r="E251" s="49"/>
      <c r="F251" s="49"/>
      <c r="G251" s="50"/>
      <c r="H251" s="32"/>
      <c r="I251" s="449" t="s">
        <v>490</v>
      </c>
      <c r="J251" s="257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89"/>
      <c r="W251" s="289"/>
      <c r="X251" s="69">
        <v>127230</v>
      </c>
      <c r="Y251" s="58" t="s">
        <v>326</v>
      </c>
    </row>
    <row r="252" spans="1:25" ht="21" customHeight="1">
      <c r="A252" s="46"/>
      <c r="B252" s="47"/>
      <c r="C252" s="47"/>
      <c r="D252" s="47"/>
      <c r="E252" s="49"/>
      <c r="F252" s="49"/>
      <c r="G252" s="50"/>
      <c r="H252" s="32"/>
      <c r="I252" s="449" t="s">
        <v>491</v>
      </c>
      <c r="J252" s="257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89"/>
      <c r="W252" s="289"/>
      <c r="X252" s="69">
        <v>40470</v>
      </c>
      <c r="Y252" s="58" t="s">
        <v>326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32"/>
      <c r="I253" s="449" t="s">
        <v>492</v>
      </c>
      <c r="J253" s="257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89"/>
      <c r="W253" s="289"/>
      <c r="X253" s="69">
        <v>3424</v>
      </c>
      <c r="Y253" s="58" t="s">
        <v>326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32"/>
      <c r="I254" s="449" t="s">
        <v>493</v>
      </c>
      <c r="J254" s="257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89"/>
      <c r="W254" s="289"/>
      <c r="X254" s="69">
        <v>220600</v>
      </c>
      <c r="Y254" s="58" t="s">
        <v>326</v>
      </c>
    </row>
    <row r="255" spans="1:25" ht="21" customHeight="1">
      <c r="A255" s="46"/>
      <c r="B255" s="47"/>
      <c r="C255" s="47"/>
      <c r="D255" s="47"/>
      <c r="E255" s="49"/>
      <c r="F255" s="49"/>
      <c r="G255" s="50"/>
      <c r="H255" s="32"/>
      <c r="I255" s="449" t="s">
        <v>494</v>
      </c>
      <c r="J255" s="257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89"/>
      <c r="W255" s="289"/>
      <c r="X255" s="69">
        <v>4082</v>
      </c>
      <c r="Y255" s="58" t="s">
        <v>326</v>
      </c>
    </row>
    <row r="256" spans="1:25" ht="21" customHeight="1">
      <c r="A256" s="46"/>
      <c r="B256" s="47"/>
      <c r="C256" s="47"/>
      <c r="D256" s="47"/>
      <c r="E256" s="49"/>
      <c r="F256" s="49"/>
      <c r="G256" s="50"/>
      <c r="H256" s="32"/>
      <c r="I256" s="449" t="s">
        <v>495</v>
      </c>
      <c r="J256" s="257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89"/>
      <c r="W256" s="289"/>
      <c r="X256" s="69">
        <v>757570</v>
      </c>
      <c r="Y256" s="58" t="s">
        <v>326</v>
      </c>
    </row>
    <row r="257" spans="1:25" ht="21" customHeight="1">
      <c r="A257" s="46"/>
      <c r="B257" s="47"/>
      <c r="C257" s="47"/>
      <c r="D257" s="47"/>
      <c r="E257" s="49"/>
      <c r="F257" s="49"/>
      <c r="G257" s="50"/>
      <c r="H257" s="32"/>
      <c r="I257" s="449" t="s">
        <v>496</v>
      </c>
      <c r="J257" s="257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89"/>
      <c r="W257" s="289"/>
      <c r="X257" s="69">
        <v>22346</v>
      </c>
      <c r="Y257" s="58" t="s">
        <v>326</v>
      </c>
    </row>
    <row r="258" spans="1:25" ht="21" customHeight="1">
      <c r="A258" s="46"/>
      <c r="B258" s="47"/>
      <c r="C258" s="47"/>
      <c r="D258" s="47"/>
      <c r="E258" s="49"/>
      <c r="F258" s="49"/>
      <c r="G258" s="50"/>
      <c r="H258" s="32"/>
      <c r="I258" s="449" t="s">
        <v>497</v>
      </c>
      <c r="J258" s="257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89"/>
      <c r="W258" s="289"/>
      <c r="X258" s="69">
        <v>80900</v>
      </c>
      <c r="Y258" s="58" t="s">
        <v>326</v>
      </c>
    </row>
    <row r="259" spans="1:25" ht="21" customHeight="1">
      <c r="A259" s="46"/>
      <c r="B259" s="47"/>
      <c r="C259" s="47"/>
      <c r="D259" s="47"/>
      <c r="E259" s="49"/>
      <c r="F259" s="49"/>
      <c r="G259" s="50"/>
      <c r="H259" s="32"/>
      <c r="I259" s="449" t="s">
        <v>498</v>
      </c>
      <c r="J259" s="257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89"/>
      <c r="W259" s="289"/>
      <c r="X259" s="69">
        <v>2910</v>
      </c>
      <c r="Y259" s="58" t="s">
        <v>326</v>
      </c>
    </row>
    <row r="260" spans="1:25" ht="21" customHeight="1">
      <c r="A260" s="46"/>
      <c r="B260" s="47"/>
      <c r="C260" s="47"/>
      <c r="D260" s="47"/>
      <c r="E260" s="49"/>
      <c r="F260" s="49"/>
      <c r="G260" s="50"/>
      <c r="H260" s="32"/>
      <c r="I260" s="68" t="s">
        <v>398</v>
      </c>
      <c r="J260" s="339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7"/>
      <c r="W260" s="337"/>
      <c r="X260" s="69">
        <v>0</v>
      </c>
      <c r="Y260" s="58" t="s">
        <v>397</v>
      </c>
    </row>
    <row r="261" spans="1:25" ht="21" customHeight="1">
      <c r="A261" s="46"/>
      <c r="B261" s="47"/>
      <c r="C261" s="47"/>
      <c r="D261" s="60"/>
      <c r="E261" s="62"/>
      <c r="F261" s="62"/>
      <c r="G261" s="63"/>
      <c r="H261" s="232"/>
      <c r="I261" s="72"/>
      <c r="J261" s="259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29"/>
      <c r="W261" s="229"/>
      <c r="X261" s="73"/>
      <c r="Y261" s="74"/>
    </row>
    <row r="262" spans="1:25" ht="21" customHeight="1">
      <c r="A262" s="46"/>
      <c r="B262" s="47"/>
      <c r="C262" s="47"/>
      <c r="D262" s="37" t="s">
        <v>336</v>
      </c>
      <c r="E262" s="38">
        <v>500</v>
      </c>
      <c r="F262" s="38">
        <f>ROUND(X262/1000,0)</f>
        <v>55</v>
      </c>
      <c r="G262" s="39">
        <f t="shared" ref="G262" si="72">F262-E262</f>
        <v>-445</v>
      </c>
      <c r="H262" s="40">
        <f t="shared" ref="H262" si="73">IF(E262=0,0,G262/E262)</f>
        <v>-0.89</v>
      </c>
      <c r="I262" s="160" t="s">
        <v>337</v>
      </c>
      <c r="J262" s="179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742" t="s">
        <v>73</v>
      </c>
      <c r="W262" s="742"/>
      <c r="X262" s="162">
        <f>ROUND(SUM(W263:X264),-3)</f>
        <v>55000</v>
      </c>
      <c r="Y262" s="163" t="s">
        <v>57</v>
      </c>
    </row>
    <row r="263" spans="1:25" ht="21" customHeight="1">
      <c r="A263" s="46"/>
      <c r="B263" s="47"/>
      <c r="C263" s="47"/>
      <c r="D263" s="47"/>
      <c r="E263" s="49"/>
      <c r="F263" s="49"/>
      <c r="G263" s="50"/>
      <c r="H263" s="32"/>
      <c r="I263" s="449" t="s">
        <v>499</v>
      </c>
      <c r="J263" s="257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89"/>
      <c r="W263" s="289"/>
      <c r="X263" s="69">
        <v>53603</v>
      </c>
      <c r="Y263" s="58" t="s">
        <v>326</v>
      </c>
    </row>
    <row r="264" spans="1:25" ht="21" customHeight="1">
      <c r="A264" s="46"/>
      <c r="B264" s="47"/>
      <c r="C264" s="47"/>
      <c r="D264" s="47"/>
      <c r="E264" s="49"/>
      <c r="F264" s="49"/>
      <c r="G264" s="50"/>
      <c r="H264" s="32"/>
      <c r="I264" s="449" t="s">
        <v>500</v>
      </c>
      <c r="J264" s="257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89"/>
      <c r="W264" s="289"/>
      <c r="X264" s="69">
        <v>1368</v>
      </c>
      <c r="Y264" s="58" t="s">
        <v>326</v>
      </c>
    </row>
    <row r="265" spans="1:25" ht="21" customHeight="1">
      <c r="A265" s="46"/>
      <c r="B265" s="47"/>
      <c r="C265" s="47"/>
      <c r="D265" s="60"/>
      <c r="E265" s="62"/>
      <c r="F265" s="62"/>
      <c r="G265" s="63"/>
      <c r="H265" s="232"/>
      <c r="I265" s="72"/>
      <c r="J265" s="259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29"/>
      <c r="W265" s="229"/>
      <c r="X265" s="73"/>
      <c r="Y265" s="74"/>
    </row>
    <row r="266" spans="1:25" ht="21" customHeight="1">
      <c r="A266" s="46"/>
      <c r="B266" s="47"/>
      <c r="C266" s="47"/>
      <c r="D266" s="47" t="s">
        <v>334</v>
      </c>
      <c r="E266" s="49">
        <v>5000</v>
      </c>
      <c r="F266" s="38">
        <f>ROUND(X266/1000,0)</f>
        <v>10870</v>
      </c>
      <c r="G266" s="39">
        <f t="shared" ref="G266" si="74">F266-E266</f>
        <v>5870</v>
      </c>
      <c r="H266" s="40">
        <f t="shared" ref="H266" si="75">IF(E266=0,0,G266/E266)</f>
        <v>1.1739999999999999</v>
      </c>
      <c r="I266" s="160" t="s">
        <v>339</v>
      </c>
      <c r="J266" s="179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742" t="s">
        <v>73</v>
      </c>
      <c r="W266" s="742"/>
      <c r="X266" s="162">
        <f>ROUND(SUM(W267:X268),-3)</f>
        <v>10870000</v>
      </c>
      <c r="Y266" s="163" t="s">
        <v>57</v>
      </c>
    </row>
    <row r="267" spans="1:25" ht="21" customHeight="1">
      <c r="A267" s="46"/>
      <c r="B267" s="47"/>
      <c r="C267" s="47"/>
      <c r="D267" s="47"/>
      <c r="E267" s="49"/>
      <c r="F267" s="49"/>
      <c r="G267" s="50"/>
      <c r="H267" s="32"/>
      <c r="I267" s="449" t="s">
        <v>501</v>
      </c>
      <c r="J267" s="257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89"/>
      <c r="W267" s="289"/>
      <c r="X267" s="69">
        <v>10856253</v>
      </c>
      <c r="Y267" s="58" t="s">
        <v>326</v>
      </c>
    </row>
    <row r="268" spans="1:25" ht="21" customHeight="1">
      <c r="A268" s="46"/>
      <c r="B268" s="47"/>
      <c r="C268" s="47"/>
      <c r="D268" s="47"/>
      <c r="E268" s="49"/>
      <c r="F268" s="49"/>
      <c r="G268" s="50"/>
      <c r="H268" s="32"/>
      <c r="I268" s="449" t="s">
        <v>502</v>
      </c>
      <c r="J268" s="257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89"/>
      <c r="W268" s="289"/>
      <c r="X268" s="69">
        <v>13797</v>
      </c>
      <c r="Y268" s="58" t="s">
        <v>326</v>
      </c>
    </row>
    <row r="269" spans="1:25" ht="21" customHeight="1">
      <c r="A269" s="46"/>
      <c r="B269" s="47"/>
      <c r="C269" s="47"/>
      <c r="D269" s="47"/>
      <c r="E269" s="49"/>
      <c r="F269" s="49"/>
      <c r="G269" s="50"/>
      <c r="H269" s="32"/>
      <c r="I269" s="68"/>
      <c r="J269" s="257"/>
      <c r="K269" s="256"/>
      <c r="L269" s="256"/>
      <c r="M269" s="256"/>
      <c r="N269" s="289"/>
      <c r="O269" s="75"/>
      <c r="P269" s="70"/>
      <c r="Q269" s="75"/>
      <c r="R269" s="85"/>
      <c r="S269" s="77"/>
      <c r="T269" s="77"/>
      <c r="U269" s="289"/>
      <c r="V269" s="256"/>
      <c r="W269" s="69"/>
      <c r="X269" s="69"/>
      <c r="Y269" s="58"/>
    </row>
    <row r="270" spans="1:25" ht="21" customHeight="1">
      <c r="A270" s="46"/>
      <c r="B270" s="47"/>
      <c r="C270" s="37" t="s">
        <v>251</v>
      </c>
      <c r="D270" s="317" t="s">
        <v>169</v>
      </c>
      <c r="E270" s="249">
        <f>E271</f>
        <v>20000</v>
      </c>
      <c r="F270" s="249">
        <f>F271</f>
        <v>31454</v>
      </c>
      <c r="G270" s="250">
        <f t="shared" ref="G270:G271" si="76">F270-E270</f>
        <v>11454</v>
      </c>
      <c r="H270" s="251">
        <f t="shared" ref="H270:H271" si="77">IF(E270=0,0,G270/E270)</f>
        <v>0.57269999999999999</v>
      </c>
      <c r="I270" s="233" t="s">
        <v>255</v>
      </c>
      <c r="J270" s="234"/>
      <c r="K270" s="235"/>
      <c r="L270" s="235"/>
      <c r="M270" s="235"/>
      <c r="N270" s="235"/>
      <c r="O270" s="235"/>
      <c r="P270" s="236"/>
      <c r="Q270" s="236"/>
      <c r="R270" s="236"/>
      <c r="S270" s="236"/>
      <c r="T270" s="236"/>
      <c r="U270" s="236"/>
      <c r="V270" s="270" t="s">
        <v>73</v>
      </c>
      <c r="W270" s="271"/>
      <c r="X270" s="271">
        <f>X271</f>
        <v>31454000</v>
      </c>
      <c r="Y270" s="320" t="s">
        <v>57</v>
      </c>
    </row>
    <row r="271" spans="1:25" ht="21" customHeight="1">
      <c r="A271" s="46"/>
      <c r="B271" s="47"/>
      <c r="C271" s="47" t="s">
        <v>252</v>
      </c>
      <c r="D271" s="47" t="s">
        <v>254</v>
      </c>
      <c r="E271" s="49">
        <v>20000</v>
      </c>
      <c r="F271" s="49">
        <f>ROUND(X271/1000,0)</f>
        <v>31454</v>
      </c>
      <c r="G271" s="39">
        <f t="shared" si="76"/>
        <v>11454</v>
      </c>
      <c r="H271" s="40">
        <f t="shared" si="77"/>
        <v>0.57269999999999999</v>
      </c>
      <c r="I271" s="451" t="s">
        <v>503</v>
      </c>
      <c r="J271" s="179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742"/>
      <c r="W271" s="742"/>
      <c r="X271" s="162">
        <f>ROUND(SUM(W272:X272),-3)</f>
        <v>31454000</v>
      </c>
      <c r="Y271" s="163" t="s">
        <v>57</v>
      </c>
    </row>
    <row r="272" spans="1:25" ht="21" customHeight="1">
      <c r="A272" s="46"/>
      <c r="B272" s="47"/>
      <c r="C272" s="47" t="s">
        <v>247</v>
      </c>
      <c r="D272" s="47" t="s">
        <v>248</v>
      </c>
      <c r="E272" s="49"/>
      <c r="F272" s="49"/>
      <c r="G272" s="50"/>
      <c r="H272" s="71"/>
      <c r="I272" s="449" t="s">
        <v>504</v>
      </c>
      <c r="J272" s="257"/>
      <c r="K272" s="256"/>
      <c r="L272" s="256"/>
      <c r="M272" s="256"/>
      <c r="N272" s="256"/>
      <c r="O272" s="256"/>
      <c r="P272" s="256"/>
      <c r="Q272" s="55"/>
      <c r="R272" s="55"/>
      <c r="S272" s="55"/>
      <c r="T272" s="256"/>
      <c r="U272" s="256"/>
      <c r="V272" s="256"/>
      <c r="W272" s="69"/>
      <c r="X272" s="69">
        <v>31454177</v>
      </c>
      <c r="Y272" s="58" t="s">
        <v>151</v>
      </c>
    </row>
    <row r="273" spans="1:47" ht="21" customHeight="1">
      <c r="A273" s="46"/>
      <c r="B273" s="47"/>
      <c r="C273" s="47"/>
      <c r="D273" s="47"/>
      <c r="E273" s="49"/>
      <c r="F273" s="49"/>
      <c r="G273" s="50"/>
      <c r="H273" s="71"/>
      <c r="I273" s="68"/>
      <c r="J273" s="257"/>
      <c r="K273" s="256"/>
      <c r="L273" s="256"/>
      <c r="M273" s="256"/>
      <c r="N273" s="256"/>
      <c r="O273" s="256"/>
      <c r="P273" s="256"/>
      <c r="Q273" s="55"/>
      <c r="R273" s="55"/>
      <c r="S273" s="55"/>
      <c r="T273" s="256"/>
      <c r="U273" s="256"/>
      <c r="V273" s="256"/>
      <c r="W273" s="69"/>
      <c r="X273" s="69"/>
      <c r="Y273" s="58"/>
    </row>
    <row r="274" spans="1:47" ht="21" customHeight="1">
      <c r="A274" s="46"/>
      <c r="B274" s="47"/>
      <c r="C274" s="37" t="s">
        <v>256</v>
      </c>
      <c r="D274" s="317" t="s">
        <v>169</v>
      </c>
      <c r="E274" s="249">
        <f>E275</f>
        <v>0</v>
      </c>
      <c r="F274" s="249">
        <f>F275</f>
        <v>0</v>
      </c>
      <c r="G274" s="250">
        <f t="shared" ref="G274:G275" si="78">F274-E274</f>
        <v>0</v>
      </c>
      <c r="H274" s="251">
        <f t="shared" ref="H274:H275" si="79">IF(E274=0,0,G274/E274)</f>
        <v>0</v>
      </c>
      <c r="I274" s="233" t="s">
        <v>259</v>
      </c>
      <c r="J274" s="234"/>
      <c r="K274" s="235"/>
      <c r="L274" s="235"/>
      <c r="M274" s="235"/>
      <c r="N274" s="235"/>
      <c r="O274" s="235"/>
      <c r="P274" s="236"/>
      <c r="Q274" s="236"/>
      <c r="R274" s="236"/>
      <c r="S274" s="236"/>
      <c r="T274" s="236"/>
      <c r="U274" s="236"/>
      <c r="V274" s="270" t="s">
        <v>73</v>
      </c>
      <c r="W274" s="271"/>
      <c r="X274" s="271">
        <f>ROUND(SUM(W275:X276),-3)</f>
        <v>0</v>
      </c>
      <c r="Y274" s="320" t="s">
        <v>57</v>
      </c>
    </row>
    <row r="275" spans="1:47" ht="21" customHeight="1">
      <c r="A275" s="46"/>
      <c r="B275" s="47"/>
      <c r="C275" s="47" t="s">
        <v>257</v>
      </c>
      <c r="D275" s="47" t="s">
        <v>258</v>
      </c>
      <c r="E275" s="49">
        <v>0</v>
      </c>
      <c r="F275" s="49">
        <f>ROUND(X275/1000,0)</f>
        <v>0</v>
      </c>
      <c r="G275" s="39">
        <f t="shared" si="78"/>
        <v>0</v>
      </c>
      <c r="H275" s="40">
        <f t="shared" si="79"/>
        <v>0</v>
      </c>
      <c r="I275" s="68"/>
      <c r="J275" s="257"/>
      <c r="K275" s="256"/>
      <c r="L275" s="256"/>
      <c r="M275" s="256"/>
      <c r="N275" s="289"/>
      <c r="O275" s="75"/>
      <c r="P275" s="70"/>
      <c r="Q275" s="75"/>
      <c r="R275" s="85"/>
      <c r="S275" s="77"/>
      <c r="T275" s="77"/>
      <c r="U275" s="289"/>
      <c r="V275" s="256"/>
      <c r="W275" s="69"/>
      <c r="X275" s="69">
        <f>M275*P275</f>
        <v>0</v>
      </c>
      <c r="Y275" s="58" t="s">
        <v>57</v>
      </c>
    </row>
    <row r="276" spans="1:47" ht="21" customHeight="1">
      <c r="A276" s="59"/>
      <c r="B276" s="60"/>
      <c r="C276" s="60"/>
      <c r="D276" s="60"/>
      <c r="E276" s="62"/>
      <c r="F276" s="62"/>
      <c r="G276" s="63"/>
      <c r="H276" s="91"/>
      <c r="I276" s="72"/>
      <c r="J276" s="259"/>
      <c r="K276" s="258"/>
      <c r="L276" s="258"/>
      <c r="M276" s="258"/>
      <c r="N276" s="258"/>
      <c r="O276" s="258"/>
      <c r="P276" s="258"/>
      <c r="Q276" s="144"/>
      <c r="R276" s="144"/>
      <c r="S276" s="144"/>
      <c r="T276" s="258"/>
      <c r="U276" s="258"/>
      <c r="V276" s="258"/>
      <c r="W276" s="73"/>
      <c r="X276" s="73">
        <v>0</v>
      </c>
      <c r="Y276" s="74" t="s">
        <v>57</v>
      </c>
    </row>
    <row r="277" spans="1:47" s="4" customFormat="1" ht="21" customHeight="1">
      <c r="A277" s="46" t="s">
        <v>80</v>
      </c>
      <c r="B277" s="94" t="s">
        <v>16</v>
      </c>
      <c r="C277" s="744" t="s">
        <v>359</v>
      </c>
      <c r="D277" s="745"/>
      <c r="E277" s="300">
        <f>SUM(E278,E281,E293)</f>
        <v>30950</v>
      </c>
      <c r="F277" s="300">
        <f>SUM(F278,F281,F293)</f>
        <v>32150</v>
      </c>
      <c r="G277" s="301">
        <f t="shared" ref="G277:G279" si="80">F277-E277</f>
        <v>1200</v>
      </c>
      <c r="H277" s="302">
        <f t="shared" ref="H277:H279" si="81">IF(E277=0,0,G277/E277)</f>
        <v>3.8772213247172858E-2</v>
      </c>
      <c r="I277" s="303" t="s">
        <v>364</v>
      </c>
      <c r="J277" s="304"/>
      <c r="K277" s="305"/>
      <c r="L277" s="305"/>
      <c r="M277" s="304"/>
      <c r="N277" s="304"/>
      <c r="O277" s="304"/>
      <c r="P277" s="304"/>
      <c r="Q277" s="304" t="s">
        <v>68</v>
      </c>
      <c r="R277" s="306"/>
      <c r="S277" s="306"/>
      <c r="T277" s="306"/>
      <c r="U277" s="306"/>
      <c r="V277" s="306"/>
      <c r="W277" s="306"/>
      <c r="X277" s="316">
        <f>SUM(X278,X281,X293)</f>
        <v>32150000</v>
      </c>
      <c r="Y277" s="325" t="s">
        <v>345</v>
      </c>
      <c r="Z277" s="308"/>
      <c r="AA277" s="309"/>
      <c r="AB277" s="309"/>
      <c r="AC277" s="310"/>
      <c r="AD277" s="311"/>
      <c r="AE277" s="312"/>
      <c r="AF277" s="313"/>
      <c r="AG277" s="314"/>
      <c r="AH277" s="314"/>
      <c r="AI277" s="313"/>
      <c r="AJ277" s="313"/>
      <c r="AK277" s="313"/>
      <c r="AL277" s="313"/>
      <c r="AM277" s="313"/>
      <c r="AN277" s="312"/>
      <c r="AO277" s="312"/>
      <c r="AP277" s="312"/>
      <c r="AQ277" s="312"/>
      <c r="AR277" s="312"/>
      <c r="AS277" s="312"/>
      <c r="AT277" s="315"/>
      <c r="AU277" s="313"/>
    </row>
    <row r="278" spans="1:47" ht="21" customHeight="1">
      <c r="A278" s="46"/>
      <c r="B278" s="105"/>
      <c r="C278" s="37" t="s">
        <v>260</v>
      </c>
      <c r="D278" s="317" t="s">
        <v>169</v>
      </c>
      <c r="E278" s="249">
        <f>E279</f>
        <v>0</v>
      </c>
      <c r="F278" s="249">
        <f>F279</f>
        <v>0</v>
      </c>
      <c r="G278" s="250">
        <f t="shared" si="80"/>
        <v>0</v>
      </c>
      <c r="H278" s="251">
        <f t="shared" si="81"/>
        <v>0</v>
      </c>
      <c r="I278" s="233" t="s">
        <v>269</v>
      </c>
      <c r="J278" s="234"/>
      <c r="K278" s="235"/>
      <c r="L278" s="235"/>
      <c r="M278" s="235"/>
      <c r="N278" s="235"/>
      <c r="O278" s="235"/>
      <c r="P278" s="236"/>
      <c r="Q278" s="236"/>
      <c r="R278" s="236"/>
      <c r="S278" s="236"/>
      <c r="T278" s="236"/>
      <c r="U278" s="236"/>
      <c r="V278" s="270" t="s">
        <v>73</v>
      </c>
      <c r="W278" s="271"/>
      <c r="X278" s="272">
        <f>SUM(X279:X279)</f>
        <v>0</v>
      </c>
      <c r="Y278" s="320" t="s">
        <v>57</v>
      </c>
    </row>
    <row r="279" spans="1:47" s="11" customFormat="1" ht="19.5" customHeight="1">
      <c r="A279" s="61"/>
      <c r="B279" s="107"/>
      <c r="C279" s="47" t="s">
        <v>261</v>
      </c>
      <c r="D279" s="37" t="s">
        <v>262</v>
      </c>
      <c r="E279" s="38">
        <v>0</v>
      </c>
      <c r="F279" s="49">
        <f>ROUND(X279/1000,0)</f>
        <v>0</v>
      </c>
      <c r="G279" s="39">
        <f t="shared" si="80"/>
        <v>0</v>
      </c>
      <c r="H279" s="40">
        <f t="shared" si="81"/>
        <v>0</v>
      </c>
      <c r="I279" s="160" t="s">
        <v>269</v>
      </c>
      <c r="J279" s="179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742" t="s">
        <v>73</v>
      </c>
      <c r="W279" s="742"/>
      <c r="X279" s="162">
        <f>SUM(X280:X280)</f>
        <v>0</v>
      </c>
      <c r="Y279" s="163" t="s">
        <v>57</v>
      </c>
      <c r="Z279" s="6"/>
    </row>
    <row r="280" spans="1:47" s="11" customFormat="1" ht="19.5" customHeight="1">
      <c r="A280" s="61"/>
      <c r="B280" s="97"/>
      <c r="C280" s="47"/>
      <c r="D280" s="47"/>
      <c r="E280" s="49"/>
      <c r="F280" s="49"/>
      <c r="G280" s="50"/>
      <c r="H280" s="32"/>
      <c r="I280" s="68"/>
      <c r="J280" s="257"/>
      <c r="K280" s="256"/>
      <c r="L280" s="256"/>
      <c r="M280" s="256"/>
      <c r="N280" s="289"/>
      <c r="O280" s="75"/>
      <c r="P280" s="70"/>
      <c r="Q280" s="75"/>
      <c r="R280" s="85"/>
      <c r="S280" s="77"/>
      <c r="T280" s="77"/>
      <c r="U280" s="289"/>
      <c r="V280" s="256"/>
      <c r="W280" s="69"/>
      <c r="X280" s="69">
        <f>M280*P280</f>
        <v>0</v>
      </c>
      <c r="Y280" s="58" t="s">
        <v>57</v>
      </c>
      <c r="Z280" s="6"/>
    </row>
    <row r="281" spans="1:47" s="11" customFormat="1" ht="19.5" customHeight="1">
      <c r="A281" s="61"/>
      <c r="B281" s="97"/>
      <c r="C281" s="37" t="s">
        <v>263</v>
      </c>
      <c r="D281" s="317" t="s">
        <v>169</v>
      </c>
      <c r="E281" s="249">
        <f>E282</f>
        <v>250</v>
      </c>
      <c r="F281" s="249">
        <f>F282</f>
        <v>250</v>
      </c>
      <c r="G281" s="250">
        <f t="shared" ref="G281:G282" si="82">F281-E281</f>
        <v>0</v>
      </c>
      <c r="H281" s="251">
        <f t="shared" ref="H281:H282" si="83">IF(E281=0,0,G281/E281)</f>
        <v>0</v>
      </c>
      <c r="I281" s="233" t="s">
        <v>270</v>
      </c>
      <c r="J281" s="234"/>
      <c r="K281" s="235"/>
      <c r="L281" s="235"/>
      <c r="M281" s="235"/>
      <c r="N281" s="235"/>
      <c r="O281" s="235"/>
      <c r="P281" s="236"/>
      <c r="Q281" s="236"/>
      <c r="R281" s="236"/>
      <c r="S281" s="236"/>
      <c r="T281" s="236"/>
      <c r="U281" s="236"/>
      <c r="V281" s="270" t="s">
        <v>73</v>
      </c>
      <c r="W281" s="271"/>
      <c r="X281" s="271">
        <f>SUM(X282:X282)</f>
        <v>250000</v>
      </c>
      <c r="Y281" s="320" t="s">
        <v>57</v>
      </c>
      <c r="Z281" s="6"/>
    </row>
    <row r="282" spans="1:47" s="11" customFormat="1" ht="19.5" customHeight="1">
      <c r="A282" s="61"/>
      <c r="B282" s="97"/>
      <c r="C282" s="47" t="s">
        <v>264</v>
      </c>
      <c r="D282" s="47" t="s">
        <v>265</v>
      </c>
      <c r="E282" s="49">
        <v>250</v>
      </c>
      <c r="F282" s="49">
        <f>ROUND(X282/1000,0)</f>
        <v>250</v>
      </c>
      <c r="G282" s="39">
        <f t="shared" si="82"/>
        <v>0</v>
      </c>
      <c r="H282" s="40">
        <f t="shared" si="83"/>
        <v>0</v>
      </c>
      <c r="I282" s="160" t="s">
        <v>341</v>
      </c>
      <c r="J282" s="179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742"/>
      <c r="W282" s="742"/>
      <c r="X282" s="162">
        <f>ROUND(SUM(W283:X291),-3)</f>
        <v>250000</v>
      </c>
      <c r="Y282" s="163" t="s">
        <v>57</v>
      </c>
      <c r="Z282" s="6"/>
    </row>
    <row r="283" spans="1:47" s="11" customFormat="1" ht="19.5" customHeight="1">
      <c r="A283" s="61"/>
      <c r="B283" s="97"/>
      <c r="C283" s="47" t="s">
        <v>207</v>
      </c>
      <c r="D283" s="47" t="s">
        <v>266</v>
      </c>
      <c r="E283" s="49"/>
      <c r="F283" s="49"/>
      <c r="G283" s="50"/>
      <c r="H283" s="71"/>
      <c r="I283" s="68" t="s">
        <v>327</v>
      </c>
      <c r="J283" s="257"/>
      <c r="K283" s="256"/>
      <c r="L283" s="256"/>
      <c r="M283" s="256"/>
      <c r="N283" s="256"/>
      <c r="O283" s="256"/>
      <c r="P283" s="256"/>
      <c r="Q283" s="55"/>
      <c r="R283" s="55"/>
      <c r="S283" s="55"/>
      <c r="T283" s="256"/>
      <c r="U283" s="256"/>
      <c r="V283" s="256"/>
      <c r="W283" s="69"/>
      <c r="X283" s="69">
        <v>150000</v>
      </c>
      <c r="Y283" s="58" t="s">
        <v>57</v>
      </c>
      <c r="Z283" s="6"/>
    </row>
    <row r="284" spans="1:47" s="11" customFormat="1" ht="19.5" customHeight="1">
      <c r="A284" s="61"/>
      <c r="B284" s="97"/>
      <c r="C284" s="47"/>
      <c r="D284" s="47"/>
      <c r="E284" s="49"/>
      <c r="F284" s="49"/>
      <c r="G284" s="50"/>
      <c r="H284" s="71"/>
      <c r="I284" s="68" t="s">
        <v>335</v>
      </c>
      <c r="J284" s="257"/>
      <c r="K284" s="256"/>
      <c r="L284" s="256"/>
      <c r="M284" s="256"/>
      <c r="N284" s="256"/>
      <c r="O284" s="256"/>
      <c r="P284" s="256"/>
      <c r="Q284" s="55"/>
      <c r="R284" s="55"/>
      <c r="S284" s="55"/>
      <c r="T284" s="256"/>
      <c r="U284" s="256"/>
      <c r="V284" s="256"/>
      <c r="W284" s="69"/>
      <c r="X284" s="69">
        <v>5000</v>
      </c>
      <c r="Y284" s="58" t="s">
        <v>57</v>
      </c>
      <c r="Z284" s="6"/>
    </row>
    <row r="285" spans="1:47" s="11" customFormat="1" ht="19.5" customHeight="1">
      <c r="A285" s="61"/>
      <c r="B285" s="97"/>
      <c r="C285" s="47"/>
      <c r="D285" s="47"/>
      <c r="E285" s="49"/>
      <c r="F285" s="49"/>
      <c r="G285" s="50"/>
      <c r="H285" s="71"/>
      <c r="I285" s="68" t="s">
        <v>328</v>
      </c>
      <c r="J285" s="257"/>
      <c r="K285" s="256"/>
      <c r="L285" s="256"/>
      <c r="M285" s="256"/>
      <c r="N285" s="256"/>
      <c r="O285" s="256"/>
      <c r="P285" s="256"/>
      <c r="Q285" s="55"/>
      <c r="R285" s="55"/>
      <c r="S285" s="55"/>
      <c r="T285" s="256"/>
      <c r="U285" s="256"/>
      <c r="V285" s="256"/>
      <c r="W285" s="69"/>
      <c r="X285" s="69">
        <v>5000</v>
      </c>
      <c r="Y285" s="58" t="s">
        <v>57</v>
      </c>
      <c r="Z285" s="6"/>
    </row>
    <row r="286" spans="1:47" s="11" customFormat="1" ht="19.5" customHeight="1">
      <c r="A286" s="61"/>
      <c r="B286" s="97"/>
      <c r="C286" s="47"/>
      <c r="D286" s="47"/>
      <c r="E286" s="49"/>
      <c r="F286" s="49"/>
      <c r="G286" s="50"/>
      <c r="H286" s="71"/>
      <c r="I286" s="68" t="s">
        <v>329</v>
      </c>
      <c r="J286" s="257"/>
      <c r="K286" s="256"/>
      <c r="L286" s="256"/>
      <c r="M286" s="256"/>
      <c r="N286" s="256"/>
      <c r="O286" s="256"/>
      <c r="P286" s="256"/>
      <c r="Q286" s="55"/>
      <c r="R286" s="55"/>
      <c r="S286" s="55"/>
      <c r="T286" s="256"/>
      <c r="U286" s="256"/>
      <c r="V286" s="256"/>
      <c r="W286" s="69"/>
      <c r="X286" s="69">
        <v>25000</v>
      </c>
      <c r="Y286" s="58" t="s">
        <v>57</v>
      </c>
      <c r="Z286" s="6"/>
    </row>
    <row r="287" spans="1:47" s="11" customFormat="1" ht="19.5" customHeight="1">
      <c r="A287" s="61"/>
      <c r="B287" s="97"/>
      <c r="C287" s="47"/>
      <c r="D287" s="47"/>
      <c r="E287" s="49"/>
      <c r="F287" s="49"/>
      <c r="G287" s="50"/>
      <c r="H287" s="71"/>
      <c r="I287" s="68" t="s">
        <v>342</v>
      </c>
      <c r="J287" s="257"/>
      <c r="K287" s="256"/>
      <c r="L287" s="256"/>
      <c r="M287" s="256"/>
      <c r="N287" s="256"/>
      <c r="O287" s="256"/>
      <c r="P287" s="256"/>
      <c r="Q287" s="55"/>
      <c r="R287" s="55"/>
      <c r="S287" s="55"/>
      <c r="T287" s="256"/>
      <c r="U287" s="256"/>
      <c r="V287" s="256"/>
      <c r="W287" s="69"/>
      <c r="X287" s="69">
        <v>0</v>
      </c>
      <c r="Y287" s="58" t="s">
        <v>57</v>
      </c>
      <c r="Z287" s="6"/>
    </row>
    <row r="288" spans="1:47" s="11" customFormat="1" ht="19.5" customHeight="1">
      <c r="A288" s="61"/>
      <c r="B288" s="97"/>
      <c r="C288" s="47"/>
      <c r="D288" s="47"/>
      <c r="E288" s="49"/>
      <c r="F288" s="49"/>
      <c r="G288" s="50"/>
      <c r="H288" s="71"/>
      <c r="I288" s="68" t="s">
        <v>330</v>
      </c>
      <c r="J288" s="257"/>
      <c r="K288" s="256"/>
      <c r="L288" s="256"/>
      <c r="M288" s="256"/>
      <c r="N288" s="256"/>
      <c r="O288" s="256"/>
      <c r="P288" s="256"/>
      <c r="Q288" s="55"/>
      <c r="R288" s="55"/>
      <c r="S288" s="55"/>
      <c r="T288" s="256"/>
      <c r="U288" s="256"/>
      <c r="V288" s="256"/>
      <c r="W288" s="69"/>
      <c r="X288" s="69">
        <v>20000</v>
      </c>
      <c r="Y288" s="58" t="s">
        <v>57</v>
      </c>
      <c r="Z288" s="6"/>
    </row>
    <row r="289" spans="1:26" s="11" customFormat="1" ht="19.5" customHeight="1">
      <c r="A289" s="61"/>
      <c r="B289" s="97"/>
      <c r="C289" s="47"/>
      <c r="D289" s="47"/>
      <c r="E289" s="49"/>
      <c r="F289" s="49"/>
      <c r="G289" s="50"/>
      <c r="H289" s="71"/>
      <c r="I289" s="68" t="s">
        <v>343</v>
      </c>
      <c r="J289" s="257"/>
      <c r="K289" s="256"/>
      <c r="L289" s="256"/>
      <c r="M289" s="256"/>
      <c r="N289" s="256"/>
      <c r="O289" s="256"/>
      <c r="P289" s="256"/>
      <c r="Q289" s="55"/>
      <c r="R289" s="55"/>
      <c r="S289" s="55"/>
      <c r="T289" s="256"/>
      <c r="U289" s="256"/>
      <c r="V289" s="256"/>
      <c r="W289" s="69"/>
      <c r="X289" s="69">
        <v>30000</v>
      </c>
      <c r="Y289" s="58" t="s">
        <v>57</v>
      </c>
      <c r="Z289" s="6"/>
    </row>
    <row r="290" spans="1:26" s="11" customFormat="1" ht="19.5" customHeight="1">
      <c r="A290" s="61"/>
      <c r="B290" s="97"/>
      <c r="C290" s="47"/>
      <c r="D290" s="47"/>
      <c r="E290" s="49"/>
      <c r="F290" s="49"/>
      <c r="G290" s="50"/>
      <c r="H290" s="71"/>
      <c r="I290" s="68" t="s">
        <v>338</v>
      </c>
      <c r="J290" s="257"/>
      <c r="K290" s="256"/>
      <c r="L290" s="256"/>
      <c r="M290" s="256"/>
      <c r="N290" s="256"/>
      <c r="O290" s="256"/>
      <c r="P290" s="256"/>
      <c r="Q290" s="55"/>
      <c r="R290" s="55"/>
      <c r="S290" s="55"/>
      <c r="T290" s="256"/>
      <c r="U290" s="256"/>
      <c r="V290" s="256"/>
      <c r="W290" s="69"/>
      <c r="X290" s="69">
        <v>5000</v>
      </c>
      <c r="Y290" s="58" t="s">
        <v>57</v>
      </c>
      <c r="Z290" s="6"/>
    </row>
    <row r="291" spans="1:26" s="11" customFormat="1" ht="19.5" customHeight="1">
      <c r="A291" s="61"/>
      <c r="B291" s="97"/>
      <c r="C291" s="47"/>
      <c r="D291" s="47"/>
      <c r="E291" s="49"/>
      <c r="F291" s="49"/>
      <c r="G291" s="50"/>
      <c r="H291" s="71"/>
      <c r="I291" s="68" t="s">
        <v>340</v>
      </c>
      <c r="J291" s="257"/>
      <c r="K291" s="256"/>
      <c r="L291" s="256"/>
      <c r="M291" s="256"/>
      <c r="N291" s="256"/>
      <c r="O291" s="256"/>
      <c r="P291" s="256"/>
      <c r="Q291" s="55"/>
      <c r="R291" s="55"/>
      <c r="S291" s="55"/>
      <c r="T291" s="256"/>
      <c r="U291" s="256"/>
      <c r="V291" s="256"/>
      <c r="W291" s="69"/>
      <c r="X291" s="69">
        <v>10000</v>
      </c>
      <c r="Y291" s="58" t="s">
        <v>57</v>
      </c>
      <c r="Z291" s="6"/>
    </row>
    <row r="292" spans="1:26" s="11" customFormat="1" ht="19.5" customHeight="1">
      <c r="A292" s="61"/>
      <c r="B292" s="97"/>
      <c r="C292" s="47"/>
      <c r="D292" s="47"/>
      <c r="E292" s="49"/>
      <c r="F292" s="49"/>
      <c r="G292" s="50"/>
      <c r="H292" s="71"/>
      <c r="I292" s="68"/>
      <c r="J292" s="257"/>
      <c r="K292" s="256"/>
      <c r="L292" s="256"/>
      <c r="M292" s="256"/>
      <c r="N292" s="256"/>
      <c r="O292" s="256"/>
      <c r="P292" s="256"/>
      <c r="Q292" s="55"/>
      <c r="R292" s="55"/>
      <c r="S292" s="55"/>
      <c r="T292" s="256"/>
      <c r="U292" s="256"/>
      <c r="V292" s="256"/>
      <c r="W292" s="69"/>
      <c r="X292" s="69"/>
      <c r="Y292" s="58"/>
      <c r="Z292" s="6"/>
    </row>
    <row r="293" spans="1:26" s="11" customFormat="1" ht="19.5" customHeight="1">
      <c r="A293" s="61"/>
      <c r="B293" s="97"/>
      <c r="C293" s="37" t="s">
        <v>225</v>
      </c>
      <c r="D293" s="317" t="s">
        <v>365</v>
      </c>
      <c r="E293" s="249">
        <f>E294</f>
        <v>30700</v>
      </c>
      <c r="F293" s="249">
        <f>F294</f>
        <v>31900</v>
      </c>
      <c r="G293" s="250">
        <f t="shared" ref="G293:G294" si="84">F293-E293</f>
        <v>1200</v>
      </c>
      <c r="H293" s="251">
        <f t="shared" ref="H293:H294" si="85">IF(E293=0,0,G293/E293)</f>
        <v>3.9087947882736153E-2</v>
      </c>
      <c r="I293" s="233" t="s">
        <v>344</v>
      </c>
      <c r="J293" s="234"/>
      <c r="K293" s="235"/>
      <c r="L293" s="235"/>
      <c r="M293" s="235"/>
      <c r="N293" s="235"/>
      <c r="O293" s="235"/>
      <c r="P293" s="236"/>
      <c r="Q293" s="236"/>
      <c r="R293" s="236"/>
      <c r="S293" s="236"/>
      <c r="T293" s="236"/>
      <c r="U293" s="236"/>
      <c r="V293" s="270" t="s">
        <v>354</v>
      </c>
      <c r="W293" s="271"/>
      <c r="X293" s="271">
        <f>SUM(X294:X294)</f>
        <v>31900000</v>
      </c>
      <c r="Y293" s="320" t="s">
        <v>345</v>
      </c>
      <c r="Z293" s="6"/>
    </row>
    <row r="294" spans="1:26" s="11" customFormat="1" ht="19.5" customHeight="1">
      <c r="A294" s="61"/>
      <c r="B294" s="97"/>
      <c r="C294" s="47" t="s">
        <v>267</v>
      </c>
      <c r="D294" s="47" t="s">
        <v>268</v>
      </c>
      <c r="E294" s="49">
        <v>30700</v>
      </c>
      <c r="F294" s="49">
        <f>ROUND(X294/1000,0)</f>
        <v>31900</v>
      </c>
      <c r="G294" s="39">
        <f t="shared" si="84"/>
        <v>1200</v>
      </c>
      <c r="H294" s="40">
        <f t="shared" si="85"/>
        <v>3.9087947882736153E-2</v>
      </c>
      <c r="I294" s="160" t="s">
        <v>344</v>
      </c>
      <c r="J294" s="179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742"/>
      <c r="W294" s="742"/>
      <c r="X294" s="162">
        <f>ROUND(SUM(W295:X299),-3)</f>
        <v>31900000</v>
      </c>
      <c r="Y294" s="163" t="s">
        <v>57</v>
      </c>
      <c r="Z294" s="6"/>
    </row>
    <row r="295" spans="1:26" s="11" customFormat="1" ht="19.5" customHeight="1">
      <c r="A295" s="61"/>
      <c r="B295" s="97"/>
      <c r="C295" s="47"/>
      <c r="D295" s="47"/>
      <c r="E295" s="49"/>
      <c r="F295" s="49"/>
      <c r="G295" s="50"/>
      <c r="H295" s="32"/>
      <c r="I295" s="68" t="s">
        <v>353</v>
      </c>
      <c r="J295" s="256"/>
      <c r="K295" s="256"/>
      <c r="L295" s="256"/>
      <c r="M295" s="256">
        <v>50000</v>
      </c>
      <c r="N295" s="256" t="s">
        <v>345</v>
      </c>
      <c r="O295" s="257" t="s">
        <v>346</v>
      </c>
      <c r="P295" s="256">
        <v>33</v>
      </c>
      <c r="Q295" s="257" t="s">
        <v>347</v>
      </c>
      <c r="R295" s="257" t="s">
        <v>346</v>
      </c>
      <c r="S295" s="256">
        <v>12</v>
      </c>
      <c r="T295" s="256" t="s">
        <v>348</v>
      </c>
      <c r="U295" s="289" t="s">
        <v>349</v>
      </c>
      <c r="V295" s="289"/>
      <c r="W295" s="257"/>
      <c r="X295" s="256">
        <f>ROUND(M295*P295*S295,-3)</f>
        <v>19800000</v>
      </c>
      <c r="Y295" s="58" t="s">
        <v>345</v>
      </c>
      <c r="Z295" s="6"/>
    </row>
    <row r="296" spans="1:26" s="11" customFormat="1" ht="19.5" customHeight="1">
      <c r="A296" s="61"/>
      <c r="B296" s="97"/>
      <c r="C296" s="47"/>
      <c r="D296" s="47"/>
      <c r="E296" s="49"/>
      <c r="F296" s="49"/>
      <c r="G296" s="50"/>
      <c r="H296" s="32"/>
      <c r="I296" s="68" t="s">
        <v>350</v>
      </c>
      <c r="J296" s="256"/>
      <c r="K296" s="256"/>
      <c r="L296" s="256"/>
      <c r="M296" s="256">
        <v>50000</v>
      </c>
      <c r="N296" s="256" t="s">
        <v>345</v>
      </c>
      <c r="O296" s="257" t="s">
        <v>346</v>
      </c>
      <c r="P296" s="256">
        <v>12</v>
      </c>
      <c r="Q296" s="257" t="s">
        <v>347</v>
      </c>
      <c r="R296" s="257" t="s">
        <v>346</v>
      </c>
      <c r="S296" s="256">
        <v>12</v>
      </c>
      <c r="T296" s="256" t="s">
        <v>348</v>
      </c>
      <c r="U296" s="289" t="s">
        <v>349</v>
      </c>
      <c r="V296" s="289"/>
      <c r="W296" s="257"/>
      <c r="X296" s="256">
        <f>ROUND(M296*P296*S296,-3)</f>
        <v>7200000</v>
      </c>
      <c r="Y296" s="58" t="s">
        <v>345</v>
      </c>
      <c r="Z296" s="6"/>
    </row>
    <row r="297" spans="1:26" s="11" customFormat="1" ht="19.5" customHeight="1">
      <c r="A297" s="61"/>
      <c r="B297" s="97"/>
      <c r="C297" s="47"/>
      <c r="D297" s="47"/>
      <c r="E297" s="49"/>
      <c r="F297" s="49"/>
      <c r="G297" s="50"/>
      <c r="H297" s="32"/>
      <c r="I297" s="68" t="s">
        <v>351</v>
      </c>
      <c r="J297" s="256"/>
      <c r="K297" s="256"/>
      <c r="L297" s="256"/>
      <c r="M297" s="256">
        <v>150000</v>
      </c>
      <c r="N297" s="256" t="s">
        <v>345</v>
      </c>
      <c r="O297" s="257" t="s">
        <v>346</v>
      </c>
      <c r="P297" s="256">
        <v>12</v>
      </c>
      <c r="Q297" s="257" t="s">
        <v>348</v>
      </c>
      <c r="R297" s="257"/>
      <c r="S297" s="256"/>
      <c r="T297" s="256"/>
      <c r="U297" s="289" t="s">
        <v>349</v>
      </c>
      <c r="V297" s="289"/>
      <c r="W297" s="257"/>
      <c r="X297" s="256">
        <f>M297*P297</f>
        <v>1800000</v>
      </c>
      <c r="Y297" s="58" t="s">
        <v>345</v>
      </c>
      <c r="Z297" s="6"/>
    </row>
    <row r="298" spans="1:26" s="11" customFormat="1" ht="19.5" customHeight="1">
      <c r="A298" s="61"/>
      <c r="B298" s="97"/>
      <c r="C298" s="47"/>
      <c r="D298" s="47"/>
      <c r="E298" s="49"/>
      <c r="F298" s="49"/>
      <c r="G298" s="50"/>
      <c r="H298" s="32"/>
      <c r="I298" s="359" t="s">
        <v>655</v>
      </c>
      <c r="J298" s="347"/>
      <c r="K298" s="347"/>
      <c r="L298" s="347"/>
      <c r="M298" s="347">
        <v>70000</v>
      </c>
      <c r="N298" s="347" t="s">
        <v>635</v>
      </c>
      <c r="O298" s="355" t="s">
        <v>638</v>
      </c>
      <c r="P298" s="347">
        <v>30</v>
      </c>
      <c r="Q298" s="355" t="s">
        <v>656</v>
      </c>
      <c r="R298" s="355"/>
      <c r="S298" s="347"/>
      <c r="T298" s="347"/>
      <c r="U298" s="502" t="s">
        <v>639</v>
      </c>
      <c r="V298" s="502"/>
      <c r="W298" s="355"/>
      <c r="X298" s="347">
        <f>ROUND(M298*P298,-3)</f>
        <v>2100000</v>
      </c>
      <c r="Y298" s="469" t="s">
        <v>635</v>
      </c>
      <c r="Z298" s="6"/>
    </row>
    <row r="299" spans="1:26" s="11" customFormat="1" ht="19.5" customHeight="1">
      <c r="A299" s="61"/>
      <c r="B299" s="97"/>
      <c r="C299" s="47"/>
      <c r="D299" s="47"/>
      <c r="E299" s="49"/>
      <c r="F299" s="49"/>
      <c r="G299" s="50"/>
      <c r="H299" s="32"/>
      <c r="I299" s="68" t="s">
        <v>352</v>
      </c>
      <c r="J299" s="256"/>
      <c r="K299" s="256"/>
      <c r="L299" s="256"/>
      <c r="M299" s="256"/>
      <c r="N299" s="256"/>
      <c r="O299" s="257"/>
      <c r="P299" s="256"/>
      <c r="Q299" s="257"/>
      <c r="R299" s="257"/>
      <c r="S299" s="256"/>
      <c r="T299" s="256"/>
      <c r="U299" s="289"/>
      <c r="V299" s="289"/>
      <c r="W299" s="257"/>
      <c r="X299" s="256">
        <v>1000000</v>
      </c>
      <c r="Y299" s="58" t="s">
        <v>345</v>
      </c>
      <c r="Z299" s="6"/>
    </row>
    <row r="300" spans="1:26" s="11" customFormat="1" ht="19.5" customHeight="1" thickBot="1">
      <c r="A300" s="110"/>
      <c r="B300" s="111"/>
      <c r="C300" s="111"/>
      <c r="D300" s="112"/>
      <c r="E300" s="113"/>
      <c r="F300" s="113"/>
      <c r="G300" s="114"/>
      <c r="H300" s="115"/>
      <c r="I300" s="64"/>
      <c r="J300" s="66"/>
      <c r="K300" s="66"/>
      <c r="L300" s="66"/>
      <c r="M300" s="66"/>
      <c r="N300" s="66"/>
      <c r="O300" s="65"/>
      <c r="P300" s="66"/>
      <c r="Q300" s="65"/>
      <c r="R300" s="65"/>
      <c r="S300" s="66"/>
      <c r="T300" s="66"/>
      <c r="U300" s="116"/>
      <c r="V300" s="116"/>
      <c r="W300" s="65"/>
      <c r="X300" s="66"/>
      <c r="Y300" s="67"/>
      <c r="Z300" s="6"/>
    </row>
    <row r="311" spans="26:26" ht="19.5" customHeight="1">
      <c r="Z311" s="6" t="s">
        <v>65</v>
      </c>
    </row>
  </sheetData>
  <mergeCells count="53">
    <mergeCell ref="V114:W114"/>
    <mergeCell ref="V115:W115"/>
    <mergeCell ref="V62:W62"/>
    <mergeCell ref="V63:W63"/>
    <mergeCell ref="V83:W83"/>
    <mergeCell ref="V84:W84"/>
    <mergeCell ref="V85:W85"/>
    <mergeCell ref="V86:W86"/>
    <mergeCell ref="V113:W113"/>
    <mergeCell ref="V144:W144"/>
    <mergeCell ref="V145:W145"/>
    <mergeCell ref="V146:W146"/>
    <mergeCell ref="V147:W147"/>
    <mergeCell ref="V126:W126"/>
    <mergeCell ref="V127:W127"/>
    <mergeCell ref="A1:D1"/>
    <mergeCell ref="A2:D2"/>
    <mergeCell ref="E2:E3"/>
    <mergeCell ref="A4:D4"/>
    <mergeCell ref="V49:W49"/>
    <mergeCell ref="V21:W21"/>
    <mergeCell ref="V22:W22"/>
    <mergeCell ref="V23:W23"/>
    <mergeCell ref="C244:D244"/>
    <mergeCell ref="V246:W246"/>
    <mergeCell ref="C277:D277"/>
    <mergeCell ref="V279:W279"/>
    <mergeCell ref="F2:F3"/>
    <mergeCell ref="C11:D11"/>
    <mergeCell ref="C172:D172"/>
    <mergeCell ref="C186:D186"/>
    <mergeCell ref="V188:W188"/>
    <mergeCell ref="C193:D193"/>
    <mergeCell ref="G2:H2"/>
    <mergeCell ref="I2:Y3"/>
    <mergeCell ref="V174:W174"/>
    <mergeCell ref="V195:W195"/>
    <mergeCell ref="V50:W50"/>
    <mergeCell ref="V51:W51"/>
    <mergeCell ref="V294:W294"/>
    <mergeCell ref="V181:W181"/>
    <mergeCell ref="Q200:W200"/>
    <mergeCell ref="Q209:W209"/>
    <mergeCell ref="Q216:W216"/>
    <mergeCell ref="Q220:W220"/>
    <mergeCell ref="Q228:W228"/>
    <mergeCell ref="V199:W199"/>
    <mergeCell ref="V249:W249"/>
    <mergeCell ref="V271:W271"/>
    <mergeCell ref="V262:W262"/>
    <mergeCell ref="V266:W266"/>
    <mergeCell ref="V282:W282"/>
    <mergeCell ref="Q213:W21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8"/>
  <sheetViews>
    <sheetView zoomScaleNormal="100" workbookViewId="0">
      <pane xSplit="3" ySplit="5" topLeftCell="M210" activePane="bottomRight" state="frozen"/>
      <selection pane="topRight" activeCell="D1" sqref="D1"/>
      <selection pane="bottomLeft" activeCell="A6" sqref="A6"/>
      <selection pane="bottomRight" activeCell="AG203" sqref="AG203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20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53" t="s">
        <v>928</v>
      </c>
      <c r="B1" s="753"/>
      <c r="C1" s="753"/>
      <c r="D1" s="753"/>
      <c r="E1" s="117"/>
      <c r="F1" s="117"/>
      <c r="G1" s="117"/>
      <c r="H1" s="117"/>
      <c r="I1" s="117"/>
      <c r="J1" s="117"/>
      <c r="K1" s="117"/>
      <c r="L1" s="117"/>
      <c r="M1" s="117"/>
      <c r="N1" s="186"/>
      <c r="O1" s="65"/>
      <c r="P1" s="65"/>
      <c r="Q1" s="65"/>
      <c r="R1" s="65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1"/>
    </row>
    <row r="2" spans="1:32" s="3" customFormat="1" ht="21" customHeight="1">
      <c r="A2" s="754" t="s">
        <v>22</v>
      </c>
      <c r="B2" s="755"/>
      <c r="C2" s="755"/>
      <c r="D2" s="779" t="s">
        <v>646</v>
      </c>
      <c r="E2" s="779" t="s">
        <v>645</v>
      </c>
      <c r="F2" s="781"/>
      <c r="G2" s="781"/>
      <c r="H2" s="781"/>
      <c r="I2" s="781"/>
      <c r="J2" s="781"/>
      <c r="K2" s="781"/>
      <c r="L2" s="782"/>
      <c r="M2" s="748" t="s">
        <v>23</v>
      </c>
      <c r="N2" s="748"/>
      <c r="O2" s="760" t="s">
        <v>54</v>
      </c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2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80"/>
      <c r="E3" s="166" t="s">
        <v>142</v>
      </c>
      <c r="F3" s="201" t="s">
        <v>181</v>
      </c>
      <c r="G3" s="201" t="s">
        <v>182</v>
      </c>
      <c r="H3" s="166" t="s">
        <v>139</v>
      </c>
      <c r="I3" s="166" t="s">
        <v>63</v>
      </c>
      <c r="J3" s="166" t="s">
        <v>137</v>
      </c>
      <c r="K3" s="166" t="s">
        <v>140</v>
      </c>
      <c r="L3" s="166" t="s">
        <v>64</v>
      </c>
      <c r="M3" s="165" t="s">
        <v>143</v>
      </c>
      <c r="N3" s="118" t="s">
        <v>4</v>
      </c>
      <c r="O3" s="763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5"/>
    </row>
    <row r="4" spans="1:32" s="11" customFormat="1" ht="21" customHeight="1">
      <c r="A4" s="777" t="s">
        <v>31</v>
      </c>
      <c r="B4" s="778"/>
      <c r="C4" s="778"/>
      <c r="D4" s="479">
        <f t="shared" ref="D4:L4" si="0">SUM(D5,D195,D224,D363,D377,D380)</f>
        <v>1855031</v>
      </c>
      <c r="E4" s="479">
        <f t="shared" si="0"/>
        <v>2064087.4</v>
      </c>
      <c r="F4" s="479">
        <f t="shared" si="0"/>
        <v>1492799.6440000001</v>
      </c>
      <c r="G4" s="479">
        <f t="shared" si="0"/>
        <v>218014</v>
      </c>
      <c r="H4" s="479">
        <f t="shared" si="0"/>
        <v>22396.682000000001</v>
      </c>
      <c r="I4" s="479">
        <f t="shared" si="0"/>
        <v>138084.4</v>
      </c>
      <c r="J4" s="479">
        <f t="shared" si="0"/>
        <v>103001</v>
      </c>
      <c r="K4" s="479">
        <f t="shared" si="0"/>
        <v>47012</v>
      </c>
      <c r="L4" s="479">
        <f t="shared" si="0"/>
        <v>42780</v>
      </c>
      <c r="M4" s="480">
        <f>E4-D4</f>
        <v>209056.39999999991</v>
      </c>
      <c r="N4" s="481">
        <f>IF(D4=0,0,M4/D4)</f>
        <v>0.11269698457869433</v>
      </c>
      <c r="O4" s="482" t="s">
        <v>546</v>
      </c>
      <c r="P4" s="483"/>
      <c r="Q4" s="483"/>
      <c r="R4" s="483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>
        <f>SUM(AD5,AD195,AD224,AD363,AD377,AD380)</f>
        <v>2064087400</v>
      </c>
      <c r="AE4" s="485" t="s">
        <v>25</v>
      </c>
      <c r="AF4" s="2"/>
    </row>
    <row r="5" spans="1:32" s="11" customFormat="1" ht="21" customHeight="1">
      <c r="A5" s="123" t="s">
        <v>6</v>
      </c>
      <c r="B5" s="775" t="s">
        <v>7</v>
      </c>
      <c r="C5" s="776"/>
      <c r="D5" s="486">
        <f t="shared" ref="D5:L5" si="1">SUM(D6,D100,D112)</f>
        <v>1519387</v>
      </c>
      <c r="E5" s="486">
        <f t="shared" si="1"/>
        <v>1662541</v>
      </c>
      <c r="F5" s="486">
        <f t="shared" si="1"/>
        <v>1387487</v>
      </c>
      <c r="G5" s="486">
        <f t="shared" si="1"/>
        <v>189885</v>
      </c>
      <c r="H5" s="486">
        <f t="shared" si="1"/>
        <v>0</v>
      </c>
      <c r="I5" s="486">
        <f t="shared" si="1"/>
        <v>47812</v>
      </c>
      <c r="J5" s="486">
        <f t="shared" si="1"/>
        <v>1500</v>
      </c>
      <c r="K5" s="486">
        <f t="shared" si="1"/>
        <v>32007</v>
      </c>
      <c r="L5" s="486">
        <f t="shared" si="1"/>
        <v>3850</v>
      </c>
      <c r="M5" s="487">
        <f>E5-D5</f>
        <v>143154</v>
      </c>
      <c r="N5" s="488">
        <f>IF(D5=0,0,M5/D5)</f>
        <v>9.4218260390539085E-2</v>
      </c>
      <c r="O5" s="489" t="s">
        <v>547</v>
      </c>
      <c r="P5" s="489"/>
      <c r="Q5" s="489"/>
      <c r="R5" s="489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>
        <f>SUM(AD6,AD100,AD112)</f>
        <v>1662541000</v>
      </c>
      <c r="AE5" s="491" t="s">
        <v>25</v>
      </c>
      <c r="AF5" s="2"/>
    </row>
    <row r="6" spans="1:32" s="11" customFormat="1" ht="21" customHeight="1">
      <c r="A6" s="46"/>
      <c r="B6" s="37" t="s">
        <v>8</v>
      </c>
      <c r="C6" s="492" t="s">
        <v>5</v>
      </c>
      <c r="D6" s="493">
        <f t="shared" ref="D6:L6" si="2">SUM(D7,D15,D19,D41,D54,D81)</f>
        <v>1430905</v>
      </c>
      <c r="E6" s="493">
        <f t="shared" si="2"/>
        <v>1567140</v>
      </c>
      <c r="F6" s="493">
        <f t="shared" si="2"/>
        <v>1336335</v>
      </c>
      <c r="G6" s="493">
        <f t="shared" si="2"/>
        <v>186285</v>
      </c>
      <c r="H6" s="493">
        <f t="shared" si="2"/>
        <v>0</v>
      </c>
      <c r="I6" s="493">
        <f t="shared" si="2"/>
        <v>13817</v>
      </c>
      <c r="J6" s="493">
        <f t="shared" si="2"/>
        <v>0</v>
      </c>
      <c r="K6" s="493">
        <f t="shared" si="2"/>
        <v>27507</v>
      </c>
      <c r="L6" s="493">
        <f t="shared" si="2"/>
        <v>3196</v>
      </c>
      <c r="M6" s="494">
        <f>E6-D6</f>
        <v>136235</v>
      </c>
      <c r="N6" s="495">
        <f>IF(D6=0,0,M6/D6)</f>
        <v>9.5208976137479431E-2</v>
      </c>
      <c r="O6" s="496" t="s">
        <v>548</v>
      </c>
      <c r="P6" s="496"/>
      <c r="Q6" s="496"/>
      <c r="R6" s="496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>
        <f>SUM(AD7,AD15,AD19,AD41,AD54,AD81)</f>
        <v>1567140000</v>
      </c>
      <c r="AE6" s="49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175">
        <v>821384</v>
      </c>
      <c r="E7" s="125">
        <f>ROUND(AD7/1000,0)</f>
        <v>910633</v>
      </c>
      <c r="F7" s="125">
        <f>기본급/1000</f>
        <v>844114</v>
      </c>
      <c r="G7" s="125">
        <f>기본급7종/1000</f>
        <v>56079</v>
      </c>
      <c r="H7" s="125">
        <v>0</v>
      </c>
      <c r="I7" s="125">
        <v>0</v>
      </c>
      <c r="J7" s="125">
        <v>0</v>
      </c>
      <c r="K7" s="125">
        <f>기본급법인/1000</f>
        <v>10440</v>
      </c>
      <c r="L7" s="125">
        <v>0</v>
      </c>
      <c r="M7" s="124">
        <f>E7-D7</f>
        <v>89249</v>
      </c>
      <c r="N7" s="360">
        <f>IF(D7=0,0,M7/D7)</f>
        <v>0.10865685233703115</v>
      </c>
      <c r="O7" s="127" t="s">
        <v>82</v>
      </c>
      <c r="P7" s="127"/>
      <c r="Q7" s="172"/>
      <c r="R7" s="172"/>
      <c r="S7" s="172"/>
      <c r="T7" s="171"/>
      <c r="U7" s="171"/>
      <c r="V7" s="171"/>
      <c r="W7" s="109" t="s">
        <v>144</v>
      </c>
      <c r="X7" s="109"/>
      <c r="Y7" s="109"/>
      <c r="Z7" s="109"/>
      <c r="AA7" s="109"/>
      <c r="AB7" s="109"/>
      <c r="AC7" s="129"/>
      <c r="AD7" s="129">
        <f>SUM(기본급,기본급7종,기본급법인)</f>
        <v>910633000</v>
      </c>
      <c r="AE7" s="130" t="s">
        <v>57</v>
      </c>
      <c r="AF7" s="1"/>
    </row>
    <row r="8" spans="1:32" s="11" customFormat="1" ht="21" customHeight="1">
      <c r="A8" s="46"/>
      <c r="B8" s="47"/>
      <c r="C8" s="47"/>
      <c r="D8" s="173"/>
      <c r="E8" s="119"/>
      <c r="F8" s="119"/>
      <c r="G8" s="119"/>
      <c r="H8" s="119"/>
      <c r="I8" s="119"/>
      <c r="J8" s="119"/>
      <c r="K8" s="119"/>
      <c r="L8" s="119"/>
      <c r="M8" s="119"/>
      <c r="N8" s="71"/>
      <c r="O8" s="17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173"/>
      <c r="E9" s="119"/>
      <c r="F9" s="119"/>
      <c r="G9" s="119"/>
      <c r="H9" s="119"/>
      <c r="I9" s="119"/>
      <c r="J9" s="119"/>
      <c r="K9" s="119"/>
      <c r="L9" s="119"/>
      <c r="M9" s="119"/>
      <c r="N9" s="71"/>
      <c r="O9" s="635" t="s">
        <v>735</v>
      </c>
      <c r="P9" s="635"/>
      <c r="Q9" s="635"/>
      <c r="R9" s="635"/>
      <c r="S9" s="355"/>
      <c r="T9" s="347"/>
      <c r="U9" s="347"/>
      <c r="V9" s="347"/>
      <c r="W9" s="525" t="s">
        <v>737</v>
      </c>
      <c r="X9" s="525"/>
      <c r="Y9" s="525"/>
      <c r="Z9" s="525"/>
      <c r="AA9" s="525"/>
      <c r="AB9" s="525"/>
      <c r="AC9" s="526"/>
      <c r="AD9" s="526">
        <v>844114000</v>
      </c>
      <c r="AE9" s="527" t="s">
        <v>671</v>
      </c>
      <c r="AF9" s="2"/>
    </row>
    <row r="10" spans="1:32" s="11" customFormat="1" ht="21" customHeight="1">
      <c r="A10" s="46"/>
      <c r="B10" s="47"/>
      <c r="C10" s="47"/>
      <c r="D10" s="173"/>
      <c r="E10" s="119"/>
      <c r="F10" s="119"/>
      <c r="G10" s="119"/>
      <c r="H10" s="119"/>
      <c r="I10" s="119"/>
      <c r="J10" s="119"/>
      <c r="K10" s="119"/>
      <c r="L10" s="119"/>
      <c r="M10" s="119"/>
      <c r="N10" s="71"/>
      <c r="O10" s="647"/>
      <c r="P10" s="647"/>
      <c r="Q10" s="647"/>
      <c r="R10" s="647"/>
      <c r="S10" s="347"/>
      <c r="T10" s="505"/>
      <c r="U10" s="347"/>
      <c r="V10" s="347"/>
      <c r="W10" s="505"/>
      <c r="X10" s="347"/>
      <c r="Y10" s="347"/>
      <c r="Z10" s="347"/>
      <c r="AA10" s="347"/>
      <c r="AB10" s="347"/>
      <c r="AC10" s="347"/>
      <c r="AD10" s="347"/>
      <c r="AE10" s="469"/>
      <c r="AF10" s="1"/>
    </row>
    <row r="11" spans="1:32" s="11" customFormat="1" ht="21" customHeight="1">
      <c r="A11" s="46"/>
      <c r="B11" s="47"/>
      <c r="C11" s="47"/>
      <c r="D11" s="173"/>
      <c r="E11" s="119"/>
      <c r="F11" s="119"/>
      <c r="G11" s="119"/>
      <c r="H11" s="119"/>
      <c r="I11" s="119"/>
      <c r="J11" s="119"/>
      <c r="K11" s="119"/>
      <c r="L11" s="119"/>
      <c r="M11" s="119"/>
      <c r="N11" s="71"/>
      <c r="O11" s="635" t="s">
        <v>738</v>
      </c>
      <c r="P11" s="635"/>
      <c r="Q11" s="635"/>
      <c r="R11" s="635"/>
      <c r="S11" s="355"/>
      <c r="T11" s="347"/>
      <c r="U11" s="347"/>
      <c r="V11" s="347"/>
      <c r="W11" s="525" t="s">
        <v>737</v>
      </c>
      <c r="X11" s="525"/>
      <c r="Y11" s="525"/>
      <c r="Z11" s="525"/>
      <c r="AA11" s="525"/>
      <c r="AB11" s="525"/>
      <c r="AC11" s="526"/>
      <c r="AD11" s="526">
        <v>56079000</v>
      </c>
      <c r="AE11" s="527" t="s">
        <v>671</v>
      </c>
      <c r="AF11" s="1"/>
    </row>
    <row r="12" spans="1:32" s="11" customFormat="1" ht="21" customHeight="1">
      <c r="A12" s="46"/>
      <c r="B12" s="47"/>
      <c r="C12" s="47"/>
      <c r="D12" s="173"/>
      <c r="E12" s="119"/>
      <c r="F12" s="119"/>
      <c r="G12" s="119"/>
      <c r="H12" s="119"/>
      <c r="I12" s="119"/>
      <c r="J12" s="119"/>
      <c r="K12" s="119"/>
      <c r="L12" s="119"/>
      <c r="M12" s="119"/>
      <c r="N12" s="71"/>
      <c r="O12" s="647"/>
      <c r="P12" s="647"/>
      <c r="Q12" s="647"/>
      <c r="R12" s="647"/>
      <c r="S12" s="347"/>
      <c r="T12" s="505"/>
      <c r="U12" s="347"/>
      <c r="V12" s="347"/>
      <c r="W12" s="505"/>
      <c r="X12" s="347"/>
      <c r="Y12" s="347"/>
      <c r="Z12" s="347"/>
      <c r="AA12" s="347"/>
      <c r="AB12" s="347"/>
      <c r="AC12" s="347"/>
      <c r="AD12" s="347"/>
      <c r="AE12" s="469"/>
      <c r="AF12" s="1"/>
    </row>
    <row r="13" spans="1:32" s="11" customFormat="1" ht="21" customHeight="1">
      <c r="A13" s="46"/>
      <c r="B13" s="47"/>
      <c r="C13" s="47"/>
      <c r="D13" s="173"/>
      <c r="E13" s="119"/>
      <c r="F13" s="119"/>
      <c r="G13" s="119"/>
      <c r="H13" s="119"/>
      <c r="I13" s="119"/>
      <c r="J13" s="119"/>
      <c r="K13" s="119"/>
      <c r="L13" s="119"/>
      <c r="M13" s="119"/>
      <c r="N13" s="71"/>
      <c r="O13" s="635" t="s">
        <v>739</v>
      </c>
      <c r="P13" s="635"/>
      <c r="Q13" s="635"/>
      <c r="R13" s="635"/>
      <c r="S13" s="355"/>
      <c r="T13" s="347"/>
      <c r="U13" s="347"/>
      <c r="V13" s="347"/>
      <c r="W13" s="525" t="s">
        <v>737</v>
      </c>
      <c r="X13" s="525"/>
      <c r="Y13" s="525"/>
      <c r="Z13" s="525"/>
      <c r="AA13" s="525"/>
      <c r="AB13" s="525"/>
      <c r="AC13" s="526"/>
      <c r="AD13" s="526">
        <v>10440000</v>
      </c>
      <c r="AE13" s="527" t="s">
        <v>671</v>
      </c>
      <c r="AF13" s="1"/>
    </row>
    <row r="14" spans="1:32" s="11" customFormat="1" ht="21" customHeight="1">
      <c r="A14" s="46"/>
      <c r="B14" s="47"/>
      <c r="C14" s="47"/>
      <c r="D14" s="173"/>
      <c r="E14" s="119"/>
      <c r="F14" s="119"/>
      <c r="G14" s="119"/>
      <c r="H14" s="119"/>
      <c r="I14" s="119"/>
      <c r="J14" s="119"/>
      <c r="K14" s="119"/>
      <c r="L14" s="119"/>
      <c r="M14" s="119"/>
      <c r="N14" s="71"/>
      <c r="O14" s="51"/>
      <c r="P14" s="51"/>
      <c r="Q14" s="51"/>
      <c r="R14" s="51"/>
      <c r="S14" s="51"/>
      <c r="T14" s="52"/>
      <c r="U14" s="52"/>
      <c r="V14" s="167"/>
      <c r="W14" s="167"/>
      <c r="X14" s="167"/>
      <c r="Y14" s="167"/>
      <c r="Z14" s="167"/>
      <c r="AA14" s="167"/>
      <c r="AB14" s="167"/>
      <c r="AC14" s="73"/>
      <c r="AD14" s="73"/>
      <c r="AE14" s="74"/>
      <c r="AF14" s="1"/>
    </row>
    <row r="15" spans="1:32" s="11" customFormat="1" ht="21" customHeight="1">
      <c r="A15" s="46"/>
      <c r="B15" s="47"/>
      <c r="C15" s="37" t="s">
        <v>81</v>
      </c>
      <c r="D15" s="175">
        <v>5400</v>
      </c>
      <c r="E15" s="125">
        <f>ROUND(AD15/1000,0)</f>
        <v>0</v>
      </c>
      <c r="F15" s="125">
        <v>0</v>
      </c>
      <c r="G15" s="125">
        <f>AD15/1000</f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36">
        <f>E15-D15</f>
        <v>-5400</v>
      </c>
      <c r="N15" s="132">
        <f>IF(D15=0,0,M15/D15)</f>
        <v>-1</v>
      </c>
      <c r="O15" s="106" t="s">
        <v>84</v>
      </c>
      <c r="P15" s="190"/>
      <c r="Q15" s="102"/>
      <c r="R15" s="102"/>
      <c r="S15" s="102"/>
      <c r="T15" s="96"/>
      <c r="U15" s="96"/>
      <c r="V15" s="171"/>
      <c r="W15" s="109" t="s">
        <v>144</v>
      </c>
      <c r="X15" s="109"/>
      <c r="Y15" s="109"/>
      <c r="Z15" s="109"/>
      <c r="AA15" s="109"/>
      <c r="AB15" s="109"/>
      <c r="AC15" s="129"/>
      <c r="AD15" s="129">
        <f>SUM(AD17)</f>
        <v>0</v>
      </c>
      <c r="AE15" s="130" t="s">
        <v>57</v>
      </c>
      <c r="AF15" s="1"/>
    </row>
    <row r="16" spans="1:32" s="11" customFormat="1" ht="21" customHeight="1">
      <c r="A16" s="46"/>
      <c r="B16" s="47"/>
      <c r="C16" s="47"/>
      <c r="D16" s="173"/>
      <c r="E16" s="119"/>
      <c r="F16" s="119"/>
      <c r="G16" s="119"/>
      <c r="H16" s="119"/>
      <c r="I16" s="119"/>
      <c r="J16" s="119"/>
      <c r="K16" s="119"/>
      <c r="L16" s="119"/>
      <c r="M16" s="119"/>
      <c r="N16" s="71"/>
      <c r="O16" s="172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53"/>
      <c r="AD16" s="53"/>
      <c r="AE16" s="35"/>
      <c r="AF16" s="1"/>
    </row>
    <row r="17" spans="1:32" s="11" customFormat="1" ht="21" customHeight="1">
      <c r="A17" s="46"/>
      <c r="B17" s="47"/>
      <c r="C17" s="47"/>
      <c r="D17" s="173"/>
      <c r="E17" s="119"/>
      <c r="F17" s="119"/>
      <c r="G17" s="119"/>
      <c r="H17" s="119"/>
      <c r="I17" s="119"/>
      <c r="J17" s="119"/>
      <c r="K17" s="119"/>
      <c r="L17" s="119"/>
      <c r="M17" s="119"/>
      <c r="N17" s="71"/>
      <c r="O17" s="453" t="s">
        <v>518</v>
      </c>
      <c r="P17" s="87"/>
      <c r="Q17" s="51"/>
      <c r="R17" s="51"/>
      <c r="S17" s="138">
        <v>45000</v>
      </c>
      <c r="T17" s="138" t="s">
        <v>57</v>
      </c>
      <c r="U17" s="139" t="s">
        <v>58</v>
      </c>
      <c r="V17" s="138">
        <v>0</v>
      </c>
      <c r="W17" s="138" t="s">
        <v>56</v>
      </c>
      <c r="X17" s="139" t="s">
        <v>58</v>
      </c>
      <c r="Y17" s="464">
        <v>0</v>
      </c>
      <c r="Z17" s="98" t="s">
        <v>105</v>
      </c>
      <c r="AA17" s="98" t="s">
        <v>53</v>
      </c>
      <c r="AB17" s="52"/>
      <c r="AC17" s="69"/>
      <c r="AD17" s="148">
        <f>S17*V17*Y17</f>
        <v>0</v>
      </c>
      <c r="AE17" s="58" t="s">
        <v>83</v>
      </c>
      <c r="AF17" s="1"/>
    </row>
    <row r="18" spans="1:32" s="11" customFormat="1" ht="21" customHeight="1">
      <c r="A18" s="46"/>
      <c r="B18" s="47"/>
      <c r="C18" s="47"/>
      <c r="D18" s="173"/>
      <c r="E18" s="119"/>
      <c r="F18" s="119"/>
      <c r="G18" s="119"/>
      <c r="H18" s="119"/>
      <c r="I18" s="119"/>
      <c r="J18" s="119"/>
      <c r="K18" s="119"/>
      <c r="L18" s="119"/>
      <c r="M18" s="119"/>
      <c r="N18" s="71"/>
      <c r="O18" s="51"/>
      <c r="P18" s="51"/>
      <c r="Q18" s="51"/>
      <c r="R18" s="51"/>
      <c r="S18" s="52"/>
      <c r="T18" s="52"/>
      <c r="U18" s="51"/>
      <c r="V18" s="52"/>
      <c r="W18" s="52"/>
      <c r="X18" s="51"/>
      <c r="Y18" s="99"/>
      <c r="Z18" s="52"/>
      <c r="AA18" s="52"/>
      <c r="AB18" s="52"/>
      <c r="AC18" s="69"/>
      <c r="AD18" s="52"/>
      <c r="AE18" s="58"/>
      <c r="AF18" s="1"/>
    </row>
    <row r="19" spans="1:32" s="11" customFormat="1" ht="21" customHeight="1">
      <c r="A19" s="46"/>
      <c r="B19" s="47"/>
      <c r="C19" s="37" t="s">
        <v>33</v>
      </c>
      <c r="D19" s="175">
        <v>383264</v>
      </c>
      <c r="E19" s="125">
        <f>ROUND(AD19/1000,0)</f>
        <v>415300</v>
      </c>
      <c r="F19" s="125">
        <f>SUM(AD21,AD25,AD29)/1000</f>
        <v>292795</v>
      </c>
      <c r="G19" s="125">
        <f>SUM(AD22,AD26,AD30,AD32)/1000</f>
        <v>113505</v>
      </c>
      <c r="H19" s="125">
        <v>0</v>
      </c>
      <c r="I19" s="125">
        <v>0</v>
      </c>
      <c r="J19" s="125">
        <v>0</v>
      </c>
      <c r="K19" s="125">
        <f>(AD34+AD38)/1000</f>
        <v>9000</v>
      </c>
      <c r="L19" s="125">
        <v>0</v>
      </c>
      <c r="M19" s="124">
        <f>E19-D19</f>
        <v>32036</v>
      </c>
      <c r="N19" s="132">
        <f>IF(D19=0,0,M19/D19)</f>
        <v>8.3587292310261338E-2</v>
      </c>
      <c r="O19" s="106" t="s">
        <v>34</v>
      </c>
      <c r="P19" s="190"/>
      <c r="Q19" s="102"/>
      <c r="R19" s="102"/>
      <c r="S19" s="102"/>
      <c r="T19" s="96"/>
      <c r="U19" s="96"/>
      <c r="V19" s="96"/>
      <c r="W19" s="191" t="s">
        <v>144</v>
      </c>
      <c r="X19" s="191"/>
      <c r="Y19" s="191"/>
      <c r="Z19" s="191"/>
      <c r="AA19" s="191"/>
      <c r="AB19" s="191"/>
      <c r="AC19" s="193"/>
      <c r="AD19" s="193">
        <f>SUM(명절휴가비,가족수당,연장근로수당,AD32,AD34,AD38)</f>
        <v>415300000</v>
      </c>
      <c r="AE19" s="192" t="s">
        <v>57</v>
      </c>
      <c r="AF19" s="1"/>
    </row>
    <row r="20" spans="1:32" s="11" customFormat="1" ht="21" customHeight="1">
      <c r="A20" s="46"/>
      <c r="B20" s="47"/>
      <c r="C20" s="47"/>
      <c r="D20" s="173"/>
      <c r="E20" s="119"/>
      <c r="F20" s="119"/>
      <c r="G20" s="119"/>
      <c r="H20" s="119"/>
      <c r="I20" s="119"/>
      <c r="J20" s="119"/>
      <c r="K20" s="119"/>
      <c r="L20" s="119"/>
      <c r="M20" s="119"/>
      <c r="N20" s="71"/>
      <c r="O20" s="635" t="s">
        <v>740</v>
      </c>
      <c r="P20" s="355"/>
      <c r="Q20" s="355"/>
      <c r="R20" s="355"/>
      <c r="S20" s="355"/>
      <c r="T20" s="347"/>
      <c r="U20" s="347"/>
      <c r="V20" s="347"/>
      <c r="W20" s="525" t="s">
        <v>737</v>
      </c>
      <c r="X20" s="525"/>
      <c r="Y20" s="525"/>
      <c r="Z20" s="525"/>
      <c r="AA20" s="525"/>
      <c r="AB20" s="525"/>
      <c r="AC20" s="526" t="s">
        <v>741</v>
      </c>
      <c r="AD20" s="526">
        <f>ROUND(SUM(AD21:AD22),-3)</f>
        <v>87814000</v>
      </c>
      <c r="AE20" s="527" t="s">
        <v>671</v>
      </c>
      <c r="AF20" s="17"/>
    </row>
    <row r="21" spans="1:32" s="11" customFormat="1" ht="21" customHeight="1">
      <c r="A21" s="46"/>
      <c r="B21" s="47"/>
      <c r="C21" s="47"/>
      <c r="D21" s="173"/>
      <c r="E21" s="119"/>
      <c r="F21" s="119"/>
      <c r="G21" s="119"/>
      <c r="H21" s="119"/>
      <c r="I21" s="119"/>
      <c r="J21" s="119"/>
      <c r="K21" s="119"/>
      <c r="L21" s="119"/>
      <c r="M21" s="119"/>
      <c r="N21" s="71"/>
      <c r="O21" s="355" t="s">
        <v>742</v>
      </c>
      <c r="P21" s="355"/>
      <c r="Q21" s="355"/>
      <c r="R21" s="355"/>
      <c r="S21" s="355"/>
      <c r="T21" s="347"/>
      <c r="U21" s="347"/>
      <c r="V21" s="347"/>
      <c r="W21" s="347"/>
      <c r="X21" s="347"/>
      <c r="Y21" s="347"/>
      <c r="Z21" s="347"/>
      <c r="AA21" s="347"/>
      <c r="AB21" s="347"/>
      <c r="AC21" s="356"/>
      <c r="AD21" s="356">
        <v>83530000</v>
      </c>
      <c r="AE21" s="469" t="s">
        <v>671</v>
      </c>
      <c r="AF21" s="17"/>
    </row>
    <row r="22" spans="1:32" s="11" customFormat="1" ht="21" customHeight="1">
      <c r="A22" s="46"/>
      <c r="B22" s="47"/>
      <c r="C22" s="47"/>
      <c r="D22" s="173"/>
      <c r="E22" s="119"/>
      <c r="F22" s="119"/>
      <c r="G22" s="119"/>
      <c r="H22" s="119"/>
      <c r="I22" s="119"/>
      <c r="J22" s="119"/>
      <c r="K22" s="119"/>
      <c r="L22" s="119"/>
      <c r="M22" s="119"/>
      <c r="N22" s="71"/>
      <c r="O22" s="355" t="s">
        <v>743</v>
      </c>
      <c r="P22" s="355"/>
      <c r="Q22" s="355"/>
      <c r="R22" s="355"/>
      <c r="S22" s="355"/>
      <c r="T22" s="347"/>
      <c r="U22" s="347"/>
      <c r="V22" s="347"/>
      <c r="W22" s="347"/>
      <c r="X22" s="347"/>
      <c r="Y22" s="347"/>
      <c r="Z22" s="347"/>
      <c r="AA22" s="347"/>
      <c r="AB22" s="347"/>
      <c r="AC22" s="356"/>
      <c r="AD22" s="356">
        <v>4284000</v>
      </c>
      <c r="AE22" s="469" t="s">
        <v>671</v>
      </c>
      <c r="AF22" s="17"/>
    </row>
    <row r="23" spans="1:32" s="11" customFormat="1" ht="21" customHeight="1">
      <c r="A23" s="46"/>
      <c r="B23" s="47"/>
      <c r="C23" s="47"/>
      <c r="D23" s="173"/>
      <c r="E23" s="119"/>
      <c r="F23" s="119"/>
      <c r="G23" s="119"/>
      <c r="H23" s="119"/>
      <c r="I23" s="119"/>
      <c r="J23" s="119"/>
      <c r="K23" s="119"/>
      <c r="L23" s="119"/>
      <c r="M23" s="119"/>
      <c r="N23" s="71"/>
      <c r="O23" s="355"/>
      <c r="P23" s="355"/>
      <c r="Q23" s="355"/>
      <c r="R23" s="355"/>
      <c r="S23" s="355"/>
      <c r="T23" s="347"/>
      <c r="U23" s="347"/>
      <c r="V23" s="347"/>
      <c r="W23" s="347"/>
      <c r="X23" s="347"/>
      <c r="Y23" s="347"/>
      <c r="Z23" s="347"/>
      <c r="AA23" s="347"/>
      <c r="AB23" s="347"/>
      <c r="AC23" s="356"/>
      <c r="AD23" s="356"/>
      <c r="AE23" s="469"/>
      <c r="AF23" s="17"/>
    </row>
    <row r="24" spans="1:32" s="11" customFormat="1" ht="21" customHeight="1">
      <c r="A24" s="46"/>
      <c r="B24" s="47"/>
      <c r="C24" s="47"/>
      <c r="D24" s="173"/>
      <c r="E24" s="119"/>
      <c r="F24" s="119"/>
      <c r="G24" s="119"/>
      <c r="H24" s="119"/>
      <c r="I24" s="119"/>
      <c r="J24" s="119"/>
      <c r="K24" s="119"/>
      <c r="L24" s="119"/>
      <c r="M24" s="119"/>
      <c r="N24" s="71"/>
      <c r="O24" s="635" t="s">
        <v>744</v>
      </c>
      <c r="P24" s="355"/>
      <c r="Q24" s="355"/>
      <c r="R24" s="355"/>
      <c r="S24" s="355"/>
      <c r="T24" s="347"/>
      <c r="U24" s="347"/>
      <c r="V24" s="347"/>
      <c r="W24" s="525" t="s">
        <v>737</v>
      </c>
      <c r="X24" s="525"/>
      <c r="Y24" s="525"/>
      <c r="Z24" s="525"/>
      <c r="AA24" s="525"/>
      <c r="AB24" s="525"/>
      <c r="AC24" s="526" t="s">
        <v>741</v>
      </c>
      <c r="AD24" s="526">
        <f>SUM(AD25:AD26)</f>
        <v>7760000</v>
      </c>
      <c r="AE24" s="527" t="s">
        <v>671</v>
      </c>
      <c r="AF24" s="17"/>
    </row>
    <row r="25" spans="1:32" s="11" customFormat="1" ht="21" customHeight="1">
      <c r="A25" s="46"/>
      <c r="B25" s="47"/>
      <c r="C25" s="47"/>
      <c r="D25" s="173"/>
      <c r="E25" s="119"/>
      <c r="F25" s="119"/>
      <c r="G25" s="119"/>
      <c r="H25" s="119"/>
      <c r="I25" s="119"/>
      <c r="J25" s="119"/>
      <c r="K25" s="119"/>
      <c r="L25" s="119"/>
      <c r="M25" s="119"/>
      <c r="N25" s="71"/>
      <c r="O25" s="355" t="s">
        <v>742</v>
      </c>
      <c r="P25" s="355"/>
      <c r="Q25" s="355"/>
      <c r="R25" s="355"/>
      <c r="S25" s="355"/>
      <c r="T25" s="347"/>
      <c r="U25" s="347"/>
      <c r="V25" s="347"/>
      <c r="W25" s="347"/>
      <c r="X25" s="347"/>
      <c r="Y25" s="347"/>
      <c r="Z25" s="347"/>
      <c r="AA25" s="347"/>
      <c r="AB25" s="347"/>
      <c r="AC25" s="356"/>
      <c r="AD25" s="356">
        <v>6480000</v>
      </c>
      <c r="AE25" s="469" t="s">
        <v>671</v>
      </c>
      <c r="AF25" s="17"/>
    </row>
    <row r="26" spans="1:32" s="11" customFormat="1" ht="21" customHeight="1">
      <c r="A26" s="46"/>
      <c r="B26" s="47"/>
      <c r="C26" s="47"/>
      <c r="D26" s="173"/>
      <c r="E26" s="119"/>
      <c r="F26" s="119"/>
      <c r="G26" s="119"/>
      <c r="H26" s="119"/>
      <c r="I26" s="119"/>
      <c r="J26" s="119"/>
      <c r="K26" s="119"/>
      <c r="L26" s="119"/>
      <c r="M26" s="119"/>
      <c r="N26" s="71"/>
      <c r="O26" s="355" t="s">
        <v>743</v>
      </c>
      <c r="P26" s="355"/>
      <c r="Q26" s="355"/>
      <c r="R26" s="355"/>
      <c r="S26" s="355"/>
      <c r="T26" s="347"/>
      <c r="U26" s="347"/>
      <c r="V26" s="347"/>
      <c r="W26" s="347"/>
      <c r="X26" s="347"/>
      <c r="Y26" s="347"/>
      <c r="Z26" s="347"/>
      <c r="AA26" s="347"/>
      <c r="AB26" s="347"/>
      <c r="AC26" s="356"/>
      <c r="AD26" s="356">
        <v>1280000</v>
      </c>
      <c r="AE26" s="469" t="s">
        <v>671</v>
      </c>
      <c r="AF26" s="17"/>
    </row>
    <row r="27" spans="1:32" s="11" customFormat="1" ht="21" customHeight="1">
      <c r="A27" s="46"/>
      <c r="B27" s="47"/>
      <c r="C27" s="47"/>
      <c r="D27" s="173"/>
      <c r="E27" s="119"/>
      <c r="F27" s="119"/>
      <c r="G27" s="119"/>
      <c r="H27" s="119"/>
      <c r="I27" s="119"/>
      <c r="J27" s="119"/>
      <c r="K27" s="119"/>
      <c r="L27" s="119"/>
      <c r="M27" s="119"/>
      <c r="N27" s="71"/>
      <c r="O27" s="355"/>
      <c r="P27" s="355"/>
      <c r="Q27" s="355"/>
      <c r="R27" s="355"/>
      <c r="S27" s="355"/>
      <c r="T27" s="347"/>
      <c r="U27" s="347"/>
      <c r="V27" s="347"/>
      <c r="W27" s="347"/>
      <c r="X27" s="347"/>
      <c r="Y27" s="347"/>
      <c r="Z27" s="347"/>
      <c r="AA27" s="347"/>
      <c r="AB27" s="347"/>
      <c r="AC27" s="356"/>
      <c r="AD27" s="356"/>
      <c r="AE27" s="469"/>
      <c r="AF27" s="17"/>
    </row>
    <row r="28" spans="1:32" s="11" customFormat="1" ht="21" customHeight="1">
      <c r="A28" s="46"/>
      <c r="B28" s="47"/>
      <c r="C28" s="47"/>
      <c r="D28" s="173"/>
      <c r="E28" s="119"/>
      <c r="F28" s="119"/>
      <c r="G28" s="119"/>
      <c r="H28" s="119"/>
      <c r="I28" s="119"/>
      <c r="J28" s="119"/>
      <c r="K28" s="119"/>
      <c r="L28" s="119"/>
      <c r="M28" s="119"/>
      <c r="N28" s="71"/>
      <c r="O28" s="635" t="s">
        <v>745</v>
      </c>
      <c r="P28" s="355"/>
      <c r="Q28" s="355"/>
      <c r="R28" s="355"/>
      <c r="S28" s="355"/>
      <c r="T28" s="347"/>
      <c r="U28" s="347"/>
      <c r="V28" s="347"/>
      <c r="W28" s="525" t="s">
        <v>737</v>
      </c>
      <c r="X28" s="525"/>
      <c r="Y28" s="525"/>
      <c r="Z28" s="525"/>
      <c r="AA28" s="525"/>
      <c r="AB28" s="525"/>
      <c r="AC28" s="526" t="s">
        <v>741</v>
      </c>
      <c r="AD28" s="526">
        <f>ROUND(SUM(AD29:AD30),-3)</f>
        <v>215826000</v>
      </c>
      <c r="AE28" s="527" t="s">
        <v>671</v>
      </c>
      <c r="AF28" s="17"/>
    </row>
    <row r="29" spans="1:32" s="11" customFormat="1" ht="21" customHeight="1">
      <c r="A29" s="46"/>
      <c r="B29" s="47"/>
      <c r="C29" s="47"/>
      <c r="D29" s="173"/>
      <c r="E29" s="119"/>
      <c r="F29" s="119"/>
      <c r="G29" s="119"/>
      <c r="H29" s="119"/>
      <c r="I29" s="119"/>
      <c r="J29" s="119"/>
      <c r="K29" s="119"/>
      <c r="L29" s="119"/>
      <c r="M29" s="119"/>
      <c r="N29" s="71"/>
      <c r="O29" s="355" t="s">
        <v>742</v>
      </c>
      <c r="P29" s="355"/>
      <c r="Q29" s="355"/>
      <c r="R29" s="355"/>
      <c r="S29" s="355"/>
      <c r="T29" s="347"/>
      <c r="U29" s="347"/>
      <c r="V29" s="347"/>
      <c r="W29" s="347"/>
      <c r="X29" s="347"/>
      <c r="Y29" s="347"/>
      <c r="Z29" s="347"/>
      <c r="AA29" s="347"/>
      <c r="AB29" s="347"/>
      <c r="AC29" s="356"/>
      <c r="AD29" s="356">
        <v>202785000</v>
      </c>
      <c r="AE29" s="469" t="s">
        <v>671</v>
      </c>
      <c r="AF29" s="17"/>
    </row>
    <row r="30" spans="1:32" s="11" customFormat="1" ht="21" customHeight="1">
      <c r="A30" s="46"/>
      <c r="B30" s="47"/>
      <c r="C30" s="47"/>
      <c r="D30" s="173"/>
      <c r="E30" s="119"/>
      <c r="F30" s="119"/>
      <c r="G30" s="119"/>
      <c r="H30" s="119"/>
      <c r="I30" s="119"/>
      <c r="J30" s="119"/>
      <c r="K30" s="119"/>
      <c r="L30" s="119"/>
      <c r="M30" s="119"/>
      <c r="N30" s="71"/>
      <c r="O30" s="355" t="s">
        <v>743</v>
      </c>
      <c r="P30" s="355"/>
      <c r="Q30" s="355"/>
      <c r="R30" s="355"/>
      <c r="S30" s="355"/>
      <c r="T30" s="347"/>
      <c r="U30" s="347"/>
      <c r="V30" s="347"/>
      <c r="W30" s="347"/>
      <c r="X30" s="347"/>
      <c r="Y30" s="347"/>
      <c r="Z30" s="347"/>
      <c r="AA30" s="347"/>
      <c r="AB30" s="347"/>
      <c r="AC30" s="356"/>
      <c r="AD30" s="356">
        <v>13041000</v>
      </c>
      <c r="AE30" s="469" t="s">
        <v>671</v>
      </c>
      <c r="AF30" s="17"/>
    </row>
    <row r="31" spans="1:32" s="11" customFormat="1" ht="21" customHeight="1">
      <c r="A31" s="46"/>
      <c r="B31" s="47"/>
      <c r="C31" s="47"/>
      <c r="D31" s="173"/>
      <c r="E31" s="119"/>
      <c r="F31" s="119"/>
      <c r="G31" s="119"/>
      <c r="H31" s="119"/>
      <c r="I31" s="119"/>
      <c r="J31" s="119"/>
      <c r="K31" s="119"/>
      <c r="L31" s="119"/>
      <c r="M31" s="119"/>
      <c r="N31" s="71"/>
      <c r="O31" s="355"/>
      <c r="P31" s="355"/>
      <c r="Q31" s="355"/>
      <c r="R31" s="355"/>
      <c r="S31" s="355"/>
      <c r="T31" s="347"/>
      <c r="U31" s="347"/>
      <c r="V31" s="347"/>
      <c r="W31" s="347"/>
      <c r="X31" s="347"/>
      <c r="Y31" s="347"/>
      <c r="Z31" s="347"/>
      <c r="AA31" s="347"/>
      <c r="AB31" s="347"/>
      <c r="AC31" s="356"/>
      <c r="AD31" s="356"/>
      <c r="AE31" s="469"/>
      <c r="AF31" s="17"/>
    </row>
    <row r="32" spans="1:32" s="11" customFormat="1" ht="21" customHeight="1">
      <c r="A32" s="46"/>
      <c r="B32" s="47"/>
      <c r="C32" s="47"/>
      <c r="D32" s="173"/>
      <c r="E32" s="119"/>
      <c r="F32" s="119"/>
      <c r="G32" s="119"/>
      <c r="H32" s="119"/>
      <c r="I32" s="119"/>
      <c r="J32" s="119"/>
      <c r="K32" s="119"/>
      <c r="L32" s="119"/>
      <c r="M32" s="119"/>
      <c r="N32" s="71"/>
      <c r="O32" s="635" t="s">
        <v>746</v>
      </c>
      <c r="P32" s="355"/>
      <c r="Q32" s="355"/>
      <c r="R32" s="355"/>
      <c r="S32" s="355"/>
      <c r="T32" s="347"/>
      <c r="U32" s="347"/>
      <c r="V32" s="347"/>
      <c r="W32" s="525" t="s">
        <v>737</v>
      </c>
      <c r="X32" s="525"/>
      <c r="Y32" s="525"/>
      <c r="Z32" s="525"/>
      <c r="AA32" s="525"/>
      <c r="AB32" s="525"/>
      <c r="AC32" s="526" t="s">
        <v>741</v>
      </c>
      <c r="AD32" s="526">
        <v>94900000</v>
      </c>
      <c r="AE32" s="527" t="s">
        <v>671</v>
      </c>
      <c r="AF32" s="17"/>
    </row>
    <row r="33" spans="1:32" s="11" customFormat="1" ht="21" customHeight="1">
      <c r="A33" s="46"/>
      <c r="B33" s="47"/>
      <c r="C33" s="47"/>
      <c r="D33" s="173"/>
      <c r="E33" s="119"/>
      <c r="F33" s="119"/>
      <c r="G33" s="119"/>
      <c r="H33" s="119"/>
      <c r="I33" s="119"/>
      <c r="J33" s="119"/>
      <c r="K33" s="119"/>
      <c r="L33" s="119"/>
      <c r="M33" s="119"/>
      <c r="N33" s="71"/>
      <c r="O33" s="355"/>
      <c r="P33" s="355"/>
      <c r="Q33" s="355"/>
      <c r="R33" s="355"/>
      <c r="S33" s="355"/>
      <c r="T33" s="347"/>
      <c r="U33" s="347"/>
      <c r="V33" s="347"/>
      <c r="W33" s="347"/>
      <c r="X33" s="347"/>
      <c r="Y33" s="347"/>
      <c r="Z33" s="347"/>
      <c r="AA33" s="347"/>
      <c r="AB33" s="347"/>
      <c r="AC33" s="356"/>
      <c r="AD33" s="356"/>
      <c r="AE33" s="469"/>
      <c r="AF33" s="17"/>
    </row>
    <row r="34" spans="1:32" s="11" customFormat="1" ht="21" customHeight="1">
      <c r="A34" s="46"/>
      <c r="B34" s="47"/>
      <c r="C34" s="47"/>
      <c r="D34" s="173"/>
      <c r="E34" s="119"/>
      <c r="F34" s="119"/>
      <c r="G34" s="119"/>
      <c r="H34" s="119"/>
      <c r="I34" s="119"/>
      <c r="J34" s="119"/>
      <c r="K34" s="119"/>
      <c r="L34" s="119"/>
      <c r="M34" s="119"/>
      <c r="N34" s="71"/>
      <c r="O34" s="635" t="s">
        <v>747</v>
      </c>
      <c r="P34" s="355"/>
      <c r="Q34" s="355"/>
      <c r="R34" s="355"/>
      <c r="S34" s="355"/>
      <c r="T34" s="347"/>
      <c r="U34" s="347"/>
      <c r="V34" s="347"/>
      <c r="W34" s="525" t="s">
        <v>737</v>
      </c>
      <c r="X34" s="525"/>
      <c r="Y34" s="525"/>
      <c r="Z34" s="525"/>
      <c r="AA34" s="525"/>
      <c r="AB34" s="525"/>
      <c r="AC34" s="526" t="s">
        <v>741</v>
      </c>
      <c r="AD34" s="526">
        <f>SUM(AD35:AD36)</f>
        <v>6600000</v>
      </c>
      <c r="AE34" s="527" t="s">
        <v>671</v>
      </c>
      <c r="AF34" s="17"/>
    </row>
    <row r="35" spans="1:32" s="11" customFormat="1" ht="21" customHeight="1">
      <c r="A35" s="46"/>
      <c r="B35" s="47"/>
      <c r="C35" s="47"/>
      <c r="D35" s="173"/>
      <c r="E35" s="119"/>
      <c r="F35" s="119"/>
      <c r="G35" s="119"/>
      <c r="H35" s="119"/>
      <c r="I35" s="119"/>
      <c r="J35" s="119"/>
      <c r="K35" s="119"/>
      <c r="L35" s="119"/>
      <c r="M35" s="119"/>
      <c r="N35" s="71"/>
      <c r="O35" s="766" t="s">
        <v>748</v>
      </c>
      <c r="P35" s="767"/>
      <c r="Q35" s="347"/>
      <c r="R35" s="347"/>
      <c r="S35" s="347">
        <v>150000</v>
      </c>
      <c r="T35" s="347" t="s">
        <v>671</v>
      </c>
      <c r="U35" s="355" t="s">
        <v>723</v>
      </c>
      <c r="V35" s="347">
        <v>1</v>
      </c>
      <c r="W35" s="347" t="s">
        <v>685</v>
      </c>
      <c r="X35" s="355" t="s">
        <v>723</v>
      </c>
      <c r="Y35" s="626">
        <v>12</v>
      </c>
      <c r="Z35" s="502" t="s">
        <v>29</v>
      </c>
      <c r="AA35" s="502" t="s">
        <v>724</v>
      </c>
      <c r="AB35" s="502"/>
      <c r="AC35" s="355"/>
      <c r="AD35" s="347">
        <f t="shared" ref="AD35:AD36" si="3">S35*V35*Y35</f>
        <v>1800000</v>
      </c>
      <c r="AE35" s="469" t="s">
        <v>671</v>
      </c>
      <c r="AF35" s="17"/>
    </row>
    <row r="36" spans="1:32" s="11" customFormat="1" ht="21" customHeight="1">
      <c r="A36" s="46"/>
      <c r="B36" s="47"/>
      <c r="C36" s="47"/>
      <c r="D36" s="173"/>
      <c r="E36" s="119"/>
      <c r="F36" s="119"/>
      <c r="G36" s="119"/>
      <c r="H36" s="119"/>
      <c r="I36" s="119"/>
      <c r="J36" s="119"/>
      <c r="K36" s="119"/>
      <c r="L36" s="119"/>
      <c r="M36" s="119"/>
      <c r="N36" s="71"/>
      <c r="O36" s="766" t="s">
        <v>749</v>
      </c>
      <c r="P36" s="767"/>
      <c r="Q36" s="347"/>
      <c r="R36" s="347"/>
      <c r="S36" s="347">
        <v>100000</v>
      </c>
      <c r="T36" s="347" t="s">
        <v>671</v>
      </c>
      <c r="U36" s="355" t="s">
        <v>723</v>
      </c>
      <c r="V36" s="347">
        <v>4</v>
      </c>
      <c r="W36" s="347" t="s">
        <v>685</v>
      </c>
      <c r="X36" s="355" t="s">
        <v>723</v>
      </c>
      <c r="Y36" s="626">
        <v>12</v>
      </c>
      <c r="Z36" s="502" t="s">
        <v>672</v>
      </c>
      <c r="AA36" s="502" t="s">
        <v>724</v>
      </c>
      <c r="AB36" s="502"/>
      <c r="AC36" s="355"/>
      <c r="AD36" s="347">
        <f t="shared" si="3"/>
        <v>4800000</v>
      </c>
      <c r="AE36" s="469" t="s">
        <v>671</v>
      </c>
      <c r="AF36" s="17"/>
    </row>
    <row r="37" spans="1:32" s="11" customFormat="1" ht="21" customHeight="1">
      <c r="A37" s="46"/>
      <c r="B37" s="47"/>
      <c r="C37" s="47"/>
      <c r="D37" s="173"/>
      <c r="E37" s="119"/>
      <c r="F37" s="119"/>
      <c r="G37" s="119"/>
      <c r="H37" s="119"/>
      <c r="I37" s="119"/>
      <c r="J37" s="119"/>
      <c r="K37" s="119"/>
      <c r="L37" s="119"/>
      <c r="M37" s="119"/>
      <c r="N37" s="71"/>
      <c r="O37" s="648"/>
      <c r="P37" s="648"/>
      <c r="Q37" s="507"/>
      <c r="R37" s="507"/>
      <c r="S37" s="347"/>
      <c r="T37" s="347"/>
      <c r="U37" s="355"/>
      <c r="V37" s="347"/>
      <c r="W37" s="347"/>
      <c r="X37" s="355"/>
      <c r="Y37" s="626"/>
      <c r="Z37" s="502"/>
      <c r="AA37" s="502"/>
      <c r="AB37" s="502"/>
      <c r="AC37" s="355"/>
      <c r="AD37" s="347"/>
      <c r="AE37" s="469"/>
      <c r="AF37" s="17"/>
    </row>
    <row r="38" spans="1:32" s="11" customFormat="1" ht="21" customHeight="1">
      <c r="A38" s="46"/>
      <c r="B38" s="47"/>
      <c r="C38" s="47"/>
      <c r="D38" s="173"/>
      <c r="E38" s="119"/>
      <c r="F38" s="119"/>
      <c r="G38" s="119"/>
      <c r="H38" s="119"/>
      <c r="I38" s="119"/>
      <c r="J38" s="119"/>
      <c r="K38" s="119"/>
      <c r="L38" s="119"/>
      <c r="M38" s="119"/>
      <c r="N38" s="71"/>
      <c r="O38" s="635" t="s">
        <v>750</v>
      </c>
      <c r="P38" s="355"/>
      <c r="Q38" s="355"/>
      <c r="R38" s="355"/>
      <c r="S38" s="355"/>
      <c r="T38" s="347"/>
      <c r="U38" s="347"/>
      <c r="V38" s="347"/>
      <c r="W38" s="525" t="s">
        <v>737</v>
      </c>
      <c r="X38" s="525"/>
      <c r="Y38" s="525"/>
      <c r="Z38" s="525"/>
      <c r="AA38" s="525"/>
      <c r="AB38" s="525"/>
      <c r="AC38" s="526" t="s">
        <v>741</v>
      </c>
      <c r="AD38" s="526">
        <f>AD39</f>
        <v>2400000</v>
      </c>
      <c r="AE38" s="527" t="s">
        <v>671</v>
      </c>
      <c r="AF38" s="17"/>
    </row>
    <row r="39" spans="1:32" s="11" customFormat="1" ht="21" customHeight="1">
      <c r="A39" s="46"/>
      <c r="B39" s="47"/>
      <c r="C39" s="47"/>
      <c r="D39" s="173"/>
      <c r="E39" s="119"/>
      <c r="F39" s="119"/>
      <c r="G39" s="119"/>
      <c r="H39" s="119"/>
      <c r="I39" s="119"/>
      <c r="J39" s="119"/>
      <c r="K39" s="119"/>
      <c r="L39" s="119"/>
      <c r="M39" s="119"/>
      <c r="N39" s="71"/>
      <c r="O39" s="783" t="s">
        <v>751</v>
      </c>
      <c r="P39" s="784"/>
      <c r="Q39" s="347"/>
      <c r="R39" s="347"/>
      <c r="S39" s="347">
        <v>40000</v>
      </c>
      <c r="T39" s="347" t="s">
        <v>671</v>
      </c>
      <c r="U39" s="355" t="s">
        <v>723</v>
      </c>
      <c r="V39" s="347">
        <v>60</v>
      </c>
      <c r="W39" s="347" t="s">
        <v>729</v>
      </c>
      <c r="X39" s="355" t="s">
        <v>723</v>
      </c>
      <c r="Y39" s="626">
        <v>12</v>
      </c>
      <c r="Z39" s="502" t="s">
        <v>29</v>
      </c>
      <c r="AA39" s="502" t="s">
        <v>724</v>
      </c>
      <c r="AB39" s="502"/>
      <c r="AC39" s="355"/>
      <c r="AD39" s="347">
        <f>S39*V39</f>
        <v>2400000</v>
      </c>
      <c r="AE39" s="469" t="s">
        <v>671</v>
      </c>
      <c r="AF39" s="17"/>
    </row>
    <row r="40" spans="1:32" s="11" customFormat="1" ht="21" customHeight="1">
      <c r="A40" s="46"/>
      <c r="B40" s="47"/>
      <c r="C40" s="47"/>
      <c r="D40" s="173"/>
      <c r="E40" s="119"/>
      <c r="F40" s="119"/>
      <c r="G40" s="119"/>
      <c r="H40" s="119"/>
      <c r="I40" s="119"/>
      <c r="J40" s="119"/>
      <c r="K40" s="119"/>
      <c r="L40" s="119"/>
      <c r="M40" s="119"/>
      <c r="N40" s="71"/>
      <c r="O40" s="355"/>
      <c r="P40" s="355"/>
      <c r="Q40" s="355"/>
      <c r="R40" s="355"/>
      <c r="S40" s="347"/>
      <c r="T40" s="505"/>
      <c r="U40" s="649"/>
      <c r="V40" s="505"/>
      <c r="W40" s="650"/>
      <c r="X40" s="650"/>
      <c r="Y40" s="347"/>
      <c r="Z40" s="347"/>
      <c r="AA40" s="347"/>
      <c r="AB40" s="347"/>
      <c r="AC40" s="347"/>
      <c r="AD40" s="347"/>
      <c r="AE40" s="469"/>
      <c r="AF40" s="17"/>
    </row>
    <row r="41" spans="1:32" s="11" customFormat="1" ht="21" customHeight="1">
      <c r="A41" s="46"/>
      <c r="B41" s="47"/>
      <c r="C41" s="37" t="s">
        <v>9</v>
      </c>
      <c r="D41" s="175">
        <v>100388</v>
      </c>
      <c r="E41" s="125">
        <f>ROUND(AD41/1000,0)</f>
        <v>110495</v>
      </c>
      <c r="F41" s="125">
        <f>AD42/1000</f>
        <v>94742</v>
      </c>
      <c r="G41" s="125">
        <f>AD44/1000</f>
        <v>6224</v>
      </c>
      <c r="H41" s="125">
        <v>0</v>
      </c>
      <c r="I41" s="125">
        <f>AD51/1000</f>
        <v>7909</v>
      </c>
      <c r="J41" s="125">
        <v>0</v>
      </c>
      <c r="K41" s="125">
        <f>AD46/1000</f>
        <v>1620</v>
      </c>
      <c r="L41" s="125">
        <v>0</v>
      </c>
      <c r="M41" s="124">
        <f>E41-D41</f>
        <v>10107</v>
      </c>
      <c r="N41" s="132">
        <f>IF(D41=0,0,M41/D41)</f>
        <v>0.10067936406741841</v>
      </c>
      <c r="O41" s="106" t="s">
        <v>35</v>
      </c>
      <c r="P41" s="190"/>
      <c r="Q41" s="169"/>
      <c r="R41" s="102"/>
      <c r="S41" s="102"/>
      <c r="T41" s="96"/>
      <c r="U41" s="96"/>
      <c r="V41" s="96"/>
      <c r="W41" s="342" t="s">
        <v>399</v>
      </c>
      <c r="X41" s="342"/>
      <c r="Y41" s="342"/>
      <c r="Z41" s="342"/>
      <c r="AA41" s="342"/>
      <c r="AB41" s="342"/>
      <c r="AC41" s="193" t="s">
        <v>400</v>
      </c>
      <c r="AD41" s="193">
        <f>SUM(AD42,AD44,AD46,AD51)</f>
        <v>110495000</v>
      </c>
      <c r="AE41" s="192" t="s">
        <v>401</v>
      </c>
      <c r="AF41" s="2"/>
    </row>
    <row r="42" spans="1:32" s="11" customFormat="1" ht="21" customHeight="1">
      <c r="A42" s="46"/>
      <c r="B42" s="47"/>
      <c r="C42" s="47"/>
      <c r="D42" s="176"/>
      <c r="E42" s="119"/>
      <c r="F42" s="119"/>
      <c r="G42" s="119"/>
      <c r="H42" s="119"/>
      <c r="I42" s="119"/>
      <c r="J42" s="119"/>
      <c r="K42" s="119"/>
      <c r="L42" s="119"/>
      <c r="M42" s="126"/>
      <c r="N42" s="71"/>
      <c r="O42" s="635" t="s">
        <v>752</v>
      </c>
      <c r="P42" s="355"/>
      <c r="Q42" s="355"/>
      <c r="R42" s="355"/>
      <c r="S42" s="355"/>
      <c r="T42" s="347"/>
      <c r="U42" s="347"/>
      <c r="V42" s="347"/>
      <c r="W42" s="525" t="s">
        <v>737</v>
      </c>
      <c r="X42" s="525"/>
      <c r="Y42" s="525"/>
      <c r="Z42" s="525"/>
      <c r="AA42" s="525"/>
      <c r="AB42" s="525"/>
      <c r="AC42" s="526"/>
      <c r="AD42" s="526">
        <f>ROUNDUP(AD43,-3)</f>
        <v>94742000</v>
      </c>
      <c r="AE42" s="527" t="s">
        <v>671</v>
      </c>
      <c r="AF42" s="2"/>
    </row>
    <row r="43" spans="1:32" s="11" customFormat="1" ht="21" customHeight="1">
      <c r="A43" s="46"/>
      <c r="B43" s="47"/>
      <c r="C43" s="47"/>
      <c r="D43" s="176"/>
      <c r="E43" s="119"/>
      <c r="F43" s="119"/>
      <c r="G43" s="119"/>
      <c r="H43" s="119"/>
      <c r="I43" s="119"/>
      <c r="J43" s="119"/>
      <c r="K43" s="119"/>
      <c r="L43" s="119"/>
      <c r="M43" s="126"/>
      <c r="N43" s="71"/>
      <c r="O43" s="355"/>
      <c r="P43" s="355"/>
      <c r="Q43" s="355"/>
      <c r="R43" s="355"/>
      <c r="S43" s="347">
        <f>SUM(AD9,AD21,AD25,AD29)</f>
        <v>1136909000</v>
      </c>
      <c r="T43" s="502" t="s">
        <v>671</v>
      </c>
      <c r="U43" s="502" t="s">
        <v>753</v>
      </c>
      <c r="V43" s="651">
        <v>12</v>
      </c>
      <c r="W43" s="499" t="s">
        <v>672</v>
      </c>
      <c r="X43" s="347"/>
      <c r="Y43" s="347"/>
      <c r="Z43" s="347"/>
      <c r="AA43" s="347" t="s">
        <v>724</v>
      </c>
      <c r="AB43" s="347"/>
      <c r="AC43" s="356"/>
      <c r="AD43" s="356">
        <f>ROUND(S43/V43,-3)</f>
        <v>94742000</v>
      </c>
      <c r="AE43" s="469" t="s">
        <v>671</v>
      </c>
      <c r="AF43" s="2"/>
    </row>
    <row r="44" spans="1:32" s="11" customFormat="1" ht="21" customHeight="1">
      <c r="A44" s="46"/>
      <c r="B44" s="47"/>
      <c r="C44" s="47"/>
      <c r="D44" s="176"/>
      <c r="E44" s="119"/>
      <c r="F44" s="119"/>
      <c r="G44" s="119"/>
      <c r="H44" s="119"/>
      <c r="I44" s="119"/>
      <c r="J44" s="119"/>
      <c r="K44" s="119"/>
      <c r="L44" s="119"/>
      <c r="M44" s="126"/>
      <c r="N44" s="71"/>
      <c r="O44" s="635" t="s">
        <v>754</v>
      </c>
      <c r="P44" s="355"/>
      <c r="Q44" s="355"/>
      <c r="R44" s="355"/>
      <c r="S44" s="355"/>
      <c r="T44" s="347"/>
      <c r="U44" s="347"/>
      <c r="V44" s="347"/>
      <c r="W44" s="525" t="s">
        <v>737</v>
      </c>
      <c r="X44" s="525"/>
      <c r="Y44" s="525"/>
      <c r="Z44" s="525"/>
      <c r="AA44" s="525"/>
      <c r="AB44" s="525"/>
      <c r="AC44" s="526" t="s">
        <v>741</v>
      </c>
      <c r="AD44" s="526">
        <f>ROUND(AD45,-3)</f>
        <v>6224000</v>
      </c>
      <c r="AE44" s="527" t="s">
        <v>671</v>
      </c>
      <c r="AF44" s="2"/>
    </row>
    <row r="45" spans="1:32" s="11" customFormat="1" ht="21" customHeight="1">
      <c r="A45" s="46"/>
      <c r="B45" s="47"/>
      <c r="C45" s="47"/>
      <c r="D45" s="176"/>
      <c r="E45" s="119"/>
      <c r="F45" s="119"/>
      <c r="G45" s="119"/>
      <c r="H45" s="119"/>
      <c r="I45" s="119"/>
      <c r="J45" s="119"/>
      <c r="K45" s="119"/>
      <c r="L45" s="119"/>
      <c r="M45" s="126"/>
      <c r="N45" s="71"/>
      <c r="O45" s="355"/>
      <c r="P45" s="355"/>
      <c r="Q45" s="355"/>
      <c r="R45" s="355"/>
      <c r="S45" s="347">
        <f>SUM(AD11,AD22,AD26,AD30)</f>
        <v>74684000</v>
      </c>
      <c r="T45" s="502" t="s">
        <v>671</v>
      </c>
      <c r="U45" s="502" t="s">
        <v>753</v>
      </c>
      <c r="V45" s="651">
        <v>12</v>
      </c>
      <c r="W45" s="499" t="s">
        <v>672</v>
      </c>
      <c r="X45" s="347"/>
      <c r="Y45" s="347"/>
      <c r="Z45" s="347"/>
      <c r="AA45" s="347" t="s">
        <v>724</v>
      </c>
      <c r="AB45" s="347"/>
      <c r="AC45" s="356"/>
      <c r="AD45" s="356">
        <f>ROUND(S45/V45,-2)</f>
        <v>6223700</v>
      </c>
      <c r="AE45" s="469" t="s">
        <v>671</v>
      </c>
      <c r="AF45" s="2"/>
    </row>
    <row r="46" spans="1:32" s="11" customFormat="1" ht="21" customHeight="1">
      <c r="A46" s="46"/>
      <c r="B46" s="47"/>
      <c r="C46" s="47"/>
      <c r="D46" s="176"/>
      <c r="E46" s="119"/>
      <c r="F46" s="119"/>
      <c r="G46" s="119"/>
      <c r="H46" s="119"/>
      <c r="I46" s="119"/>
      <c r="J46" s="119"/>
      <c r="K46" s="119"/>
      <c r="L46" s="119"/>
      <c r="M46" s="126"/>
      <c r="N46" s="71"/>
      <c r="O46" s="635" t="s">
        <v>755</v>
      </c>
      <c r="P46" s="355"/>
      <c r="Q46" s="355"/>
      <c r="R46" s="355"/>
      <c r="S46" s="355"/>
      <c r="T46" s="347"/>
      <c r="U46" s="347"/>
      <c r="V46" s="347"/>
      <c r="W46" s="525" t="s">
        <v>737</v>
      </c>
      <c r="X46" s="525"/>
      <c r="Y46" s="525"/>
      <c r="Z46" s="525"/>
      <c r="AA46" s="525"/>
      <c r="AB46" s="525"/>
      <c r="AC46" s="526" t="s">
        <v>741</v>
      </c>
      <c r="AD46" s="526">
        <f>SUM(AD47:AD49)</f>
        <v>1620000</v>
      </c>
      <c r="AE46" s="527" t="s">
        <v>671</v>
      </c>
      <c r="AF46" s="2"/>
    </row>
    <row r="47" spans="1:32" s="11" customFormat="1" ht="21" customHeight="1">
      <c r="A47" s="46"/>
      <c r="B47" s="47"/>
      <c r="C47" s="47"/>
      <c r="D47" s="176"/>
      <c r="E47" s="119"/>
      <c r="F47" s="119"/>
      <c r="G47" s="119"/>
      <c r="H47" s="119"/>
      <c r="I47" s="119"/>
      <c r="J47" s="119"/>
      <c r="K47" s="119"/>
      <c r="L47" s="119"/>
      <c r="M47" s="126"/>
      <c r="N47" s="71"/>
      <c r="O47" s="355" t="s">
        <v>756</v>
      </c>
      <c r="P47" s="355"/>
      <c r="Q47" s="355"/>
      <c r="R47" s="355"/>
      <c r="S47" s="347">
        <v>10440000</v>
      </c>
      <c r="T47" s="502" t="s">
        <v>687</v>
      </c>
      <c r="U47" s="502" t="s">
        <v>757</v>
      </c>
      <c r="V47" s="651">
        <v>12</v>
      </c>
      <c r="W47" s="499" t="s">
        <v>758</v>
      </c>
      <c r="X47" s="347"/>
      <c r="Y47" s="347"/>
      <c r="Z47" s="347"/>
      <c r="AA47" s="347" t="s">
        <v>759</v>
      </c>
      <c r="AB47" s="347"/>
      <c r="AC47" s="356"/>
      <c r="AD47" s="356">
        <f>S47/V47</f>
        <v>870000</v>
      </c>
      <c r="AE47" s="469" t="s">
        <v>687</v>
      </c>
      <c r="AF47" s="2"/>
    </row>
    <row r="48" spans="1:32" s="11" customFormat="1" ht="21" customHeight="1">
      <c r="A48" s="46"/>
      <c r="B48" s="47"/>
      <c r="C48" s="47"/>
      <c r="D48" s="176"/>
      <c r="E48" s="119"/>
      <c r="F48" s="119"/>
      <c r="G48" s="119"/>
      <c r="H48" s="119"/>
      <c r="I48" s="119"/>
      <c r="J48" s="119"/>
      <c r="K48" s="119"/>
      <c r="L48" s="119"/>
      <c r="M48" s="126"/>
      <c r="N48" s="71"/>
      <c r="O48" s="355" t="s">
        <v>760</v>
      </c>
      <c r="P48" s="355"/>
      <c r="Q48" s="355"/>
      <c r="R48" s="355"/>
      <c r="S48" s="347">
        <f>AD34</f>
        <v>6600000</v>
      </c>
      <c r="T48" s="502" t="s">
        <v>687</v>
      </c>
      <c r="U48" s="502" t="s">
        <v>757</v>
      </c>
      <c r="V48" s="651">
        <v>12</v>
      </c>
      <c r="W48" s="499" t="s">
        <v>758</v>
      </c>
      <c r="X48" s="347"/>
      <c r="Y48" s="347"/>
      <c r="Z48" s="347"/>
      <c r="AA48" s="347" t="s">
        <v>759</v>
      </c>
      <c r="AB48" s="347"/>
      <c r="AC48" s="356"/>
      <c r="AD48" s="356">
        <f>ROUNDUP(S48/V48,-3)</f>
        <v>550000</v>
      </c>
      <c r="AE48" s="469" t="s">
        <v>687</v>
      </c>
      <c r="AF48" s="2"/>
    </row>
    <row r="49" spans="1:32" s="11" customFormat="1" ht="21" customHeight="1">
      <c r="A49" s="46"/>
      <c r="B49" s="47"/>
      <c r="C49" s="47"/>
      <c r="D49" s="176"/>
      <c r="E49" s="119"/>
      <c r="F49" s="119"/>
      <c r="G49" s="119"/>
      <c r="H49" s="119"/>
      <c r="I49" s="119"/>
      <c r="J49" s="119"/>
      <c r="K49" s="119"/>
      <c r="L49" s="119"/>
      <c r="M49" s="126"/>
      <c r="N49" s="71"/>
      <c r="O49" s="355" t="s">
        <v>761</v>
      </c>
      <c r="P49" s="355"/>
      <c r="Q49" s="355"/>
      <c r="R49" s="355"/>
      <c r="S49" s="347">
        <f>AD39</f>
        <v>2400000</v>
      </c>
      <c r="T49" s="502" t="s">
        <v>687</v>
      </c>
      <c r="U49" s="502" t="s">
        <v>757</v>
      </c>
      <c r="V49" s="651">
        <v>12</v>
      </c>
      <c r="W49" s="499" t="s">
        <v>758</v>
      </c>
      <c r="X49" s="347"/>
      <c r="Y49" s="347"/>
      <c r="Z49" s="347"/>
      <c r="AA49" s="347" t="s">
        <v>759</v>
      </c>
      <c r="AB49" s="347"/>
      <c r="AC49" s="356"/>
      <c r="AD49" s="356">
        <f>ROUNDUP(S49/V49,-3)</f>
        <v>200000</v>
      </c>
      <c r="AE49" s="469" t="s">
        <v>687</v>
      </c>
      <c r="AF49" s="2"/>
    </row>
    <row r="50" spans="1:32" s="11" customFormat="1" ht="21" customHeight="1">
      <c r="A50" s="46"/>
      <c r="B50" s="47"/>
      <c r="C50" s="47"/>
      <c r="D50" s="176"/>
      <c r="E50" s="119"/>
      <c r="F50" s="119"/>
      <c r="G50" s="119"/>
      <c r="H50" s="119"/>
      <c r="I50" s="119"/>
      <c r="J50" s="119"/>
      <c r="K50" s="119"/>
      <c r="L50" s="119"/>
      <c r="M50" s="126"/>
      <c r="N50" s="71"/>
      <c r="O50" s="355"/>
      <c r="P50" s="355"/>
      <c r="Q50" s="355"/>
      <c r="R50" s="355"/>
      <c r="S50" s="347"/>
      <c r="T50" s="502"/>
      <c r="U50" s="502"/>
      <c r="V50" s="651"/>
      <c r="W50" s="499"/>
      <c r="X50" s="347"/>
      <c r="Y50" s="347"/>
      <c r="Z50" s="347"/>
      <c r="AA50" s="347"/>
      <c r="AB50" s="347"/>
      <c r="AC50" s="356"/>
      <c r="AD50" s="356"/>
      <c r="AE50" s="469"/>
      <c r="AF50" s="2"/>
    </row>
    <row r="51" spans="1:32" s="11" customFormat="1" ht="21" customHeight="1">
      <c r="A51" s="46"/>
      <c r="B51" s="47"/>
      <c r="C51" s="47"/>
      <c r="D51" s="176"/>
      <c r="E51" s="119"/>
      <c r="F51" s="119"/>
      <c r="G51" s="119"/>
      <c r="H51" s="119"/>
      <c r="I51" s="119"/>
      <c r="J51" s="119"/>
      <c r="K51" s="119"/>
      <c r="L51" s="119"/>
      <c r="M51" s="126"/>
      <c r="N51" s="71"/>
      <c r="O51" s="635" t="s">
        <v>762</v>
      </c>
      <c r="P51" s="355"/>
      <c r="Q51" s="355"/>
      <c r="R51" s="355"/>
      <c r="S51" s="355"/>
      <c r="T51" s="347"/>
      <c r="U51" s="347"/>
      <c r="V51" s="347"/>
      <c r="W51" s="525" t="s">
        <v>736</v>
      </c>
      <c r="X51" s="525"/>
      <c r="Y51" s="525"/>
      <c r="Z51" s="525"/>
      <c r="AA51" s="525"/>
      <c r="AB51" s="525"/>
      <c r="AC51" s="526" t="s">
        <v>763</v>
      </c>
      <c r="AD51" s="526">
        <f>ROUND(SUM(AD52:AD52),-3)</f>
        <v>7909000</v>
      </c>
      <c r="AE51" s="527" t="s">
        <v>687</v>
      </c>
      <c r="AF51" s="2"/>
    </row>
    <row r="52" spans="1:32" s="11" customFormat="1" ht="21" customHeight="1">
      <c r="A52" s="46"/>
      <c r="B52" s="47"/>
      <c r="C52" s="47"/>
      <c r="D52" s="176"/>
      <c r="E52" s="119"/>
      <c r="F52" s="119"/>
      <c r="G52" s="119"/>
      <c r="H52" s="119"/>
      <c r="I52" s="119"/>
      <c r="J52" s="119"/>
      <c r="K52" s="119"/>
      <c r="L52" s="119"/>
      <c r="M52" s="126"/>
      <c r="N52" s="71"/>
      <c r="O52" s="355" t="s">
        <v>764</v>
      </c>
      <c r="P52" s="355"/>
      <c r="Q52" s="355"/>
      <c r="R52" s="355"/>
      <c r="S52" s="347">
        <f>AD32</f>
        <v>94900000</v>
      </c>
      <c r="T52" s="502" t="s">
        <v>687</v>
      </c>
      <c r="U52" s="502" t="s">
        <v>757</v>
      </c>
      <c r="V52" s="651">
        <v>12</v>
      </c>
      <c r="W52" s="499" t="s">
        <v>758</v>
      </c>
      <c r="X52" s="347"/>
      <c r="Y52" s="347"/>
      <c r="Z52" s="347"/>
      <c r="AA52" s="347" t="s">
        <v>759</v>
      </c>
      <c r="AB52" s="347" t="s">
        <v>688</v>
      </c>
      <c r="AC52" s="356"/>
      <c r="AD52" s="356">
        <f>ROUNDUP(S52/V52,-3)</f>
        <v>7909000</v>
      </c>
      <c r="AE52" s="469" t="s">
        <v>687</v>
      </c>
      <c r="AF52" s="2"/>
    </row>
    <row r="53" spans="1:32" s="11" customFormat="1" ht="21" customHeight="1">
      <c r="A53" s="46"/>
      <c r="B53" s="47"/>
      <c r="C53" s="47"/>
      <c r="D53" s="177"/>
      <c r="E53" s="119"/>
      <c r="F53" s="119"/>
      <c r="G53" s="119"/>
      <c r="H53" s="119"/>
      <c r="I53" s="119"/>
      <c r="J53" s="119"/>
      <c r="K53" s="119"/>
      <c r="L53" s="119"/>
      <c r="M53" s="126"/>
      <c r="N53" s="71"/>
      <c r="O53" s="33"/>
      <c r="P53" s="33"/>
      <c r="Q53" s="33"/>
      <c r="R53" s="33"/>
      <c r="S53" s="33"/>
      <c r="T53" s="34"/>
      <c r="U53" s="34"/>
      <c r="V53" s="34"/>
      <c r="W53" s="34"/>
      <c r="X53" s="34"/>
      <c r="Y53" s="34"/>
      <c r="Z53" s="34"/>
      <c r="AA53" s="34"/>
      <c r="AB53" s="34"/>
      <c r="AC53" s="53"/>
      <c r="AD53" s="53"/>
      <c r="AE53" s="35"/>
      <c r="AF53" s="2"/>
    </row>
    <row r="54" spans="1:32" s="11" customFormat="1" ht="21" customHeight="1">
      <c r="A54" s="46"/>
      <c r="B54" s="47"/>
      <c r="C54" s="135" t="s">
        <v>86</v>
      </c>
      <c r="D54" s="175">
        <v>101162</v>
      </c>
      <c r="E54" s="125">
        <f>ROUND(AD54/1000,0)</f>
        <v>112523</v>
      </c>
      <c r="F54" s="125">
        <f>ROUNDUP(SUM(AD57,AD62,AD67,AD72,AD77),-3)/1000</f>
        <v>104684</v>
      </c>
      <c r="G54" s="125">
        <f>ROUNDUP(SUM(AD58,AD63,AD68,AD73,AD78),-3)/1000</f>
        <v>6877</v>
      </c>
      <c r="H54" s="125">
        <v>0</v>
      </c>
      <c r="I54" s="125">
        <v>0</v>
      </c>
      <c r="J54" s="125">
        <v>0</v>
      </c>
      <c r="K54" s="125">
        <f>ROUNDUP(SUM(AD59,AD64,AD69,AD74,AD79),-3)/1000</f>
        <v>962</v>
      </c>
      <c r="L54" s="125">
        <v>0</v>
      </c>
      <c r="M54" s="136">
        <f>E54-D54</f>
        <v>11361</v>
      </c>
      <c r="N54" s="132">
        <f>IF(D54=0,0,M54/D54)</f>
        <v>0.11230501571736423</v>
      </c>
      <c r="O54" s="106" t="s">
        <v>36</v>
      </c>
      <c r="P54" s="190"/>
      <c r="Q54" s="102"/>
      <c r="R54" s="102"/>
      <c r="S54" s="102"/>
      <c r="T54" s="96"/>
      <c r="U54" s="96"/>
      <c r="V54" s="96"/>
      <c r="W54" s="191" t="s">
        <v>144</v>
      </c>
      <c r="X54" s="191"/>
      <c r="Y54" s="191"/>
      <c r="Z54" s="191"/>
      <c r="AA54" s="191"/>
      <c r="AB54" s="191"/>
      <c r="AC54" s="193"/>
      <c r="AD54" s="193">
        <f>SUM(AD56,AD61,AD66,AD71,AD76)</f>
        <v>112523000</v>
      </c>
      <c r="AE54" s="192" t="s">
        <v>25</v>
      </c>
    </row>
    <row r="55" spans="1:32" s="11" customFormat="1" ht="21" customHeight="1">
      <c r="A55" s="46"/>
      <c r="B55" s="47"/>
      <c r="C55" s="47" t="s">
        <v>145</v>
      </c>
      <c r="D55" s="173"/>
      <c r="E55" s="119"/>
      <c r="F55" s="119"/>
      <c r="G55" s="119"/>
      <c r="H55" s="119"/>
      <c r="I55" s="119"/>
      <c r="J55" s="119"/>
      <c r="K55" s="119"/>
      <c r="L55" s="119"/>
      <c r="M55" s="119"/>
      <c r="N55" s="71"/>
      <c r="O55" s="172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47"/>
      <c r="D56" s="173"/>
      <c r="E56" s="119"/>
      <c r="F56" s="119"/>
      <c r="G56" s="119"/>
      <c r="H56" s="119"/>
      <c r="I56" s="119"/>
      <c r="J56" s="119"/>
      <c r="K56" s="119"/>
      <c r="L56" s="119"/>
      <c r="M56" s="119"/>
      <c r="N56" s="71"/>
      <c r="O56" s="635" t="s">
        <v>765</v>
      </c>
      <c r="P56" s="355"/>
      <c r="Q56" s="355"/>
      <c r="R56" s="355"/>
      <c r="S56" s="355"/>
      <c r="T56" s="347"/>
      <c r="U56" s="347"/>
      <c r="V56" s="347"/>
      <c r="W56" s="525" t="s">
        <v>737</v>
      </c>
      <c r="X56" s="525"/>
      <c r="Y56" s="525"/>
      <c r="Z56" s="525"/>
      <c r="AA56" s="525"/>
      <c r="AB56" s="525"/>
      <c r="AC56" s="526"/>
      <c r="AD56" s="526">
        <f>ROUNDUP(SUM(AD57:AD59),-3)</f>
        <v>54992000</v>
      </c>
      <c r="AE56" s="527" t="s">
        <v>671</v>
      </c>
      <c r="AF56" s="2"/>
    </row>
    <row r="57" spans="1:32" s="11" customFormat="1" ht="21" customHeight="1">
      <c r="A57" s="46"/>
      <c r="B57" s="47"/>
      <c r="C57" s="47"/>
      <c r="D57" s="173"/>
      <c r="E57" s="119"/>
      <c r="F57" s="119"/>
      <c r="G57" s="119"/>
      <c r="H57" s="119"/>
      <c r="I57" s="119"/>
      <c r="J57" s="119"/>
      <c r="K57" s="119"/>
      <c r="L57" s="119"/>
      <c r="M57" s="119"/>
      <c r="N57" s="71"/>
      <c r="O57" s="355" t="s">
        <v>742</v>
      </c>
      <c r="P57" s="355"/>
      <c r="Q57" s="355"/>
      <c r="R57" s="355"/>
      <c r="S57" s="347">
        <f>S43</f>
        <v>1136909000</v>
      </c>
      <c r="T57" s="502" t="s">
        <v>671</v>
      </c>
      <c r="U57" s="499" t="s">
        <v>723</v>
      </c>
      <c r="V57" s="652">
        <v>0.09</v>
      </c>
      <c r="W57" s="502" t="s">
        <v>753</v>
      </c>
      <c r="X57" s="653">
        <v>2</v>
      </c>
      <c r="Y57" s="504"/>
      <c r="Z57" s="504"/>
      <c r="AA57" s="502" t="s">
        <v>724</v>
      </c>
      <c r="AB57" s="347"/>
      <c r="AC57" s="356"/>
      <c r="AD57" s="356">
        <f>ROUND(S57*V57/X57,-3)</f>
        <v>51161000</v>
      </c>
      <c r="AE57" s="469" t="s">
        <v>671</v>
      </c>
      <c r="AF57" s="2"/>
    </row>
    <row r="58" spans="1:32" s="11" customFormat="1" ht="21" customHeight="1">
      <c r="A58" s="46"/>
      <c r="B58" s="47"/>
      <c r="C58" s="47"/>
      <c r="D58" s="173"/>
      <c r="E58" s="119"/>
      <c r="F58" s="119"/>
      <c r="G58" s="119"/>
      <c r="H58" s="119"/>
      <c r="I58" s="119"/>
      <c r="J58" s="119"/>
      <c r="K58" s="119"/>
      <c r="L58" s="119"/>
      <c r="M58" s="119"/>
      <c r="N58" s="71"/>
      <c r="O58" s="355" t="s">
        <v>766</v>
      </c>
      <c r="P58" s="355"/>
      <c r="Q58" s="355"/>
      <c r="R58" s="355"/>
      <c r="S58" s="347">
        <f>S45</f>
        <v>74684000</v>
      </c>
      <c r="T58" s="502" t="s">
        <v>671</v>
      </c>
      <c r="U58" s="499" t="s">
        <v>723</v>
      </c>
      <c r="V58" s="652">
        <v>0.09</v>
      </c>
      <c r="W58" s="502" t="s">
        <v>753</v>
      </c>
      <c r="X58" s="653">
        <v>2</v>
      </c>
      <c r="Y58" s="504"/>
      <c r="Z58" s="504"/>
      <c r="AA58" s="502" t="s">
        <v>724</v>
      </c>
      <c r="AB58" s="347"/>
      <c r="AC58" s="356"/>
      <c r="AD58" s="356">
        <f>ROUND(S58*V58/X58,-3)</f>
        <v>3361000</v>
      </c>
      <c r="AE58" s="469" t="s">
        <v>671</v>
      </c>
      <c r="AF58" s="2"/>
    </row>
    <row r="59" spans="1:32" s="11" customFormat="1" ht="21" customHeight="1">
      <c r="A59" s="46"/>
      <c r="B59" s="47"/>
      <c r="C59" s="47"/>
      <c r="D59" s="173"/>
      <c r="E59" s="119"/>
      <c r="F59" s="119"/>
      <c r="G59" s="119"/>
      <c r="H59" s="119"/>
      <c r="I59" s="119"/>
      <c r="J59" s="119"/>
      <c r="K59" s="119"/>
      <c r="L59" s="119"/>
      <c r="M59" s="119"/>
      <c r="N59" s="71"/>
      <c r="O59" s="355" t="s">
        <v>767</v>
      </c>
      <c r="P59" s="355"/>
      <c r="Q59" s="355"/>
      <c r="R59" s="355"/>
      <c r="S59" s="347">
        <v>10440000</v>
      </c>
      <c r="T59" s="502" t="s">
        <v>687</v>
      </c>
      <c r="U59" s="499" t="s">
        <v>768</v>
      </c>
      <c r="V59" s="652">
        <v>0.09</v>
      </c>
      <c r="W59" s="502" t="s">
        <v>757</v>
      </c>
      <c r="X59" s="653">
        <v>2</v>
      </c>
      <c r="Y59" s="504"/>
      <c r="Z59" s="504"/>
      <c r="AA59" s="502" t="s">
        <v>759</v>
      </c>
      <c r="AB59" s="347"/>
      <c r="AC59" s="356"/>
      <c r="AD59" s="356">
        <f t="shared" ref="AD59" si="4">ROUND(S59*V59/X59,-3)</f>
        <v>470000</v>
      </c>
      <c r="AE59" s="469" t="s">
        <v>687</v>
      </c>
      <c r="AF59" s="2"/>
    </row>
    <row r="60" spans="1:32" s="11" customFormat="1" ht="21" customHeight="1">
      <c r="A60" s="46"/>
      <c r="B60" s="47"/>
      <c r="C60" s="47"/>
      <c r="D60" s="173"/>
      <c r="E60" s="119"/>
      <c r="F60" s="119"/>
      <c r="G60" s="119"/>
      <c r="H60" s="119"/>
      <c r="I60" s="119"/>
      <c r="J60" s="119"/>
      <c r="K60" s="119"/>
      <c r="L60" s="119"/>
      <c r="M60" s="119"/>
      <c r="N60" s="71"/>
      <c r="O60" s="355"/>
      <c r="P60" s="355"/>
      <c r="Q60" s="355"/>
      <c r="R60" s="355"/>
      <c r="S60" s="355"/>
      <c r="T60" s="347"/>
      <c r="U60" s="347"/>
      <c r="V60" s="347"/>
      <c r="W60" s="347"/>
      <c r="X60" s="347"/>
      <c r="Y60" s="347"/>
      <c r="Z60" s="347"/>
      <c r="AA60" s="347"/>
      <c r="AB60" s="347"/>
      <c r="AC60" s="356"/>
      <c r="AD60" s="356"/>
      <c r="AE60" s="469"/>
      <c r="AF60" s="2"/>
    </row>
    <row r="61" spans="1:32" s="11" customFormat="1" ht="21" customHeight="1">
      <c r="A61" s="46"/>
      <c r="B61" s="47"/>
      <c r="C61" s="47"/>
      <c r="D61" s="173"/>
      <c r="E61" s="119"/>
      <c r="F61" s="119"/>
      <c r="G61" s="119"/>
      <c r="H61" s="119"/>
      <c r="I61" s="119"/>
      <c r="J61" s="119"/>
      <c r="K61" s="119"/>
      <c r="L61" s="119"/>
      <c r="M61" s="119"/>
      <c r="N61" s="71"/>
      <c r="O61" s="635" t="s">
        <v>769</v>
      </c>
      <c r="P61" s="355"/>
      <c r="Q61" s="355"/>
      <c r="R61" s="355"/>
      <c r="S61" s="355"/>
      <c r="T61" s="347"/>
      <c r="U61" s="347"/>
      <c r="V61" s="347"/>
      <c r="W61" s="525" t="s">
        <v>736</v>
      </c>
      <c r="X61" s="525"/>
      <c r="Y61" s="525"/>
      <c r="Z61" s="525"/>
      <c r="AA61" s="525"/>
      <c r="AB61" s="525"/>
      <c r="AC61" s="526" t="s">
        <v>763</v>
      </c>
      <c r="AD61" s="526">
        <f>ROUNDUP(SUM(AD62:AD64),-3)</f>
        <v>37089000</v>
      </c>
      <c r="AE61" s="527" t="s">
        <v>687</v>
      </c>
      <c r="AF61" s="2"/>
    </row>
    <row r="62" spans="1:32" s="11" customFormat="1" ht="21" customHeight="1">
      <c r="A62" s="46"/>
      <c r="B62" s="47"/>
      <c r="C62" s="47"/>
      <c r="D62" s="173"/>
      <c r="E62" s="119"/>
      <c r="F62" s="119"/>
      <c r="G62" s="119"/>
      <c r="H62" s="119"/>
      <c r="I62" s="119"/>
      <c r="J62" s="119"/>
      <c r="K62" s="119"/>
      <c r="L62" s="119"/>
      <c r="M62" s="119"/>
      <c r="N62" s="71"/>
      <c r="O62" s="355" t="s">
        <v>770</v>
      </c>
      <c r="P62" s="355"/>
      <c r="Q62" s="355"/>
      <c r="R62" s="355"/>
      <c r="S62" s="347">
        <f>S57</f>
        <v>1136909000</v>
      </c>
      <c r="T62" s="502" t="s">
        <v>687</v>
      </c>
      <c r="U62" s="499" t="s">
        <v>768</v>
      </c>
      <c r="V62" s="654">
        <v>6.0699999999999997E-2</v>
      </c>
      <c r="W62" s="502" t="s">
        <v>757</v>
      </c>
      <c r="X62" s="655">
        <v>2</v>
      </c>
      <c r="Y62" s="504"/>
      <c r="Z62" s="504"/>
      <c r="AA62" s="502" t="s">
        <v>759</v>
      </c>
      <c r="AB62" s="347"/>
      <c r="AC62" s="356"/>
      <c r="AD62" s="356">
        <f>ROUND(S62*V62/X62,-3)</f>
        <v>34505000</v>
      </c>
      <c r="AE62" s="469" t="s">
        <v>687</v>
      </c>
      <c r="AF62" s="2"/>
    </row>
    <row r="63" spans="1:32" s="11" customFormat="1" ht="21" customHeight="1">
      <c r="A63" s="46"/>
      <c r="B63" s="47"/>
      <c r="C63" s="47"/>
      <c r="D63" s="173"/>
      <c r="E63" s="119"/>
      <c r="F63" s="119"/>
      <c r="G63" s="119"/>
      <c r="H63" s="119"/>
      <c r="I63" s="119"/>
      <c r="J63" s="119"/>
      <c r="K63" s="119"/>
      <c r="L63" s="119"/>
      <c r="M63" s="119"/>
      <c r="N63" s="71"/>
      <c r="O63" s="355" t="s">
        <v>771</v>
      </c>
      <c r="P63" s="355"/>
      <c r="Q63" s="355"/>
      <c r="R63" s="355"/>
      <c r="S63" s="347">
        <f>S58</f>
        <v>74684000</v>
      </c>
      <c r="T63" s="347" t="s">
        <v>25</v>
      </c>
      <c r="U63" s="502" t="s">
        <v>26</v>
      </c>
      <c r="V63" s="654">
        <v>6.0699999999999997E-2</v>
      </c>
      <c r="W63" s="347" t="s">
        <v>160</v>
      </c>
      <c r="X63" s="502">
        <v>2</v>
      </c>
      <c r="Y63" s="347"/>
      <c r="Z63" s="347"/>
      <c r="AA63" s="347" t="s">
        <v>27</v>
      </c>
      <c r="AB63" s="347"/>
      <c r="AC63" s="356"/>
      <c r="AD63" s="356">
        <f>ROUND(S63*V63/X63,-3)</f>
        <v>2267000</v>
      </c>
      <c r="AE63" s="469" t="s">
        <v>687</v>
      </c>
      <c r="AF63" s="2"/>
    </row>
    <row r="64" spans="1:32" s="11" customFormat="1" ht="21" customHeight="1">
      <c r="A64" s="46"/>
      <c r="B64" s="47"/>
      <c r="C64" s="47"/>
      <c r="D64" s="173"/>
      <c r="E64" s="119"/>
      <c r="F64" s="119"/>
      <c r="G64" s="119"/>
      <c r="H64" s="119"/>
      <c r="I64" s="119"/>
      <c r="J64" s="119"/>
      <c r="K64" s="119"/>
      <c r="L64" s="119"/>
      <c r="M64" s="119"/>
      <c r="N64" s="71"/>
      <c r="O64" s="355" t="s">
        <v>772</v>
      </c>
      <c r="P64" s="355"/>
      <c r="Q64" s="355"/>
      <c r="R64" s="355"/>
      <c r="S64" s="347">
        <v>10440000</v>
      </c>
      <c r="T64" s="347" t="s">
        <v>25</v>
      </c>
      <c r="U64" s="502" t="s">
        <v>26</v>
      </c>
      <c r="V64" s="654">
        <v>6.0699999999999997E-2</v>
      </c>
      <c r="W64" s="347" t="s">
        <v>160</v>
      </c>
      <c r="X64" s="502">
        <v>2</v>
      </c>
      <c r="Y64" s="347"/>
      <c r="Z64" s="347"/>
      <c r="AA64" s="347" t="s">
        <v>27</v>
      </c>
      <c r="AB64" s="347"/>
      <c r="AC64" s="356"/>
      <c r="AD64" s="356">
        <f>ROUND(S64*V64/X64,-3)</f>
        <v>317000</v>
      </c>
      <c r="AE64" s="469" t="s">
        <v>687</v>
      </c>
      <c r="AF64" s="2"/>
    </row>
    <row r="65" spans="1:32" s="11" customFormat="1" ht="21" customHeight="1">
      <c r="A65" s="46"/>
      <c r="B65" s="47"/>
      <c r="C65" s="47"/>
      <c r="D65" s="173"/>
      <c r="E65" s="119"/>
      <c r="F65" s="119"/>
      <c r="G65" s="119"/>
      <c r="H65" s="119"/>
      <c r="I65" s="119"/>
      <c r="J65" s="119"/>
      <c r="K65" s="119"/>
      <c r="L65" s="119"/>
      <c r="M65" s="119"/>
      <c r="N65" s="71"/>
      <c r="O65" s="355"/>
      <c r="P65" s="355"/>
      <c r="Q65" s="355"/>
      <c r="R65" s="355"/>
      <c r="S65" s="355"/>
      <c r="T65" s="347"/>
      <c r="U65" s="347"/>
      <c r="V65" s="347"/>
      <c r="W65" s="347"/>
      <c r="X65" s="347"/>
      <c r="Y65" s="347"/>
      <c r="Z65" s="347"/>
      <c r="AA65" s="347"/>
      <c r="AB65" s="347"/>
      <c r="AC65" s="356"/>
      <c r="AD65" s="356"/>
      <c r="AE65" s="469"/>
      <c r="AF65" s="2"/>
    </row>
    <row r="66" spans="1:32" s="11" customFormat="1" ht="21" customHeight="1">
      <c r="A66" s="46"/>
      <c r="B66" s="47"/>
      <c r="C66" s="47"/>
      <c r="D66" s="173"/>
      <c r="E66" s="119"/>
      <c r="F66" s="119"/>
      <c r="G66" s="119"/>
      <c r="H66" s="119"/>
      <c r="I66" s="119"/>
      <c r="J66" s="119"/>
      <c r="K66" s="119"/>
      <c r="L66" s="119"/>
      <c r="M66" s="119"/>
      <c r="N66" s="71"/>
      <c r="O66" s="635" t="s">
        <v>773</v>
      </c>
      <c r="P66" s="355"/>
      <c r="Q66" s="355"/>
      <c r="R66" s="355"/>
      <c r="S66" s="355"/>
      <c r="T66" s="347"/>
      <c r="U66" s="347"/>
      <c r="V66" s="347"/>
      <c r="W66" s="525" t="s">
        <v>736</v>
      </c>
      <c r="X66" s="525"/>
      <c r="Y66" s="525"/>
      <c r="Z66" s="525"/>
      <c r="AA66" s="525"/>
      <c r="AB66" s="525"/>
      <c r="AC66" s="526" t="s">
        <v>763</v>
      </c>
      <c r="AD66" s="526">
        <f>ROUNDUP(SUM(AD67:AD69),-3)</f>
        <v>2429000</v>
      </c>
      <c r="AE66" s="527" t="s">
        <v>687</v>
      </c>
      <c r="AF66" s="2"/>
    </row>
    <row r="67" spans="1:32" s="11" customFormat="1" ht="21" customHeight="1">
      <c r="A67" s="46"/>
      <c r="B67" s="47"/>
      <c r="C67" s="47"/>
      <c r="D67" s="173"/>
      <c r="E67" s="119"/>
      <c r="F67" s="119"/>
      <c r="G67" s="119"/>
      <c r="H67" s="119"/>
      <c r="I67" s="119"/>
      <c r="J67" s="119"/>
      <c r="K67" s="119"/>
      <c r="L67" s="119"/>
      <c r="M67" s="119"/>
      <c r="N67" s="71"/>
      <c r="O67" s="355" t="s">
        <v>770</v>
      </c>
      <c r="P67" s="355"/>
      <c r="Q67" s="355"/>
      <c r="R67" s="355"/>
      <c r="S67" s="656">
        <f>AD62</f>
        <v>34505000</v>
      </c>
      <c r="T67" s="502" t="s">
        <v>687</v>
      </c>
      <c r="U67" s="499" t="s">
        <v>768</v>
      </c>
      <c r="V67" s="654">
        <v>6.5500000000000003E-2</v>
      </c>
      <c r="W67" s="499"/>
      <c r="X67" s="503"/>
      <c r="Y67" s="504"/>
      <c r="Z67" s="504"/>
      <c r="AA67" s="502" t="s">
        <v>759</v>
      </c>
      <c r="AB67" s="347"/>
      <c r="AC67" s="356"/>
      <c r="AD67" s="356">
        <f>ROUND(S67*V67,-3)</f>
        <v>2260000</v>
      </c>
      <c r="AE67" s="469" t="s">
        <v>687</v>
      </c>
      <c r="AF67" s="2"/>
    </row>
    <row r="68" spans="1:32" s="11" customFormat="1" ht="21" customHeight="1">
      <c r="A68" s="46"/>
      <c r="B68" s="47"/>
      <c r="C68" s="47"/>
      <c r="D68" s="173"/>
      <c r="E68" s="119"/>
      <c r="F68" s="119"/>
      <c r="G68" s="119"/>
      <c r="H68" s="119"/>
      <c r="I68" s="119"/>
      <c r="J68" s="119"/>
      <c r="K68" s="119"/>
      <c r="L68" s="119"/>
      <c r="M68" s="119"/>
      <c r="N68" s="71"/>
      <c r="O68" s="355" t="s">
        <v>771</v>
      </c>
      <c r="P68" s="355"/>
      <c r="Q68" s="355"/>
      <c r="R68" s="355"/>
      <c r="S68" s="656">
        <f>AD63</f>
        <v>2267000</v>
      </c>
      <c r="T68" s="502" t="s">
        <v>687</v>
      </c>
      <c r="U68" s="499" t="s">
        <v>768</v>
      </c>
      <c r="V68" s="654">
        <v>6.5500000000000003E-2</v>
      </c>
      <c r="W68" s="499"/>
      <c r="X68" s="503"/>
      <c r="Y68" s="504"/>
      <c r="Z68" s="504"/>
      <c r="AA68" s="502" t="s">
        <v>759</v>
      </c>
      <c r="AB68" s="347"/>
      <c r="AC68" s="356"/>
      <c r="AD68" s="356">
        <f>ROUND(S68*V68,-3)</f>
        <v>148000</v>
      </c>
      <c r="AE68" s="469" t="s">
        <v>687</v>
      </c>
      <c r="AF68" s="2"/>
    </row>
    <row r="69" spans="1:32" s="11" customFormat="1" ht="21" customHeight="1">
      <c r="A69" s="46"/>
      <c r="B69" s="47"/>
      <c r="C69" s="47"/>
      <c r="D69" s="173"/>
      <c r="E69" s="119"/>
      <c r="F69" s="119"/>
      <c r="G69" s="119"/>
      <c r="H69" s="119"/>
      <c r="I69" s="119"/>
      <c r="J69" s="119"/>
      <c r="K69" s="119"/>
      <c r="L69" s="119"/>
      <c r="M69" s="119"/>
      <c r="N69" s="71"/>
      <c r="O69" s="355" t="s">
        <v>772</v>
      </c>
      <c r="P69" s="355"/>
      <c r="Q69" s="355"/>
      <c r="R69" s="355"/>
      <c r="S69" s="656">
        <f>AD64</f>
        <v>317000</v>
      </c>
      <c r="T69" s="502" t="s">
        <v>687</v>
      </c>
      <c r="U69" s="499" t="s">
        <v>768</v>
      </c>
      <c r="V69" s="654">
        <v>6.5500000000000003E-2</v>
      </c>
      <c r="W69" s="499"/>
      <c r="X69" s="503"/>
      <c r="Y69" s="504"/>
      <c r="Z69" s="504"/>
      <c r="AA69" s="502" t="s">
        <v>759</v>
      </c>
      <c r="AB69" s="347"/>
      <c r="AC69" s="356"/>
      <c r="AD69" s="356">
        <f>ROUND(S69*V69,-3)</f>
        <v>21000</v>
      </c>
      <c r="AE69" s="469" t="s">
        <v>687</v>
      </c>
      <c r="AF69" s="2"/>
    </row>
    <row r="70" spans="1:32" s="11" customFormat="1" ht="21" customHeight="1">
      <c r="A70" s="46"/>
      <c r="B70" s="47"/>
      <c r="C70" s="47"/>
      <c r="D70" s="173"/>
      <c r="E70" s="119"/>
      <c r="F70" s="119"/>
      <c r="G70" s="119"/>
      <c r="H70" s="119"/>
      <c r="I70" s="119"/>
      <c r="J70" s="119"/>
      <c r="K70" s="119"/>
      <c r="L70" s="119"/>
      <c r="M70" s="119"/>
      <c r="N70" s="71"/>
      <c r="O70" s="355"/>
      <c r="P70" s="355"/>
      <c r="Q70" s="355"/>
      <c r="R70" s="355"/>
      <c r="S70" s="355"/>
      <c r="T70" s="347"/>
      <c r="U70" s="347"/>
      <c r="V70" s="347"/>
      <c r="W70" s="347"/>
      <c r="X70" s="347"/>
      <c r="Y70" s="347"/>
      <c r="Z70" s="347"/>
      <c r="AA70" s="347"/>
      <c r="AB70" s="347"/>
      <c r="AC70" s="356"/>
      <c r="AD70" s="356"/>
      <c r="AE70" s="469"/>
      <c r="AF70" s="2"/>
    </row>
    <row r="71" spans="1:32" s="11" customFormat="1" ht="21" customHeight="1">
      <c r="A71" s="46"/>
      <c r="B71" s="47"/>
      <c r="C71" s="47"/>
      <c r="D71" s="173"/>
      <c r="E71" s="119"/>
      <c r="F71" s="119"/>
      <c r="G71" s="119"/>
      <c r="H71" s="119"/>
      <c r="I71" s="119"/>
      <c r="J71" s="119"/>
      <c r="K71" s="119"/>
      <c r="L71" s="119"/>
      <c r="M71" s="119"/>
      <c r="N71" s="71"/>
      <c r="O71" s="635" t="s">
        <v>774</v>
      </c>
      <c r="P71" s="355"/>
      <c r="Q71" s="355"/>
      <c r="R71" s="355"/>
      <c r="S71" s="355"/>
      <c r="T71" s="347"/>
      <c r="U71" s="347"/>
      <c r="V71" s="347"/>
      <c r="W71" s="525" t="s">
        <v>736</v>
      </c>
      <c r="X71" s="525"/>
      <c r="Y71" s="525"/>
      <c r="Z71" s="525"/>
      <c r="AA71" s="525"/>
      <c r="AB71" s="525"/>
      <c r="AC71" s="526" t="s">
        <v>763</v>
      </c>
      <c r="AD71" s="526">
        <f>ROUNDUP(SUM(AD72:AD74),-3)</f>
        <v>10998000</v>
      </c>
      <c r="AE71" s="527" t="s">
        <v>687</v>
      </c>
      <c r="AF71" s="2"/>
    </row>
    <row r="72" spans="1:32" s="11" customFormat="1" ht="21" customHeight="1">
      <c r="A72" s="46"/>
      <c r="B72" s="47"/>
      <c r="C72" s="47"/>
      <c r="D72" s="173"/>
      <c r="E72" s="119"/>
      <c r="F72" s="119"/>
      <c r="G72" s="119"/>
      <c r="H72" s="119"/>
      <c r="I72" s="119"/>
      <c r="J72" s="119"/>
      <c r="K72" s="119"/>
      <c r="L72" s="119"/>
      <c r="M72" s="119"/>
      <c r="N72" s="71"/>
      <c r="O72" s="355" t="s">
        <v>770</v>
      </c>
      <c r="P72" s="355"/>
      <c r="Q72" s="355"/>
      <c r="R72" s="355"/>
      <c r="S72" s="347">
        <f>S62</f>
        <v>1136909000</v>
      </c>
      <c r="T72" s="502" t="s">
        <v>687</v>
      </c>
      <c r="U72" s="499" t="s">
        <v>768</v>
      </c>
      <c r="V72" s="654">
        <v>8.9999999999999993E-3</v>
      </c>
      <c r="W72" s="499"/>
      <c r="X72" s="503"/>
      <c r="Y72" s="504"/>
      <c r="Z72" s="504"/>
      <c r="AA72" s="502" t="s">
        <v>759</v>
      </c>
      <c r="AB72" s="347"/>
      <c r="AC72" s="356"/>
      <c r="AD72" s="356">
        <f>ROUND(S72*V72,-3)</f>
        <v>10232000</v>
      </c>
      <c r="AE72" s="469" t="s">
        <v>687</v>
      </c>
      <c r="AF72" s="2"/>
    </row>
    <row r="73" spans="1:32" s="11" customFormat="1" ht="21" customHeight="1">
      <c r="A73" s="46"/>
      <c r="B73" s="47"/>
      <c r="C73" s="47"/>
      <c r="D73" s="173"/>
      <c r="E73" s="119"/>
      <c r="F73" s="119"/>
      <c r="G73" s="119"/>
      <c r="H73" s="119"/>
      <c r="I73" s="119"/>
      <c r="J73" s="119"/>
      <c r="K73" s="119"/>
      <c r="L73" s="119"/>
      <c r="M73" s="119"/>
      <c r="N73" s="71"/>
      <c r="O73" s="355" t="s">
        <v>771</v>
      </c>
      <c r="P73" s="355"/>
      <c r="Q73" s="355"/>
      <c r="R73" s="355"/>
      <c r="S73" s="347">
        <f>S63</f>
        <v>74684000</v>
      </c>
      <c r="T73" s="502" t="s">
        <v>687</v>
      </c>
      <c r="U73" s="499" t="s">
        <v>768</v>
      </c>
      <c r="V73" s="654">
        <v>8.9999999999999993E-3</v>
      </c>
      <c r="W73" s="499"/>
      <c r="X73" s="503"/>
      <c r="Y73" s="504"/>
      <c r="Z73" s="504"/>
      <c r="AA73" s="502" t="s">
        <v>759</v>
      </c>
      <c r="AB73" s="347"/>
      <c r="AC73" s="356"/>
      <c r="AD73" s="356">
        <f>ROUND(S73*V73,-3)</f>
        <v>672000</v>
      </c>
      <c r="AE73" s="469" t="s">
        <v>687</v>
      </c>
      <c r="AF73" s="2"/>
    </row>
    <row r="74" spans="1:32" s="11" customFormat="1" ht="21" customHeight="1">
      <c r="A74" s="46"/>
      <c r="B74" s="47"/>
      <c r="C74" s="47"/>
      <c r="D74" s="173"/>
      <c r="E74" s="119"/>
      <c r="F74" s="119"/>
      <c r="G74" s="119"/>
      <c r="H74" s="119"/>
      <c r="I74" s="119"/>
      <c r="J74" s="119"/>
      <c r="K74" s="119"/>
      <c r="L74" s="119"/>
      <c r="M74" s="119"/>
      <c r="N74" s="71"/>
      <c r="O74" s="355" t="s">
        <v>772</v>
      </c>
      <c r="P74" s="355"/>
      <c r="Q74" s="355"/>
      <c r="R74" s="355"/>
      <c r="S74" s="347">
        <v>10440000</v>
      </c>
      <c r="T74" s="502" t="s">
        <v>687</v>
      </c>
      <c r="U74" s="499" t="s">
        <v>768</v>
      </c>
      <c r="V74" s="654">
        <v>8.9999999999999993E-3</v>
      </c>
      <c r="W74" s="499"/>
      <c r="X74" s="503"/>
      <c r="Y74" s="504"/>
      <c r="Z74" s="504"/>
      <c r="AA74" s="502" t="s">
        <v>759</v>
      </c>
      <c r="AB74" s="347"/>
      <c r="AC74" s="356"/>
      <c r="AD74" s="356">
        <f>ROUND(S74*V74,-3)</f>
        <v>94000</v>
      </c>
      <c r="AE74" s="469" t="s">
        <v>687</v>
      </c>
      <c r="AF74" s="2"/>
    </row>
    <row r="75" spans="1:32" s="11" customFormat="1" ht="21" customHeight="1">
      <c r="A75" s="46"/>
      <c r="B75" s="47"/>
      <c r="C75" s="47"/>
      <c r="D75" s="173"/>
      <c r="E75" s="119"/>
      <c r="F75" s="119"/>
      <c r="G75" s="119"/>
      <c r="H75" s="119"/>
      <c r="I75" s="119"/>
      <c r="J75" s="119"/>
      <c r="K75" s="119"/>
      <c r="L75" s="119"/>
      <c r="M75" s="119"/>
      <c r="N75" s="71"/>
      <c r="O75" s="355"/>
      <c r="P75" s="355"/>
      <c r="Q75" s="355"/>
      <c r="R75" s="355"/>
      <c r="S75" s="355"/>
      <c r="T75" s="347"/>
      <c r="U75" s="347"/>
      <c r="V75" s="347"/>
      <c r="W75" s="347"/>
      <c r="X75" s="347"/>
      <c r="Y75" s="347"/>
      <c r="Z75" s="347"/>
      <c r="AA75" s="347"/>
      <c r="AB75" s="347"/>
      <c r="AC75" s="356"/>
      <c r="AD75" s="356"/>
      <c r="AE75" s="469"/>
      <c r="AF75" s="2"/>
    </row>
    <row r="76" spans="1:32" s="11" customFormat="1" ht="21" customHeight="1">
      <c r="A76" s="46"/>
      <c r="B76" s="47"/>
      <c r="C76" s="47"/>
      <c r="D76" s="173"/>
      <c r="E76" s="119"/>
      <c r="F76" s="119"/>
      <c r="G76" s="119"/>
      <c r="H76" s="119"/>
      <c r="I76" s="119"/>
      <c r="J76" s="119"/>
      <c r="K76" s="119"/>
      <c r="L76" s="119"/>
      <c r="M76" s="119"/>
      <c r="N76" s="71"/>
      <c r="O76" s="635" t="s">
        <v>775</v>
      </c>
      <c r="P76" s="355"/>
      <c r="Q76" s="355"/>
      <c r="R76" s="355"/>
      <c r="S76" s="355"/>
      <c r="T76" s="347"/>
      <c r="U76" s="347"/>
      <c r="V76" s="347"/>
      <c r="W76" s="525" t="s">
        <v>736</v>
      </c>
      <c r="X76" s="525"/>
      <c r="Y76" s="525"/>
      <c r="Z76" s="525"/>
      <c r="AA76" s="525"/>
      <c r="AB76" s="525"/>
      <c r="AC76" s="526" t="s">
        <v>763</v>
      </c>
      <c r="AD76" s="526">
        <f>ROUNDUP(SUM(AD77:AD79),-3)</f>
        <v>7015000</v>
      </c>
      <c r="AE76" s="527" t="s">
        <v>687</v>
      </c>
      <c r="AF76" s="2"/>
    </row>
    <row r="77" spans="1:32" s="11" customFormat="1" ht="21" customHeight="1">
      <c r="A77" s="46"/>
      <c r="B77" s="47"/>
      <c r="C77" s="47"/>
      <c r="D77" s="173"/>
      <c r="E77" s="119"/>
      <c r="F77" s="119"/>
      <c r="G77" s="119"/>
      <c r="H77" s="119"/>
      <c r="I77" s="119"/>
      <c r="J77" s="119"/>
      <c r="K77" s="119"/>
      <c r="L77" s="119"/>
      <c r="M77" s="119"/>
      <c r="N77" s="71"/>
      <c r="O77" s="355" t="s">
        <v>770</v>
      </c>
      <c r="P77" s="355"/>
      <c r="Q77" s="355"/>
      <c r="R77" s="355"/>
      <c r="S77" s="347">
        <f>S72</f>
        <v>1136909000</v>
      </c>
      <c r="T77" s="502" t="s">
        <v>687</v>
      </c>
      <c r="U77" s="499" t="s">
        <v>768</v>
      </c>
      <c r="V77" s="657">
        <v>5.7400000000000003E-3</v>
      </c>
      <c r="W77" s="499"/>
      <c r="X77" s="503"/>
      <c r="Y77" s="504"/>
      <c r="Z77" s="504"/>
      <c r="AA77" s="502" t="s">
        <v>759</v>
      </c>
      <c r="AB77" s="347"/>
      <c r="AC77" s="356"/>
      <c r="AD77" s="356">
        <f>ROUND(S77*V77,-3)</f>
        <v>6526000</v>
      </c>
      <c r="AE77" s="469" t="s">
        <v>687</v>
      </c>
      <c r="AF77" s="2"/>
    </row>
    <row r="78" spans="1:32" s="11" customFormat="1" ht="21" customHeight="1">
      <c r="A78" s="46"/>
      <c r="B78" s="47"/>
      <c r="C78" s="47"/>
      <c r="D78" s="173"/>
      <c r="E78" s="119"/>
      <c r="F78" s="119"/>
      <c r="G78" s="119"/>
      <c r="H78" s="119"/>
      <c r="I78" s="119"/>
      <c r="J78" s="119"/>
      <c r="K78" s="119"/>
      <c r="L78" s="119"/>
      <c r="M78" s="119"/>
      <c r="N78" s="71"/>
      <c r="O78" s="355" t="s">
        <v>771</v>
      </c>
      <c r="P78" s="355"/>
      <c r="Q78" s="355"/>
      <c r="R78" s="355"/>
      <c r="S78" s="347">
        <f>S73</f>
        <v>74684000</v>
      </c>
      <c r="T78" s="502" t="s">
        <v>687</v>
      </c>
      <c r="U78" s="499" t="s">
        <v>768</v>
      </c>
      <c r="V78" s="657">
        <v>5.7400000000000003E-3</v>
      </c>
      <c r="W78" s="499"/>
      <c r="X78" s="503"/>
      <c r="Y78" s="504"/>
      <c r="Z78" s="504"/>
      <c r="AA78" s="502" t="s">
        <v>759</v>
      </c>
      <c r="AB78" s="347"/>
      <c r="AC78" s="356"/>
      <c r="AD78" s="356">
        <f>ROUND(S78*V78,-3)</f>
        <v>429000</v>
      </c>
      <c r="AE78" s="469" t="s">
        <v>687</v>
      </c>
      <c r="AF78" s="2"/>
    </row>
    <row r="79" spans="1:32" s="11" customFormat="1" ht="21" customHeight="1">
      <c r="A79" s="46"/>
      <c r="B79" s="47"/>
      <c r="C79" s="47"/>
      <c r="D79" s="173"/>
      <c r="E79" s="119"/>
      <c r="F79" s="119"/>
      <c r="G79" s="119"/>
      <c r="H79" s="119"/>
      <c r="I79" s="119"/>
      <c r="J79" s="119"/>
      <c r="K79" s="119"/>
      <c r="L79" s="119"/>
      <c r="M79" s="119"/>
      <c r="N79" s="71"/>
      <c r="O79" s="355" t="s">
        <v>772</v>
      </c>
      <c r="P79" s="355"/>
      <c r="Q79" s="355"/>
      <c r="R79" s="355"/>
      <c r="S79" s="347">
        <v>10440000</v>
      </c>
      <c r="T79" s="502" t="s">
        <v>687</v>
      </c>
      <c r="U79" s="499" t="s">
        <v>768</v>
      </c>
      <c r="V79" s="657">
        <v>5.7400000000000003E-3</v>
      </c>
      <c r="W79" s="499"/>
      <c r="X79" s="503"/>
      <c r="Y79" s="504"/>
      <c r="Z79" s="504"/>
      <c r="AA79" s="502" t="s">
        <v>759</v>
      </c>
      <c r="AB79" s="347"/>
      <c r="AC79" s="356"/>
      <c r="AD79" s="356">
        <f>ROUNDUP(S79*V79,-3)</f>
        <v>60000</v>
      </c>
      <c r="AE79" s="469" t="s">
        <v>687</v>
      </c>
      <c r="AF79" s="2"/>
    </row>
    <row r="80" spans="1:32" s="11" customFormat="1" ht="21" customHeight="1">
      <c r="A80" s="46"/>
      <c r="B80" s="47"/>
      <c r="C80" s="47"/>
      <c r="D80" s="173"/>
      <c r="E80" s="119"/>
      <c r="F80" s="119"/>
      <c r="G80" s="119"/>
      <c r="H80" s="119"/>
      <c r="I80" s="119"/>
      <c r="J80" s="119"/>
      <c r="K80" s="119"/>
      <c r="L80" s="119"/>
      <c r="M80" s="119"/>
      <c r="N80" s="71"/>
      <c r="O80" s="355"/>
      <c r="P80" s="355"/>
      <c r="Q80" s="355"/>
      <c r="R80" s="355"/>
      <c r="S80" s="355"/>
      <c r="T80" s="347"/>
      <c r="U80" s="347"/>
      <c r="V80" s="347"/>
      <c r="W80" s="347"/>
      <c r="X80" s="347"/>
      <c r="Y80" s="347"/>
      <c r="Z80" s="347"/>
      <c r="AA80" s="347"/>
      <c r="AB80" s="347"/>
      <c r="AC80" s="356"/>
      <c r="AD80" s="356"/>
      <c r="AE80" s="469"/>
      <c r="AF80" s="2"/>
    </row>
    <row r="81" spans="1:32" s="11" customFormat="1" ht="21" customHeight="1">
      <c r="A81" s="46"/>
      <c r="B81" s="47"/>
      <c r="C81" s="37" t="s">
        <v>87</v>
      </c>
      <c r="D81" s="175">
        <v>19307</v>
      </c>
      <c r="E81" s="125">
        <f>ROUND(AD81/1000,0)</f>
        <v>18189</v>
      </c>
      <c r="F81" s="125">
        <v>0</v>
      </c>
      <c r="G81" s="125">
        <f>AD89/1000</f>
        <v>3600</v>
      </c>
      <c r="H81" s="125">
        <v>0</v>
      </c>
      <c r="I81" s="125">
        <f>SUM(AD88,AD91,AD93:AD98)/1000</f>
        <v>5908</v>
      </c>
      <c r="J81" s="125">
        <v>0</v>
      </c>
      <c r="K81" s="125">
        <f>SUM(AD82:AD84,AD86:AD87,AD90,AD92)/1000</f>
        <v>5485</v>
      </c>
      <c r="L81" s="125">
        <f>AD85/1000</f>
        <v>3196</v>
      </c>
      <c r="M81" s="124">
        <f>E81-D81</f>
        <v>-1118</v>
      </c>
      <c r="N81" s="132">
        <f>IF(D81=0,0,M81/D81)</f>
        <v>-5.7906458797327393E-2</v>
      </c>
      <c r="O81" s="106" t="s">
        <v>88</v>
      </c>
      <c r="P81" s="190"/>
      <c r="Q81" s="102"/>
      <c r="R81" s="102"/>
      <c r="S81" s="102"/>
      <c r="T81" s="96"/>
      <c r="U81" s="96"/>
      <c r="V81" s="96"/>
      <c r="W81" s="191" t="s">
        <v>144</v>
      </c>
      <c r="X81" s="191"/>
      <c r="Y81" s="191"/>
      <c r="Z81" s="191"/>
      <c r="AA81" s="191"/>
      <c r="AB81" s="191"/>
      <c r="AC81" s="193"/>
      <c r="AD81" s="193">
        <f>SUM(AD82:AD98)</f>
        <v>18189000</v>
      </c>
      <c r="AE81" s="192" t="s">
        <v>25</v>
      </c>
      <c r="AF81" s="21"/>
    </row>
    <row r="82" spans="1:32" s="11" customFormat="1" ht="21" customHeight="1">
      <c r="A82" s="46"/>
      <c r="B82" s="47"/>
      <c r="C82" s="47" t="s">
        <v>147</v>
      </c>
      <c r="D82" s="173"/>
      <c r="E82" s="119"/>
      <c r="F82" s="119"/>
      <c r="G82" s="119"/>
      <c r="H82" s="119"/>
      <c r="I82" s="119"/>
      <c r="J82" s="119"/>
      <c r="K82" s="119"/>
      <c r="L82" s="119"/>
      <c r="M82" s="119"/>
      <c r="N82" s="71"/>
      <c r="O82" s="637" t="s">
        <v>793</v>
      </c>
      <c r="P82" s="637"/>
      <c r="Q82" s="636"/>
      <c r="R82" s="636"/>
      <c r="S82" s="636">
        <v>20000</v>
      </c>
      <c r="T82" s="636" t="s">
        <v>794</v>
      </c>
      <c r="U82" s="659" t="s">
        <v>795</v>
      </c>
      <c r="V82" s="636">
        <v>36</v>
      </c>
      <c r="W82" s="636" t="s">
        <v>796</v>
      </c>
      <c r="X82" s="636"/>
      <c r="Y82" s="636"/>
      <c r="Z82" s="636"/>
      <c r="AA82" s="636" t="s">
        <v>797</v>
      </c>
      <c r="AB82" s="636" t="s">
        <v>798</v>
      </c>
      <c r="AC82" s="149"/>
      <c r="AD82" s="149">
        <f>S82*V82</f>
        <v>720000</v>
      </c>
      <c r="AE82" s="150" t="s">
        <v>794</v>
      </c>
      <c r="AF82" s="2"/>
    </row>
    <row r="83" spans="1:32" s="11" customFormat="1" ht="21" customHeight="1">
      <c r="A83" s="46"/>
      <c r="B83" s="47"/>
      <c r="C83" s="47"/>
      <c r="D83" s="173"/>
      <c r="E83" s="119"/>
      <c r="F83" s="119"/>
      <c r="G83" s="119"/>
      <c r="H83" s="119"/>
      <c r="I83" s="119"/>
      <c r="J83" s="119"/>
      <c r="K83" s="119"/>
      <c r="L83" s="119"/>
      <c r="M83" s="119"/>
      <c r="N83" s="71"/>
      <c r="O83" s="637" t="s">
        <v>799</v>
      </c>
      <c r="P83" s="637"/>
      <c r="Q83" s="636"/>
      <c r="R83" s="636"/>
      <c r="S83" s="636">
        <v>100000</v>
      </c>
      <c r="T83" s="636" t="s">
        <v>794</v>
      </c>
      <c r="U83" s="659" t="s">
        <v>795</v>
      </c>
      <c r="V83" s="636">
        <v>1</v>
      </c>
      <c r="W83" s="636" t="s">
        <v>796</v>
      </c>
      <c r="X83" s="659" t="s">
        <v>795</v>
      </c>
      <c r="Y83" s="636">
        <v>12</v>
      </c>
      <c r="Z83" s="636" t="s">
        <v>29</v>
      </c>
      <c r="AA83" s="636" t="s">
        <v>797</v>
      </c>
      <c r="AB83" s="636" t="s">
        <v>798</v>
      </c>
      <c r="AC83" s="149"/>
      <c r="AD83" s="149">
        <f>S83*V83*Y83</f>
        <v>1200000</v>
      </c>
      <c r="AE83" s="150" t="s">
        <v>794</v>
      </c>
      <c r="AF83" s="2"/>
    </row>
    <row r="84" spans="1:32" s="11" customFormat="1" ht="21" customHeight="1">
      <c r="A84" s="46"/>
      <c r="B84" s="47"/>
      <c r="C84" s="47"/>
      <c r="D84" s="173"/>
      <c r="E84" s="119"/>
      <c r="F84" s="119"/>
      <c r="G84" s="119"/>
      <c r="H84" s="119"/>
      <c r="I84" s="119"/>
      <c r="J84" s="119"/>
      <c r="K84" s="119"/>
      <c r="L84" s="119"/>
      <c r="M84" s="119"/>
      <c r="N84" s="71"/>
      <c r="O84" s="637" t="s">
        <v>800</v>
      </c>
      <c r="P84" s="637"/>
      <c r="Q84" s="636"/>
      <c r="R84" s="636"/>
      <c r="S84" s="636">
        <v>300000</v>
      </c>
      <c r="T84" s="636" t="s">
        <v>794</v>
      </c>
      <c r="U84" s="659" t="s">
        <v>795</v>
      </c>
      <c r="V84" s="636">
        <v>2</v>
      </c>
      <c r="W84" s="636" t="s">
        <v>801</v>
      </c>
      <c r="X84" s="636"/>
      <c r="Y84" s="636"/>
      <c r="Z84" s="636"/>
      <c r="AA84" s="636" t="s">
        <v>797</v>
      </c>
      <c r="AB84" s="636" t="s">
        <v>798</v>
      </c>
      <c r="AC84" s="149"/>
      <c r="AD84" s="149">
        <f>S84*V84</f>
        <v>600000</v>
      </c>
      <c r="AE84" s="150" t="s">
        <v>794</v>
      </c>
      <c r="AF84" s="2"/>
    </row>
    <row r="85" spans="1:32" s="11" customFormat="1" ht="21" customHeight="1">
      <c r="A85" s="46"/>
      <c r="B85" s="47"/>
      <c r="C85" s="47"/>
      <c r="D85" s="173"/>
      <c r="E85" s="119"/>
      <c r="F85" s="119"/>
      <c r="G85" s="119"/>
      <c r="H85" s="119"/>
      <c r="I85" s="119"/>
      <c r="J85" s="119"/>
      <c r="K85" s="119"/>
      <c r="L85" s="119"/>
      <c r="M85" s="119"/>
      <c r="N85" s="71"/>
      <c r="O85" s="637" t="s">
        <v>802</v>
      </c>
      <c r="P85" s="637"/>
      <c r="Q85" s="637"/>
      <c r="R85" s="637"/>
      <c r="S85" s="636">
        <v>22200</v>
      </c>
      <c r="T85" s="636" t="s">
        <v>794</v>
      </c>
      <c r="U85" s="659" t="s">
        <v>795</v>
      </c>
      <c r="V85" s="636">
        <v>36</v>
      </c>
      <c r="W85" s="636" t="s">
        <v>796</v>
      </c>
      <c r="X85" s="659" t="s">
        <v>795</v>
      </c>
      <c r="Y85" s="636">
        <v>4</v>
      </c>
      <c r="Z85" s="636" t="s">
        <v>801</v>
      </c>
      <c r="AA85" s="636" t="s">
        <v>797</v>
      </c>
      <c r="AB85" s="636" t="s">
        <v>803</v>
      </c>
      <c r="AC85" s="660"/>
      <c r="AD85" s="636">
        <f>ROUNDDOWN(S85*V85*Y85,-3)</f>
        <v>3196000</v>
      </c>
      <c r="AE85" s="661" t="s">
        <v>25</v>
      </c>
      <c r="AF85" s="2"/>
    </row>
    <row r="86" spans="1:32" s="11" customFormat="1" ht="21" customHeight="1">
      <c r="A86" s="46"/>
      <c r="B86" s="47"/>
      <c r="C86" s="47"/>
      <c r="D86" s="173"/>
      <c r="E86" s="119"/>
      <c r="F86" s="119"/>
      <c r="G86" s="119"/>
      <c r="H86" s="119"/>
      <c r="I86" s="119"/>
      <c r="J86" s="119"/>
      <c r="K86" s="119"/>
      <c r="L86" s="119"/>
      <c r="M86" s="119"/>
      <c r="N86" s="71"/>
      <c r="O86" s="637" t="s">
        <v>804</v>
      </c>
      <c r="P86" s="637"/>
      <c r="Q86" s="637"/>
      <c r="R86" s="637"/>
      <c r="S86" s="636">
        <v>300000</v>
      </c>
      <c r="T86" s="636" t="s">
        <v>794</v>
      </c>
      <c r="U86" s="659" t="s">
        <v>795</v>
      </c>
      <c r="V86" s="636">
        <v>1</v>
      </c>
      <c r="W86" s="636" t="s">
        <v>796</v>
      </c>
      <c r="X86" s="636"/>
      <c r="Y86" s="636"/>
      <c r="Z86" s="636"/>
      <c r="AA86" s="636" t="s">
        <v>797</v>
      </c>
      <c r="AB86" s="636" t="s">
        <v>798</v>
      </c>
      <c r="AC86" s="149"/>
      <c r="AD86" s="149">
        <f>S86*V86</f>
        <v>300000</v>
      </c>
      <c r="AE86" s="150" t="s">
        <v>794</v>
      </c>
      <c r="AF86" s="2"/>
    </row>
    <row r="87" spans="1:32" s="11" customFormat="1" ht="21" customHeight="1">
      <c r="A87" s="46"/>
      <c r="B87" s="47"/>
      <c r="C87" s="47"/>
      <c r="D87" s="173"/>
      <c r="E87" s="119"/>
      <c r="F87" s="119"/>
      <c r="G87" s="119"/>
      <c r="H87" s="119"/>
      <c r="I87" s="119"/>
      <c r="J87" s="119"/>
      <c r="K87" s="119"/>
      <c r="L87" s="119"/>
      <c r="M87" s="119"/>
      <c r="N87" s="71"/>
      <c r="O87" s="637" t="s">
        <v>805</v>
      </c>
      <c r="P87" s="637"/>
      <c r="Q87" s="637"/>
      <c r="R87" s="637"/>
      <c r="S87" s="636"/>
      <c r="T87" s="660"/>
      <c r="U87" s="660"/>
      <c r="V87" s="660"/>
      <c r="W87" s="636"/>
      <c r="X87" s="636"/>
      <c r="Y87" s="660"/>
      <c r="Z87" s="660"/>
      <c r="AA87" s="660"/>
      <c r="AB87" s="660" t="s">
        <v>798</v>
      </c>
      <c r="AC87" s="660"/>
      <c r="AD87" s="636">
        <v>800000</v>
      </c>
      <c r="AE87" s="661" t="s">
        <v>794</v>
      </c>
      <c r="AF87" s="2"/>
    </row>
    <row r="88" spans="1:32" s="11" customFormat="1" ht="21" customHeight="1">
      <c r="A88" s="46"/>
      <c r="B88" s="47"/>
      <c r="C88" s="47"/>
      <c r="D88" s="173"/>
      <c r="E88" s="119"/>
      <c r="F88" s="119"/>
      <c r="G88" s="119"/>
      <c r="H88" s="119"/>
      <c r="I88" s="119"/>
      <c r="J88" s="119"/>
      <c r="K88" s="119"/>
      <c r="L88" s="119"/>
      <c r="M88" s="119"/>
      <c r="N88" s="71"/>
      <c r="O88" s="637" t="s">
        <v>806</v>
      </c>
      <c r="P88" s="637"/>
      <c r="Q88" s="637"/>
      <c r="R88" s="637"/>
      <c r="S88" s="636">
        <v>10000</v>
      </c>
      <c r="T88" s="636" t="s">
        <v>794</v>
      </c>
      <c r="U88" s="659" t="s">
        <v>795</v>
      </c>
      <c r="V88" s="636">
        <v>36</v>
      </c>
      <c r="W88" s="636" t="s">
        <v>796</v>
      </c>
      <c r="X88" s="636"/>
      <c r="Y88" s="636"/>
      <c r="Z88" s="636"/>
      <c r="AA88" s="636" t="s">
        <v>797</v>
      </c>
      <c r="AB88" s="636" t="s">
        <v>807</v>
      </c>
      <c r="AC88" s="149"/>
      <c r="AD88" s="149">
        <f>S88*V88</f>
        <v>360000</v>
      </c>
      <c r="AE88" s="150" t="s">
        <v>794</v>
      </c>
      <c r="AF88" s="2"/>
    </row>
    <row r="89" spans="1:32" s="11" customFormat="1" ht="21" customHeight="1">
      <c r="A89" s="46"/>
      <c r="B89" s="47"/>
      <c r="C89" s="47"/>
      <c r="D89" s="173"/>
      <c r="E89" s="119"/>
      <c r="F89" s="119"/>
      <c r="G89" s="119"/>
      <c r="H89" s="119"/>
      <c r="I89" s="119"/>
      <c r="J89" s="119"/>
      <c r="K89" s="119"/>
      <c r="L89" s="119"/>
      <c r="M89" s="119"/>
      <c r="N89" s="71"/>
      <c r="O89" s="637" t="s">
        <v>808</v>
      </c>
      <c r="P89" s="637"/>
      <c r="Q89" s="637"/>
      <c r="R89" s="637"/>
      <c r="S89" s="636">
        <v>200000</v>
      </c>
      <c r="T89" s="455" t="s">
        <v>794</v>
      </c>
      <c r="U89" s="659" t="s">
        <v>795</v>
      </c>
      <c r="V89" s="662">
        <v>18</v>
      </c>
      <c r="W89" s="659" t="s">
        <v>796</v>
      </c>
      <c r="X89" s="663"/>
      <c r="Y89" s="77"/>
      <c r="Z89" s="77"/>
      <c r="AA89" s="455" t="s">
        <v>797</v>
      </c>
      <c r="AB89" s="636" t="s">
        <v>809</v>
      </c>
      <c r="AC89" s="149"/>
      <c r="AD89" s="149">
        <f>ROUNDUP(S89*V89,-3)</f>
        <v>3600000</v>
      </c>
      <c r="AE89" s="150" t="s">
        <v>794</v>
      </c>
      <c r="AF89" s="2"/>
    </row>
    <row r="90" spans="1:32" s="11" customFormat="1" ht="21" customHeight="1">
      <c r="A90" s="46"/>
      <c r="B90" s="47"/>
      <c r="C90" s="47"/>
      <c r="D90" s="173"/>
      <c r="E90" s="119"/>
      <c r="F90" s="119"/>
      <c r="G90" s="119"/>
      <c r="H90" s="119"/>
      <c r="I90" s="119"/>
      <c r="J90" s="119"/>
      <c r="K90" s="119"/>
      <c r="L90" s="119"/>
      <c r="M90" s="119"/>
      <c r="N90" s="71"/>
      <c r="O90" s="637" t="s">
        <v>810</v>
      </c>
      <c r="P90" s="637"/>
      <c r="Q90" s="637"/>
      <c r="R90" s="637"/>
      <c r="S90" s="636">
        <v>100000</v>
      </c>
      <c r="T90" s="455" t="s">
        <v>794</v>
      </c>
      <c r="U90" s="659" t="s">
        <v>795</v>
      </c>
      <c r="V90" s="662">
        <v>15</v>
      </c>
      <c r="W90" s="659" t="s">
        <v>796</v>
      </c>
      <c r="X90" s="663"/>
      <c r="Y90" s="77"/>
      <c r="Z90" s="77"/>
      <c r="AA90" s="455" t="s">
        <v>797</v>
      </c>
      <c r="AB90" s="660" t="s">
        <v>798</v>
      </c>
      <c r="AC90" s="660"/>
      <c r="AD90" s="149">
        <f>ROUNDUP(S90*V90,-3)</f>
        <v>1500000</v>
      </c>
      <c r="AE90" s="661" t="s">
        <v>794</v>
      </c>
      <c r="AF90" s="2"/>
    </row>
    <row r="91" spans="1:32" s="11" customFormat="1" ht="21" customHeight="1">
      <c r="A91" s="46"/>
      <c r="B91" s="47"/>
      <c r="C91" s="47"/>
      <c r="D91" s="173"/>
      <c r="E91" s="119"/>
      <c r="F91" s="119"/>
      <c r="G91" s="119"/>
      <c r="H91" s="119"/>
      <c r="I91" s="119"/>
      <c r="J91" s="119"/>
      <c r="K91" s="119"/>
      <c r="L91" s="119"/>
      <c r="M91" s="119"/>
      <c r="N91" s="71"/>
      <c r="O91" s="637" t="s">
        <v>811</v>
      </c>
      <c r="P91" s="637"/>
      <c r="Q91" s="637"/>
      <c r="R91" s="637"/>
      <c r="S91" s="636">
        <v>100000</v>
      </c>
      <c r="T91" s="455" t="s">
        <v>794</v>
      </c>
      <c r="U91" s="659" t="s">
        <v>795</v>
      </c>
      <c r="V91" s="662">
        <v>36</v>
      </c>
      <c r="W91" s="659" t="s">
        <v>796</v>
      </c>
      <c r="X91" s="663"/>
      <c r="Y91" s="77"/>
      <c r="Z91" s="77"/>
      <c r="AA91" s="455" t="s">
        <v>797</v>
      </c>
      <c r="AB91" s="660" t="s">
        <v>807</v>
      </c>
      <c r="AC91" s="660"/>
      <c r="AD91" s="149">
        <f>ROUNDUP(S91*V91,-3)</f>
        <v>3600000</v>
      </c>
      <c r="AE91" s="661" t="s">
        <v>794</v>
      </c>
      <c r="AF91" s="2"/>
    </row>
    <row r="92" spans="1:32" s="11" customFormat="1" ht="21" customHeight="1">
      <c r="A92" s="46"/>
      <c r="B92" s="47"/>
      <c r="C92" s="47"/>
      <c r="D92" s="173"/>
      <c r="E92" s="119"/>
      <c r="F92" s="119"/>
      <c r="G92" s="119"/>
      <c r="H92" s="119"/>
      <c r="I92" s="119"/>
      <c r="J92" s="119"/>
      <c r="K92" s="119"/>
      <c r="L92" s="119"/>
      <c r="M92" s="119"/>
      <c r="N92" s="71"/>
      <c r="O92" s="637" t="s">
        <v>812</v>
      </c>
      <c r="P92" s="637"/>
      <c r="Q92" s="637"/>
      <c r="R92" s="637"/>
      <c r="S92" s="636">
        <v>10000</v>
      </c>
      <c r="T92" s="660" t="s">
        <v>794</v>
      </c>
      <c r="U92" s="659" t="s">
        <v>795</v>
      </c>
      <c r="V92" s="664">
        <v>36</v>
      </c>
      <c r="W92" s="636" t="s">
        <v>796</v>
      </c>
      <c r="X92" s="660"/>
      <c r="Y92" s="660"/>
      <c r="Z92" s="660"/>
      <c r="AA92" s="665" t="s">
        <v>797</v>
      </c>
      <c r="AB92" s="660" t="s">
        <v>798</v>
      </c>
      <c r="AC92" s="660"/>
      <c r="AD92" s="636">
        <f>S92*V92+5000</f>
        <v>365000</v>
      </c>
      <c r="AE92" s="661" t="s">
        <v>794</v>
      </c>
      <c r="AF92" s="2"/>
    </row>
    <row r="93" spans="1:32" s="11" customFormat="1" ht="21" customHeight="1">
      <c r="A93" s="46"/>
      <c r="B93" s="47"/>
      <c r="C93" s="47"/>
      <c r="D93" s="173"/>
      <c r="E93" s="119"/>
      <c r="F93" s="119"/>
      <c r="G93" s="119"/>
      <c r="H93" s="119"/>
      <c r="I93" s="119"/>
      <c r="J93" s="119"/>
      <c r="K93" s="119"/>
      <c r="L93" s="119"/>
      <c r="M93" s="119"/>
      <c r="N93" s="71"/>
      <c r="O93" s="637" t="s">
        <v>813</v>
      </c>
      <c r="P93" s="637"/>
      <c r="Q93" s="637"/>
      <c r="R93" s="637"/>
      <c r="S93" s="636">
        <v>10000</v>
      </c>
      <c r="T93" s="660" t="s">
        <v>794</v>
      </c>
      <c r="U93" s="659" t="s">
        <v>795</v>
      </c>
      <c r="V93" s="664">
        <v>10</v>
      </c>
      <c r="W93" s="636" t="s">
        <v>796</v>
      </c>
      <c r="X93" s="659" t="s">
        <v>795</v>
      </c>
      <c r="Y93" s="660">
        <v>4</v>
      </c>
      <c r="Z93" s="660" t="s">
        <v>801</v>
      </c>
      <c r="AA93" s="665" t="s">
        <v>797</v>
      </c>
      <c r="AB93" s="660" t="s">
        <v>807</v>
      </c>
      <c r="AC93" s="660"/>
      <c r="AD93" s="636">
        <f>S93*V93*Y93</f>
        <v>400000</v>
      </c>
      <c r="AE93" s="661" t="s">
        <v>794</v>
      </c>
      <c r="AF93" s="2"/>
    </row>
    <row r="94" spans="1:32" s="11" customFormat="1" ht="21" customHeight="1">
      <c r="A94" s="46"/>
      <c r="B94" s="47"/>
      <c r="C94" s="47"/>
      <c r="D94" s="173"/>
      <c r="E94" s="119"/>
      <c r="F94" s="119"/>
      <c r="G94" s="119"/>
      <c r="H94" s="119"/>
      <c r="I94" s="119"/>
      <c r="J94" s="119"/>
      <c r="K94" s="119"/>
      <c r="L94" s="119"/>
      <c r="M94" s="119"/>
      <c r="N94" s="71"/>
      <c r="O94" s="637" t="s">
        <v>814</v>
      </c>
      <c r="P94" s="637"/>
      <c r="Q94" s="636"/>
      <c r="R94" s="636"/>
      <c r="S94" s="636">
        <v>30000</v>
      </c>
      <c r="T94" s="660" t="s">
        <v>794</v>
      </c>
      <c r="U94" s="659" t="s">
        <v>795</v>
      </c>
      <c r="V94" s="664">
        <v>7</v>
      </c>
      <c r="W94" s="636" t="s">
        <v>796</v>
      </c>
      <c r="X94" s="659" t="s">
        <v>795</v>
      </c>
      <c r="Y94" s="660">
        <v>2</v>
      </c>
      <c r="Z94" s="660" t="s">
        <v>801</v>
      </c>
      <c r="AA94" s="665" t="s">
        <v>797</v>
      </c>
      <c r="AB94" s="660" t="s">
        <v>807</v>
      </c>
      <c r="AC94" s="660"/>
      <c r="AD94" s="636">
        <f>S94*V94*Y94</f>
        <v>420000</v>
      </c>
      <c r="AE94" s="661" t="s">
        <v>794</v>
      </c>
      <c r="AF94" s="2"/>
    </row>
    <row r="95" spans="1:32" s="11" customFormat="1" ht="21" customHeight="1">
      <c r="A95" s="46"/>
      <c r="B95" s="47"/>
      <c r="C95" s="47"/>
      <c r="D95" s="173"/>
      <c r="E95" s="119"/>
      <c r="F95" s="119"/>
      <c r="G95" s="119"/>
      <c r="H95" s="119"/>
      <c r="I95" s="119"/>
      <c r="J95" s="119"/>
      <c r="K95" s="119"/>
      <c r="L95" s="119"/>
      <c r="M95" s="119"/>
      <c r="N95" s="71"/>
      <c r="O95" s="637" t="s">
        <v>815</v>
      </c>
      <c r="P95" s="637"/>
      <c r="Q95" s="636"/>
      <c r="R95" s="636"/>
      <c r="S95" s="636"/>
      <c r="T95" s="660"/>
      <c r="U95" s="659"/>
      <c r="V95" s="664"/>
      <c r="W95" s="636"/>
      <c r="X95" s="659"/>
      <c r="Y95" s="660"/>
      <c r="Z95" s="660"/>
      <c r="AA95" s="665"/>
      <c r="AB95" s="660" t="s">
        <v>807</v>
      </c>
      <c r="AC95" s="660"/>
      <c r="AD95" s="636">
        <v>200000</v>
      </c>
      <c r="AE95" s="661" t="s">
        <v>794</v>
      </c>
      <c r="AF95" s="2"/>
    </row>
    <row r="96" spans="1:32" s="11" customFormat="1" ht="21" customHeight="1">
      <c r="A96" s="46"/>
      <c r="B96" s="47"/>
      <c r="C96" s="47"/>
      <c r="D96" s="173"/>
      <c r="E96" s="119"/>
      <c r="F96" s="119"/>
      <c r="G96" s="119"/>
      <c r="H96" s="119"/>
      <c r="I96" s="119"/>
      <c r="J96" s="119"/>
      <c r="K96" s="119"/>
      <c r="L96" s="119"/>
      <c r="M96" s="119"/>
      <c r="N96" s="71"/>
      <c r="O96" s="637" t="s">
        <v>816</v>
      </c>
      <c r="P96" s="637"/>
      <c r="Q96" s="636"/>
      <c r="R96" s="636"/>
      <c r="S96" s="636"/>
      <c r="T96" s="636"/>
      <c r="U96" s="636"/>
      <c r="V96" s="636"/>
      <c r="W96" s="636"/>
      <c r="X96" s="636"/>
      <c r="Y96" s="636"/>
      <c r="Z96" s="636"/>
      <c r="AA96" s="636"/>
      <c r="AB96" s="636" t="s">
        <v>807</v>
      </c>
      <c r="AC96" s="149"/>
      <c r="AD96" s="149">
        <v>200000</v>
      </c>
      <c r="AE96" s="150" t="s">
        <v>794</v>
      </c>
      <c r="AF96" s="2"/>
    </row>
    <row r="97" spans="1:32" s="11" customFormat="1" ht="21" customHeight="1">
      <c r="A97" s="46"/>
      <c r="B97" s="47"/>
      <c r="C97" s="47"/>
      <c r="D97" s="173"/>
      <c r="E97" s="119"/>
      <c r="F97" s="119"/>
      <c r="G97" s="119"/>
      <c r="H97" s="119"/>
      <c r="I97" s="119"/>
      <c r="J97" s="119"/>
      <c r="K97" s="119"/>
      <c r="L97" s="119"/>
      <c r="M97" s="119"/>
      <c r="N97" s="71"/>
      <c r="O97" s="637" t="s">
        <v>817</v>
      </c>
      <c r="P97" s="637"/>
      <c r="Q97" s="636"/>
      <c r="R97" s="636"/>
      <c r="S97" s="636"/>
      <c r="T97" s="636"/>
      <c r="U97" s="636"/>
      <c r="V97" s="636"/>
      <c r="W97" s="636"/>
      <c r="X97" s="636"/>
      <c r="Y97" s="636"/>
      <c r="Z97" s="636"/>
      <c r="AA97" s="636"/>
      <c r="AB97" s="636" t="s">
        <v>807</v>
      </c>
      <c r="AC97" s="149"/>
      <c r="AD97" s="149">
        <v>8000</v>
      </c>
      <c r="AE97" s="150" t="s">
        <v>794</v>
      </c>
      <c r="AF97" s="2"/>
    </row>
    <row r="98" spans="1:32" s="11" customFormat="1" ht="21" customHeight="1">
      <c r="A98" s="46"/>
      <c r="B98" s="47"/>
      <c r="C98" s="47"/>
      <c r="D98" s="173"/>
      <c r="E98" s="119"/>
      <c r="F98" s="119"/>
      <c r="G98" s="119"/>
      <c r="H98" s="119"/>
      <c r="I98" s="119"/>
      <c r="J98" s="119"/>
      <c r="K98" s="119"/>
      <c r="L98" s="119"/>
      <c r="M98" s="119"/>
      <c r="N98" s="71"/>
      <c r="O98" s="637" t="s">
        <v>818</v>
      </c>
      <c r="P98" s="637"/>
      <c r="Q98" s="636"/>
      <c r="R98" s="636"/>
      <c r="S98" s="636">
        <v>20000</v>
      </c>
      <c r="T98" s="660" t="s">
        <v>794</v>
      </c>
      <c r="U98" s="659" t="s">
        <v>795</v>
      </c>
      <c r="V98" s="660">
        <v>36</v>
      </c>
      <c r="W98" s="636" t="s">
        <v>796</v>
      </c>
      <c r="X98" s="659" t="s">
        <v>795</v>
      </c>
      <c r="Y98" s="660">
        <v>1</v>
      </c>
      <c r="Z98" s="660" t="s">
        <v>801</v>
      </c>
      <c r="AA98" s="665" t="s">
        <v>797</v>
      </c>
      <c r="AB98" s="660" t="s">
        <v>807</v>
      </c>
      <c r="AC98" s="660"/>
      <c r="AD98" s="636">
        <f>S98*V98*Y98</f>
        <v>720000</v>
      </c>
      <c r="AE98" s="661" t="s">
        <v>794</v>
      </c>
      <c r="AF98" s="2"/>
    </row>
    <row r="99" spans="1:32" s="11" customFormat="1" ht="21" customHeight="1">
      <c r="A99" s="46"/>
      <c r="B99" s="60"/>
      <c r="C99" s="60"/>
      <c r="D99" s="174"/>
      <c r="E99" s="122"/>
      <c r="F99" s="122"/>
      <c r="G99" s="122"/>
      <c r="H99" s="122"/>
      <c r="I99" s="122"/>
      <c r="J99" s="122"/>
      <c r="K99" s="122"/>
      <c r="L99" s="122"/>
      <c r="M99" s="122"/>
      <c r="N99" s="91"/>
      <c r="O99" s="453"/>
      <c r="P99" s="453"/>
      <c r="Q99" s="453"/>
      <c r="R99" s="453"/>
      <c r="S99" s="666"/>
      <c r="T99" s="667"/>
      <c r="U99" s="667"/>
      <c r="V99" s="667"/>
      <c r="W99" s="666"/>
      <c r="X99" s="667"/>
      <c r="Y99" s="667"/>
      <c r="Z99" s="667"/>
      <c r="AA99" s="666"/>
      <c r="AB99" s="667"/>
      <c r="AC99" s="667"/>
      <c r="AD99" s="666"/>
      <c r="AE99" s="668"/>
      <c r="AF99" s="2"/>
    </row>
    <row r="100" spans="1:32" s="11" customFormat="1" ht="21" customHeight="1">
      <c r="A100" s="46"/>
      <c r="B100" s="47" t="s">
        <v>146</v>
      </c>
      <c r="C100" s="47" t="s">
        <v>5</v>
      </c>
      <c r="D100" s="119">
        <f>SUM(D101,D104,D106)</f>
        <v>2576</v>
      </c>
      <c r="E100" s="119">
        <f>SUM(E101,E104,E106)</f>
        <v>2696</v>
      </c>
      <c r="F100" s="119">
        <f t="shared" ref="F100:L100" si="5">SUM(F101,F104,F106)</f>
        <v>76</v>
      </c>
      <c r="G100" s="119">
        <f t="shared" si="5"/>
        <v>0</v>
      </c>
      <c r="H100" s="119">
        <f t="shared" si="5"/>
        <v>0</v>
      </c>
      <c r="I100" s="119">
        <f t="shared" si="5"/>
        <v>0</v>
      </c>
      <c r="J100" s="119">
        <f t="shared" si="5"/>
        <v>0</v>
      </c>
      <c r="K100" s="119">
        <f t="shared" si="5"/>
        <v>2500</v>
      </c>
      <c r="L100" s="119">
        <f t="shared" si="5"/>
        <v>120</v>
      </c>
      <c r="M100" s="119">
        <f>E100-D100</f>
        <v>120</v>
      </c>
      <c r="N100" s="71">
        <f>IF(D100=0,0,M100/D100)</f>
        <v>4.6583850931677016E-2</v>
      </c>
      <c r="O100" s="204" t="s">
        <v>162</v>
      </c>
      <c r="P100" s="33"/>
      <c r="Q100" s="33"/>
      <c r="R100" s="33"/>
      <c r="S100" s="34"/>
      <c r="T100" s="34"/>
      <c r="U100" s="34"/>
      <c r="V100" s="34"/>
      <c r="W100" s="207"/>
      <c r="X100" s="207"/>
      <c r="Y100" s="207"/>
      <c r="Z100" s="207"/>
      <c r="AA100" s="207"/>
      <c r="AB100" s="207"/>
      <c r="AC100" s="103"/>
      <c r="AD100" s="103">
        <f>SUM(AD101,AD104,AD106)</f>
        <v>2696000</v>
      </c>
      <c r="AE100" s="104" t="s">
        <v>25</v>
      </c>
      <c r="AF100" s="5"/>
    </row>
    <row r="101" spans="1:32" s="11" customFormat="1" ht="21" customHeight="1">
      <c r="A101" s="46"/>
      <c r="B101" s="47" t="s">
        <v>161</v>
      </c>
      <c r="C101" s="37" t="s">
        <v>10</v>
      </c>
      <c r="D101" s="175">
        <v>1200</v>
      </c>
      <c r="E101" s="124">
        <f>AD101/1000</f>
        <v>1200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f>AD101/1000</f>
        <v>1200</v>
      </c>
      <c r="L101" s="124">
        <v>0</v>
      </c>
      <c r="M101" s="124">
        <f>E101-D101</f>
        <v>0</v>
      </c>
      <c r="N101" s="132">
        <f>IF(D101=0,0,M101/D101)</f>
        <v>0</v>
      </c>
      <c r="O101" s="106" t="s">
        <v>37</v>
      </c>
      <c r="P101" s="164"/>
      <c r="Q101" s="179"/>
      <c r="R101" s="179"/>
      <c r="S101" s="179"/>
      <c r="T101" s="95"/>
      <c r="U101" s="95"/>
      <c r="V101" s="95"/>
      <c r="W101" s="95"/>
      <c r="X101" s="95"/>
      <c r="Y101" s="191" t="s">
        <v>164</v>
      </c>
      <c r="Z101" s="191"/>
      <c r="AA101" s="191"/>
      <c r="AB101" s="191"/>
      <c r="AC101" s="193"/>
      <c r="AD101" s="193">
        <f>AD102</f>
        <v>1200000</v>
      </c>
      <c r="AE101" s="192" t="s">
        <v>25</v>
      </c>
    </row>
    <row r="102" spans="1:32" s="11" customFormat="1" ht="21" customHeight="1">
      <c r="A102" s="46"/>
      <c r="B102" s="47"/>
      <c r="C102" s="47"/>
      <c r="D102" s="173"/>
      <c r="E102" s="119"/>
      <c r="F102" s="119"/>
      <c r="G102" s="119"/>
      <c r="H102" s="119"/>
      <c r="I102" s="119"/>
      <c r="J102" s="119"/>
      <c r="K102" s="119"/>
      <c r="L102" s="119"/>
      <c r="M102" s="119"/>
      <c r="N102" s="71"/>
      <c r="O102" s="637" t="s">
        <v>819</v>
      </c>
      <c r="P102" s="637"/>
      <c r="Q102" s="637"/>
      <c r="R102" s="637"/>
      <c r="S102" s="636"/>
      <c r="T102" s="463"/>
      <c r="U102" s="463"/>
      <c r="V102" s="636"/>
      <c r="W102" s="637"/>
      <c r="X102" s="636"/>
      <c r="Y102" s="636"/>
      <c r="Z102" s="636"/>
      <c r="AA102" s="636"/>
      <c r="AB102" s="636" t="s">
        <v>820</v>
      </c>
      <c r="AC102" s="636"/>
      <c r="AD102" s="636">
        <v>1200000</v>
      </c>
      <c r="AE102" s="150" t="s">
        <v>821</v>
      </c>
      <c r="AF102" s="2"/>
    </row>
    <row r="103" spans="1:32" s="11" customFormat="1" ht="21" customHeight="1">
      <c r="A103" s="46"/>
      <c r="B103" s="47"/>
      <c r="C103" s="60"/>
      <c r="D103" s="174"/>
      <c r="E103" s="122"/>
      <c r="F103" s="122"/>
      <c r="G103" s="122"/>
      <c r="H103" s="122"/>
      <c r="I103" s="122"/>
      <c r="J103" s="122"/>
      <c r="K103" s="122"/>
      <c r="L103" s="122"/>
      <c r="M103" s="122"/>
      <c r="N103" s="91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137"/>
      <c r="AF103" s="1"/>
    </row>
    <row r="104" spans="1:32" s="11" customFormat="1" ht="21" customHeight="1">
      <c r="A104" s="46"/>
      <c r="B104" s="47"/>
      <c r="C104" s="47" t="s">
        <v>11</v>
      </c>
      <c r="D104" s="173">
        <v>0</v>
      </c>
      <c r="E104" s="119">
        <f>AD104/1000</f>
        <v>0</v>
      </c>
      <c r="F104" s="119">
        <v>0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f>E104-D104</f>
        <v>0</v>
      </c>
      <c r="N104" s="71">
        <f>IF(D104=0,0,M104/D104)</f>
        <v>0</v>
      </c>
      <c r="O104" s="106" t="s">
        <v>163</v>
      </c>
      <c r="P104" s="190"/>
      <c r="Q104" s="33"/>
      <c r="R104" s="33"/>
      <c r="S104" s="33"/>
      <c r="T104" s="34"/>
      <c r="U104" s="34"/>
      <c r="V104" s="34"/>
      <c r="W104" s="34"/>
      <c r="X104" s="34"/>
      <c r="Y104" s="191" t="s">
        <v>164</v>
      </c>
      <c r="Z104" s="191"/>
      <c r="AA104" s="191"/>
      <c r="AB104" s="191"/>
      <c r="AC104" s="193"/>
      <c r="AD104" s="193">
        <v>0</v>
      </c>
      <c r="AE104" s="192" t="s">
        <v>25</v>
      </c>
      <c r="AF104" s="1"/>
    </row>
    <row r="105" spans="1:32" s="11" customFormat="1" ht="21" customHeight="1">
      <c r="A105" s="46"/>
      <c r="B105" s="47"/>
      <c r="C105" s="60"/>
      <c r="D105" s="174"/>
      <c r="E105" s="122"/>
      <c r="F105" s="122"/>
      <c r="G105" s="122"/>
      <c r="H105" s="122"/>
      <c r="I105" s="122"/>
      <c r="J105" s="122"/>
      <c r="K105" s="122"/>
      <c r="L105" s="122"/>
      <c r="M105" s="122"/>
      <c r="N105" s="91"/>
      <c r="O105" s="168"/>
      <c r="P105" s="87"/>
      <c r="Q105" s="87"/>
      <c r="R105" s="87"/>
      <c r="S105" s="86"/>
      <c r="T105" s="92"/>
      <c r="U105" s="92"/>
      <c r="V105" s="86"/>
      <c r="W105" s="87"/>
      <c r="X105" s="86"/>
      <c r="Y105" s="86"/>
      <c r="Z105" s="86"/>
      <c r="AA105" s="86"/>
      <c r="AB105" s="86"/>
      <c r="AC105" s="86"/>
      <c r="AD105" s="86"/>
      <c r="AE105" s="74"/>
      <c r="AF105" s="1"/>
    </row>
    <row r="106" spans="1:32" s="11" customFormat="1" ht="21" customHeight="1">
      <c r="A106" s="46"/>
      <c r="B106" s="47"/>
      <c r="C106" s="47" t="s">
        <v>89</v>
      </c>
      <c r="D106" s="173">
        <v>1376</v>
      </c>
      <c r="E106" s="119">
        <f>AD106/1000</f>
        <v>1496</v>
      </c>
      <c r="F106" s="119">
        <v>76</v>
      </c>
      <c r="G106" s="119">
        <v>0</v>
      </c>
      <c r="H106" s="119">
        <v>0</v>
      </c>
      <c r="I106" s="119">
        <v>0</v>
      </c>
      <c r="J106" s="119">
        <v>0</v>
      </c>
      <c r="K106" s="124">
        <v>1300</v>
      </c>
      <c r="L106" s="119">
        <v>120</v>
      </c>
      <c r="M106" s="119">
        <f>E106-D106</f>
        <v>120</v>
      </c>
      <c r="N106" s="71">
        <f>IF(D106=0,0,M106/D106)</f>
        <v>8.7209302325581398E-2</v>
      </c>
      <c r="O106" s="127" t="s">
        <v>38</v>
      </c>
      <c r="P106" s="33"/>
      <c r="Q106" s="33"/>
      <c r="R106" s="33"/>
      <c r="S106" s="33"/>
      <c r="T106" s="34"/>
      <c r="U106" s="34"/>
      <c r="V106" s="34"/>
      <c r="W106" s="34"/>
      <c r="X106" s="34"/>
      <c r="Y106" s="191" t="s">
        <v>164</v>
      </c>
      <c r="Z106" s="191"/>
      <c r="AA106" s="191"/>
      <c r="AB106" s="191"/>
      <c r="AC106" s="193"/>
      <c r="AD106" s="193">
        <f>SUM(AD107:AD110)</f>
        <v>1496000</v>
      </c>
      <c r="AE106" s="192" t="s">
        <v>25</v>
      </c>
      <c r="AF106" s="1"/>
    </row>
    <row r="107" spans="1:32" s="14" customFormat="1" ht="21" customHeight="1">
      <c r="A107" s="46"/>
      <c r="B107" s="47"/>
      <c r="C107" s="47"/>
      <c r="D107" s="173"/>
      <c r="E107" s="119"/>
      <c r="F107" s="119"/>
      <c r="G107" s="119"/>
      <c r="H107" s="119"/>
      <c r="I107" s="119"/>
      <c r="J107" s="119"/>
      <c r="K107" s="119"/>
      <c r="L107" s="119"/>
      <c r="M107" s="119"/>
      <c r="N107" s="71"/>
      <c r="O107" s="355" t="s">
        <v>522</v>
      </c>
      <c r="P107" s="355"/>
      <c r="Q107" s="355"/>
      <c r="R107" s="355"/>
      <c r="S107" s="347"/>
      <c r="T107" s="505"/>
      <c r="U107" s="505"/>
      <c r="V107" s="347"/>
      <c r="W107" s="355"/>
      <c r="X107" s="347"/>
      <c r="Y107" s="347"/>
      <c r="Z107" s="347"/>
      <c r="AA107" s="347"/>
      <c r="AB107" s="347" t="s">
        <v>523</v>
      </c>
      <c r="AC107" s="347"/>
      <c r="AD107" s="347">
        <v>76000</v>
      </c>
      <c r="AE107" s="469" t="s">
        <v>25</v>
      </c>
      <c r="AF107" s="4"/>
    </row>
    <row r="108" spans="1:32" s="14" customFormat="1" ht="21" customHeight="1">
      <c r="A108" s="46"/>
      <c r="B108" s="47"/>
      <c r="C108" s="47"/>
      <c r="D108" s="173"/>
      <c r="E108" s="119"/>
      <c r="F108" s="119"/>
      <c r="G108" s="119"/>
      <c r="H108" s="119"/>
      <c r="I108" s="119"/>
      <c r="J108" s="119"/>
      <c r="K108" s="119"/>
      <c r="L108" s="119"/>
      <c r="M108" s="119"/>
      <c r="N108" s="71"/>
      <c r="O108" s="637"/>
      <c r="P108" s="637"/>
      <c r="Q108" s="637"/>
      <c r="R108" s="637"/>
      <c r="S108" s="636"/>
      <c r="T108" s="463"/>
      <c r="U108" s="463"/>
      <c r="V108" s="636"/>
      <c r="W108" s="637"/>
      <c r="X108" s="636"/>
      <c r="Y108" s="636"/>
      <c r="Z108" s="636"/>
      <c r="AA108" s="636"/>
      <c r="AB108" s="636" t="s">
        <v>820</v>
      </c>
      <c r="AC108" s="636"/>
      <c r="AD108" s="636">
        <v>500000</v>
      </c>
      <c r="AE108" s="150" t="s">
        <v>821</v>
      </c>
      <c r="AF108" s="4"/>
    </row>
    <row r="109" spans="1:32" s="14" customFormat="1" ht="21" customHeight="1">
      <c r="A109" s="46"/>
      <c r="B109" s="47"/>
      <c r="C109" s="47"/>
      <c r="D109" s="173"/>
      <c r="E109" s="119"/>
      <c r="F109" s="119"/>
      <c r="G109" s="119"/>
      <c r="H109" s="119"/>
      <c r="I109" s="119"/>
      <c r="J109" s="119"/>
      <c r="K109" s="119"/>
      <c r="L109" s="119"/>
      <c r="M109" s="119"/>
      <c r="N109" s="71"/>
      <c r="O109" s="637" t="s">
        <v>822</v>
      </c>
      <c r="P109" s="637"/>
      <c r="Q109" s="637"/>
      <c r="R109" s="637"/>
      <c r="S109" s="636">
        <v>50000</v>
      </c>
      <c r="T109" s="636" t="s">
        <v>821</v>
      </c>
      <c r="U109" s="637" t="s">
        <v>823</v>
      </c>
      <c r="V109" s="636">
        <v>4</v>
      </c>
      <c r="W109" s="636" t="s">
        <v>824</v>
      </c>
      <c r="X109" s="637" t="s">
        <v>823</v>
      </c>
      <c r="Y109" s="464">
        <v>4</v>
      </c>
      <c r="Z109" s="455" t="s">
        <v>825</v>
      </c>
      <c r="AA109" s="455" t="s">
        <v>826</v>
      </c>
      <c r="AB109" s="455" t="s">
        <v>820</v>
      </c>
      <c r="AC109" s="637"/>
      <c r="AD109" s="636">
        <f>S109*V109*Y109</f>
        <v>800000</v>
      </c>
      <c r="AE109" s="150" t="s">
        <v>821</v>
      </c>
      <c r="AF109" s="4"/>
    </row>
    <row r="110" spans="1:32" s="14" customFormat="1" ht="21" customHeight="1">
      <c r="A110" s="46"/>
      <c r="B110" s="47"/>
      <c r="C110" s="47"/>
      <c r="D110" s="173"/>
      <c r="E110" s="119"/>
      <c r="F110" s="119"/>
      <c r="G110" s="119"/>
      <c r="H110" s="119"/>
      <c r="I110" s="119"/>
      <c r="J110" s="119"/>
      <c r="K110" s="119"/>
      <c r="L110" s="119"/>
      <c r="M110" s="119"/>
      <c r="N110" s="71"/>
      <c r="O110" s="637" t="s">
        <v>827</v>
      </c>
      <c r="P110" s="637"/>
      <c r="Q110" s="637"/>
      <c r="R110" s="637"/>
      <c r="S110" s="636">
        <v>4000</v>
      </c>
      <c r="T110" s="636" t="s">
        <v>821</v>
      </c>
      <c r="U110" s="637" t="s">
        <v>823</v>
      </c>
      <c r="V110" s="636">
        <v>10</v>
      </c>
      <c r="W110" s="636" t="s">
        <v>824</v>
      </c>
      <c r="X110" s="637" t="s">
        <v>823</v>
      </c>
      <c r="Y110" s="464">
        <v>3</v>
      </c>
      <c r="Z110" s="455" t="s">
        <v>828</v>
      </c>
      <c r="AA110" s="455" t="s">
        <v>826</v>
      </c>
      <c r="AB110" s="455" t="s">
        <v>829</v>
      </c>
      <c r="AC110" s="637"/>
      <c r="AD110" s="636">
        <f>S110*V110*Y110</f>
        <v>120000</v>
      </c>
      <c r="AE110" s="150" t="s">
        <v>821</v>
      </c>
      <c r="AF110" s="4"/>
    </row>
    <row r="111" spans="1:32" s="14" customFormat="1" ht="21" customHeight="1">
      <c r="A111" s="46"/>
      <c r="B111" s="47"/>
      <c r="C111" s="47"/>
      <c r="D111" s="173"/>
      <c r="E111" s="119"/>
      <c r="F111" s="119"/>
      <c r="G111" s="119"/>
      <c r="H111" s="119"/>
      <c r="I111" s="119"/>
      <c r="J111" s="119"/>
      <c r="K111" s="119"/>
      <c r="L111" s="119"/>
      <c r="M111" s="119"/>
      <c r="N111" s="71"/>
      <c r="O111" s="637"/>
      <c r="P111" s="637"/>
      <c r="Q111" s="637"/>
      <c r="R111" s="637"/>
      <c r="S111" s="636"/>
      <c r="T111" s="463"/>
      <c r="U111" s="463"/>
      <c r="V111" s="636"/>
      <c r="W111" s="637"/>
      <c r="X111" s="636"/>
      <c r="Y111" s="636"/>
      <c r="Z111" s="636"/>
      <c r="AA111" s="636"/>
      <c r="AB111" s="636"/>
      <c r="AC111" s="636"/>
      <c r="AD111" s="636"/>
      <c r="AE111" s="150"/>
      <c r="AF111" s="4"/>
    </row>
    <row r="112" spans="1:32" s="11" customFormat="1" ht="21" customHeight="1">
      <c r="A112" s="46"/>
      <c r="B112" s="37" t="s">
        <v>12</v>
      </c>
      <c r="C112" s="187" t="s">
        <v>5</v>
      </c>
      <c r="D112" s="188">
        <f t="shared" ref="D112:L112" si="6">SUM(D113,D120,D142,D153,D169,D176)</f>
        <v>85906</v>
      </c>
      <c r="E112" s="188">
        <f t="shared" si="6"/>
        <v>92705</v>
      </c>
      <c r="F112" s="188">
        <f t="shared" si="6"/>
        <v>51076</v>
      </c>
      <c r="G112" s="188">
        <f t="shared" si="6"/>
        <v>3600</v>
      </c>
      <c r="H112" s="188">
        <f t="shared" si="6"/>
        <v>0</v>
      </c>
      <c r="I112" s="188">
        <f t="shared" si="6"/>
        <v>33995</v>
      </c>
      <c r="J112" s="188">
        <f t="shared" si="6"/>
        <v>1500</v>
      </c>
      <c r="K112" s="188">
        <f t="shared" si="6"/>
        <v>2000</v>
      </c>
      <c r="L112" s="188">
        <f t="shared" si="6"/>
        <v>534</v>
      </c>
      <c r="M112" s="188">
        <f>E112-D112</f>
        <v>6799</v>
      </c>
      <c r="N112" s="189">
        <f>IF(D112=0,0,M112/D112)</f>
        <v>7.9144646474053032E-2</v>
      </c>
      <c r="O112" s="190" t="s">
        <v>166</v>
      </c>
      <c r="P112" s="190"/>
      <c r="Q112" s="190"/>
      <c r="R112" s="190"/>
      <c r="S112" s="191"/>
      <c r="T112" s="209"/>
      <c r="U112" s="191"/>
      <c r="V112" s="772"/>
      <c r="W112" s="773"/>
      <c r="X112" s="191"/>
      <c r="Y112" s="191"/>
      <c r="Z112" s="191"/>
      <c r="AA112" s="191"/>
      <c r="AB112" s="191"/>
      <c r="AC112" s="191"/>
      <c r="AD112" s="191">
        <f>SUM(AD113,AD120,AD142,AD153,AD169,AD176)</f>
        <v>92705000</v>
      </c>
      <c r="AE112" s="192" t="s">
        <v>25</v>
      </c>
      <c r="AF112" s="1"/>
    </row>
    <row r="113" spans="1:34" s="11" customFormat="1" ht="21" customHeight="1">
      <c r="A113" s="46"/>
      <c r="B113" s="47"/>
      <c r="C113" s="47" t="s">
        <v>90</v>
      </c>
      <c r="D113" s="173">
        <v>5400</v>
      </c>
      <c r="E113" s="119">
        <f>AD113/1000</f>
        <v>4200</v>
      </c>
      <c r="F113" s="119">
        <f>AD116/1000</f>
        <v>1076</v>
      </c>
      <c r="G113" s="119">
        <v>0</v>
      </c>
      <c r="H113" s="119">
        <v>0</v>
      </c>
      <c r="I113" s="119">
        <f>AD117/1000</f>
        <v>1990</v>
      </c>
      <c r="J113" s="119">
        <v>0</v>
      </c>
      <c r="K113" s="119">
        <v>600</v>
      </c>
      <c r="L113" s="119">
        <f>AD118/1000</f>
        <v>534</v>
      </c>
      <c r="M113" s="119">
        <f>E113-D113</f>
        <v>-1200</v>
      </c>
      <c r="N113" s="71">
        <f>IF(D113=0,0,M113/D113)</f>
        <v>-0.22222222222222221</v>
      </c>
      <c r="O113" s="127" t="s">
        <v>40</v>
      </c>
      <c r="P113" s="33"/>
      <c r="Q113" s="33"/>
      <c r="R113" s="33"/>
      <c r="S113" s="33"/>
      <c r="T113" s="34"/>
      <c r="U113" s="34"/>
      <c r="V113" s="34"/>
      <c r="W113" s="34"/>
      <c r="X113" s="34"/>
      <c r="Y113" s="605" t="s">
        <v>164</v>
      </c>
      <c r="Z113" s="605"/>
      <c r="AA113" s="605"/>
      <c r="AB113" s="605"/>
      <c r="AC113" s="193"/>
      <c r="AD113" s="193">
        <f>SUM(AD114:AD115)</f>
        <v>4200000</v>
      </c>
      <c r="AE113" s="192" t="s">
        <v>25</v>
      </c>
      <c r="AF113" s="20"/>
      <c r="AG113" s="19"/>
      <c r="AH113" s="19"/>
    </row>
    <row r="114" spans="1:34" s="11" customFormat="1" ht="21" customHeight="1">
      <c r="A114" s="46"/>
      <c r="B114" s="47"/>
      <c r="C114" s="47"/>
      <c r="D114" s="173"/>
      <c r="E114" s="119"/>
      <c r="F114" s="119"/>
      <c r="G114" s="119"/>
      <c r="H114" s="119"/>
      <c r="I114" s="119"/>
      <c r="J114" s="119"/>
      <c r="K114" s="119"/>
      <c r="L114" s="119"/>
      <c r="M114" s="119"/>
      <c r="N114" s="71"/>
      <c r="O114" s="637" t="s">
        <v>830</v>
      </c>
      <c r="P114" s="637"/>
      <c r="Q114" s="637"/>
      <c r="R114" s="637"/>
      <c r="S114" s="636">
        <v>50000</v>
      </c>
      <c r="T114" s="636" t="s">
        <v>821</v>
      </c>
      <c r="U114" s="659" t="s">
        <v>823</v>
      </c>
      <c r="V114" s="636">
        <v>1</v>
      </c>
      <c r="W114" s="636" t="s">
        <v>824</v>
      </c>
      <c r="X114" s="659" t="s">
        <v>823</v>
      </c>
      <c r="Y114" s="636">
        <v>12</v>
      </c>
      <c r="Z114" s="636" t="s">
        <v>29</v>
      </c>
      <c r="AA114" s="636" t="s">
        <v>826</v>
      </c>
      <c r="AB114" s="636" t="s">
        <v>820</v>
      </c>
      <c r="AC114" s="149"/>
      <c r="AD114" s="149">
        <f>S114*V114*Y114</f>
        <v>600000</v>
      </c>
      <c r="AE114" s="150" t="s">
        <v>25</v>
      </c>
      <c r="AF114" s="2"/>
    </row>
    <row r="115" spans="1:34" s="11" customFormat="1" ht="21" customHeight="1">
      <c r="A115" s="46"/>
      <c r="B115" s="47"/>
      <c r="C115" s="47"/>
      <c r="D115" s="173"/>
      <c r="E115" s="119"/>
      <c r="F115" s="119"/>
      <c r="G115" s="119"/>
      <c r="H115" s="119"/>
      <c r="I115" s="119"/>
      <c r="J115" s="119"/>
      <c r="K115" s="119"/>
      <c r="L115" s="119"/>
      <c r="M115" s="119"/>
      <c r="N115" s="71"/>
      <c r="O115" s="355" t="s">
        <v>549</v>
      </c>
      <c r="P115" s="355"/>
      <c r="Q115" s="355"/>
      <c r="R115" s="355"/>
      <c r="S115" s="347">
        <v>24000</v>
      </c>
      <c r="T115" s="505" t="s">
        <v>25</v>
      </c>
      <c r="U115" s="505" t="s">
        <v>26</v>
      </c>
      <c r="V115" s="347">
        <v>30</v>
      </c>
      <c r="W115" s="505" t="s">
        <v>167</v>
      </c>
      <c r="X115" s="347" t="s">
        <v>26</v>
      </c>
      <c r="Y115" s="347">
        <v>5</v>
      </c>
      <c r="Z115" s="347" t="s">
        <v>515</v>
      </c>
      <c r="AA115" s="347" t="s">
        <v>27</v>
      </c>
      <c r="AB115" s="347"/>
      <c r="AC115" s="347"/>
      <c r="AD115" s="347">
        <f>S115*V115*Y115</f>
        <v>3600000</v>
      </c>
      <c r="AE115" s="469" t="s">
        <v>514</v>
      </c>
      <c r="AF115" s="2"/>
    </row>
    <row r="116" spans="1:34" s="11" customFormat="1" ht="21" customHeight="1">
      <c r="A116" s="46"/>
      <c r="B116" s="47"/>
      <c r="C116" s="47"/>
      <c r="D116" s="173"/>
      <c r="E116" s="119"/>
      <c r="F116" s="119"/>
      <c r="G116" s="119"/>
      <c r="H116" s="119"/>
      <c r="I116" s="119"/>
      <c r="J116" s="119"/>
      <c r="K116" s="119"/>
      <c r="L116" s="119"/>
      <c r="M116" s="119"/>
      <c r="N116" s="71"/>
      <c r="O116" s="355"/>
      <c r="P116" s="355"/>
      <c r="Q116" s="355"/>
      <c r="R116" s="355"/>
      <c r="S116" s="347"/>
      <c r="T116" s="505"/>
      <c r="U116" s="505"/>
      <c r="V116" s="347"/>
      <c r="W116" s="505"/>
      <c r="X116" s="347"/>
      <c r="Y116" s="347"/>
      <c r="Z116" s="347"/>
      <c r="AA116" s="347"/>
      <c r="AB116" s="638" t="s">
        <v>731</v>
      </c>
      <c r="AC116" s="638"/>
      <c r="AD116" s="638">
        <v>1076000</v>
      </c>
      <c r="AE116" s="639" t="s">
        <v>669</v>
      </c>
      <c r="AF116" s="2"/>
    </row>
    <row r="117" spans="1:34" s="11" customFormat="1" ht="21" customHeight="1">
      <c r="A117" s="46"/>
      <c r="B117" s="47"/>
      <c r="C117" s="47"/>
      <c r="D117" s="173"/>
      <c r="E117" s="119"/>
      <c r="F117" s="119"/>
      <c r="G117" s="119"/>
      <c r="H117" s="119"/>
      <c r="I117" s="119"/>
      <c r="J117" s="119"/>
      <c r="K117" s="119"/>
      <c r="L117" s="119"/>
      <c r="M117" s="119"/>
      <c r="N117" s="71"/>
      <c r="O117" s="355"/>
      <c r="P117" s="355"/>
      <c r="Q117" s="355"/>
      <c r="R117" s="355"/>
      <c r="S117" s="347"/>
      <c r="T117" s="505"/>
      <c r="U117" s="505"/>
      <c r="V117" s="347"/>
      <c r="W117" s="505"/>
      <c r="X117" s="347"/>
      <c r="Y117" s="347"/>
      <c r="Z117" s="347"/>
      <c r="AA117" s="347"/>
      <c r="AB117" s="638" t="s">
        <v>789</v>
      </c>
      <c r="AC117" s="638"/>
      <c r="AD117" s="638">
        <v>1990000</v>
      </c>
      <c r="AE117" s="639" t="s">
        <v>669</v>
      </c>
      <c r="AF117" s="2"/>
    </row>
    <row r="118" spans="1:34" s="11" customFormat="1" ht="21" customHeight="1">
      <c r="A118" s="46"/>
      <c r="B118" s="47"/>
      <c r="C118" s="47"/>
      <c r="D118" s="173"/>
      <c r="E118" s="119"/>
      <c r="F118" s="119"/>
      <c r="G118" s="119"/>
      <c r="H118" s="119"/>
      <c r="I118" s="119"/>
      <c r="J118" s="119"/>
      <c r="K118" s="119"/>
      <c r="L118" s="119"/>
      <c r="M118" s="119"/>
      <c r="N118" s="71"/>
      <c r="O118" s="355"/>
      <c r="P118" s="355"/>
      <c r="Q118" s="355"/>
      <c r="R118" s="355"/>
      <c r="S118" s="347"/>
      <c r="T118" s="505"/>
      <c r="U118" s="505"/>
      <c r="V118" s="347"/>
      <c r="W118" s="505"/>
      <c r="X118" s="347"/>
      <c r="Y118" s="347"/>
      <c r="Z118" s="347"/>
      <c r="AA118" s="347"/>
      <c r="AB118" s="638" t="s">
        <v>790</v>
      </c>
      <c r="AC118" s="638"/>
      <c r="AD118" s="638">
        <v>534000</v>
      </c>
      <c r="AE118" s="639" t="s">
        <v>669</v>
      </c>
      <c r="AF118" s="2"/>
    </row>
    <row r="119" spans="1:34" s="11" customFormat="1" ht="21" customHeight="1">
      <c r="A119" s="46"/>
      <c r="B119" s="47"/>
      <c r="C119" s="47"/>
      <c r="D119" s="173"/>
      <c r="E119" s="119"/>
      <c r="F119" s="119"/>
      <c r="G119" s="119"/>
      <c r="H119" s="119"/>
      <c r="I119" s="119"/>
      <c r="J119" s="119"/>
      <c r="K119" s="119"/>
      <c r="L119" s="119"/>
      <c r="M119" s="119"/>
      <c r="N119" s="71"/>
      <c r="O119" s="206"/>
      <c r="P119" s="51"/>
      <c r="Q119" s="51"/>
      <c r="R119" s="51"/>
      <c r="S119" s="52"/>
      <c r="T119" s="56"/>
      <c r="U119" s="56"/>
      <c r="V119" s="52"/>
      <c r="W119" s="56"/>
      <c r="X119" s="52"/>
      <c r="Y119" s="52"/>
      <c r="Z119" s="205"/>
      <c r="AA119" s="52"/>
      <c r="AB119" s="205"/>
      <c r="AC119" s="52"/>
      <c r="AD119" s="52"/>
      <c r="AE119" s="58" t="s">
        <v>67</v>
      </c>
      <c r="AF119" s="2"/>
    </row>
    <row r="120" spans="1:34" s="11" customFormat="1" ht="21" customHeight="1">
      <c r="A120" s="46"/>
      <c r="B120" s="47"/>
      <c r="C120" s="37" t="s">
        <v>41</v>
      </c>
      <c r="D120" s="175">
        <v>21590</v>
      </c>
      <c r="E120" s="124">
        <f>ROUND(AD120/1000,0)</f>
        <v>21688</v>
      </c>
      <c r="F120" s="136">
        <v>15000</v>
      </c>
      <c r="G120" s="136">
        <v>0</v>
      </c>
      <c r="H120" s="136">
        <v>0</v>
      </c>
      <c r="I120" s="136">
        <f>SUM(AD126,AD129:AD131,AD133,AD136,AD138)/1000+150</f>
        <v>5188</v>
      </c>
      <c r="J120" s="136">
        <f>AD135/1000</f>
        <v>1500</v>
      </c>
      <c r="K120" s="136">
        <v>0</v>
      </c>
      <c r="L120" s="136">
        <v>0</v>
      </c>
      <c r="M120" s="124">
        <f>E120-D120</f>
        <v>98</v>
      </c>
      <c r="N120" s="132">
        <f>IF(D120=0,0,M120/D120)</f>
        <v>4.5391384900416859E-3</v>
      </c>
      <c r="O120" s="470" t="s">
        <v>42</v>
      </c>
      <c r="P120" s="471"/>
      <c r="Q120" s="471"/>
      <c r="R120" s="471"/>
      <c r="S120" s="471"/>
      <c r="T120" s="472"/>
      <c r="U120" s="472"/>
      <c r="V120" s="472"/>
      <c r="W120" s="472"/>
      <c r="X120" s="472"/>
      <c r="Y120" s="473" t="s">
        <v>28</v>
      </c>
      <c r="Z120" s="473"/>
      <c r="AA120" s="473"/>
      <c r="AB120" s="473"/>
      <c r="AC120" s="474"/>
      <c r="AD120" s="474">
        <f>SUM(AD121:AD138)</f>
        <v>21688000</v>
      </c>
      <c r="AE120" s="192" t="s">
        <v>25</v>
      </c>
      <c r="AF120" s="1"/>
    </row>
    <row r="121" spans="1:34" s="11" customFormat="1" ht="21" customHeight="1">
      <c r="A121" s="46"/>
      <c r="B121" s="47"/>
      <c r="C121" s="47" t="s">
        <v>171</v>
      </c>
      <c r="D121" s="173"/>
      <c r="E121" s="119"/>
      <c r="F121" s="119"/>
      <c r="G121" s="119"/>
      <c r="H121" s="119"/>
      <c r="I121" s="119"/>
      <c r="J121" s="119"/>
      <c r="K121" s="119"/>
      <c r="L121" s="119"/>
      <c r="M121" s="119"/>
      <c r="N121" s="71"/>
      <c r="O121" s="475" t="s">
        <v>831</v>
      </c>
      <c r="P121" s="637"/>
      <c r="Q121" s="637"/>
      <c r="R121" s="637"/>
      <c r="S121" s="636"/>
      <c r="T121" s="463"/>
      <c r="U121" s="636"/>
      <c r="V121" s="768"/>
      <c r="W121" s="769"/>
      <c r="X121" s="636"/>
      <c r="Y121" s="457"/>
      <c r="Z121" s="457"/>
      <c r="AA121" s="457"/>
      <c r="AB121" s="457" t="s">
        <v>832</v>
      </c>
      <c r="AC121" s="457"/>
      <c r="AD121" s="457">
        <v>1500000</v>
      </c>
      <c r="AE121" s="669" t="s">
        <v>25</v>
      </c>
      <c r="AF121" s="1"/>
    </row>
    <row r="122" spans="1:34" s="11" customFormat="1" ht="21" customHeight="1">
      <c r="A122" s="46"/>
      <c r="B122" s="47"/>
      <c r="C122" s="47"/>
      <c r="D122" s="173"/>
      <c r="E122" s="119"/>
      <c r="F122" s="119"/>
      <c r="G122" s="119"/>
      <c r="H122" s="119"/>
      <c r="I122" s="119"/>
      <c r="J122" s="119"/>
      <c r="K122" s="119"/>
      <c r="L122" s="119"/>
      <c r="M122" s="119"/>
      <c r="N122" s="71"/>
      <c r="O122" s="637" t="s">
        <v>833</v>
      </c>
      <c r="P122" s="637"/>
      <c r="Q122" s="637"/>
      <c r="R122" s="637"/>
      <c r="S122" s="636"/>
      <c r="T122" s="463"/>
      <c r="U122" s="463"/>
      <c r="V122" s="636"/>
      <c r="W122" s="637"/>
      <c r="X122" s="636"/>
      <c r="Y122" s="636"/>
      <c r="Z122" s="636"/>
      <c r="AA122" s="636"/>
      <c r="AB122" s="636" t="s">
        <v>832</v>
      </c>
      <c r="AC122" s="636"/>
      <c r="AD122" s="636">
        <v>1345000</v>
      </c>
      <c r="AE122" s="150" t="s">
        <v>25</v>
      </c>
      <c r="AF122" s="20"/>
    </row>
    <row r="123" spans="1:34" s="11" customFormat="1" ht="21" customHeight="1">
      <c r="A123" s="46"/>
      <c r="B123" s="47"/>
      <c r="C123" s="47"/>
      <c r="D123" s="173"/>
      <c r="E123" s="119"/>
      <c r="F123" s="119"/>
      <c r="G123" s="119"/>
      <c r="H123" s="119"/>
      <c r="I123" s="119"/>
      <c r="J123" s="119"/>
      <c r="K123" s="119"/>
      <c r="L123" s="119"/>
      <c r="M123" s="119"/>
      <c r="N123" s="71"/>
      <c r="O123" s="637" t="s">
        <v>834</v>
      </c>
      <c r="P123" s="637"/>
      <c r="Q123" s="637"/>
      <c r="R123" s="637"/>
      <c r="S123" s="636"/>
      <c r="T123" s="463"/>
      <c r="U123" s="463"/>
      <c r="V123" s="636"/>
      <c r="W123" s="637"/>
      <c r="X123" s="636"/>
      <c r="Y123" s="636"/>
      <c r="Z123" s="636"/>
      <c r="AA123" s="636"/>
      <c r="AB123" s="636" t="s">
        <v>832</v>
      </c>
      <c r="AC123" s="636"/>
      <c r="AD123" s="636">
        <v>1200000</v>
      </c>
      <c r="AE123" s="150" t="s">
        <v>25</v>
      </c>
      <c r="AF123" s="20"/>
    </row>
    <row r="124" spans="1:34" s="11" customFormat="1" ht="21" customHeight="1">
      <c r="A124" s="46"/>
      <c r="B124" s="47"/>
      <c r="C124" s="47"/>
      <c r="D124" s="173"/>
      <c r="E124" s="119"/>
      <c r="F124" s="119"/>
      <c r="G124" s="119"/>
      <c r="H124" s="119"/>
      <c r="I124" s="119"/>
      <c r="J124" s="119"/>
      <c r="K124" s="119"/>
      <c r="L124" s="119"/>
      <c r="M124" s="119"/>
      <c r="N124" s="71"/>
      <c r="O124" s="637" t="s">
        <v>835</v>
      </c>
      <c r="P124" s="637"/>
      <c r="Q124" s="637"/>
      <c r="R124" s="637"/>
      <c r="S124" s="636"/>
      <c r="T124" s="463"/>
      <c r="U124" s="463"/>
      <c r="V124" s="636"/>
      <c r="W124" s="637"/>
      <c r="X124" s="636"/>
      <c r="Y124" s="636"/>
      <c r="Z124" s="636"/>
      <c r="AA124" s="636"/>
      <c r="AB124" s="636" t="s">
        <v>832</v>
      </c>
      <c r="AC124" s="636"/>
      <c r="AD124" s="636">
        <v>695000</v>
      </c>
      <c r="AE124" s="150" t="s">
        <v>821</v>
      </c>
      <c r="AF124" s="20"/>
    </row>
    <row r="125" spans="1:34" s="11" customFormat="1" ht="21" customHeight="1">
      <c r="A125" s="46"/>
      <c r="B125" s="47"/>
      <c r="C125" s="47"/>
      <c r="D125" s="173"/>
      <c r="E125" s="119"/>
      <c r="F125" s="119"/>
      <c r="G125" s="119"/>
      <c r="H125" s="119"/>
      <c r="I125" s="119"/>
      <c r="J125" s="119"/>
      <c r="K125" s="119"/>
      <c r="L125" s="119"/>
      <c r="M125" s="119"/>
      <c r="N125" s="71"/>
      <c r="O125" s="637" t="s">
        <v>836</v>
      </c>
      <c r="P125" s="637"/>
      <c r="Q125" s="637"/>
      <c r="R125" s="637"/>
      <c r="S125" s="476">
        <v>140000</v>
      </c>
      <c r="T125" s="477" t="s">
        <v>821</v>
      </c>
      <c r="U125" s="477" t="s">
        <v>26</v>
      </c>
      <c r="V125" s="476">
        <v>4</v>
      </c>
      <c r="W125" s="478" t="s">
        <v>29</v>
      </c>
      <c r="X125" s="476" t="s">
        <v>27</v>
      </c>
      <c r="Y125" s="476"/>
      <c r="Z125" s="476"/>
      <c r="AA125" s="476"/>
      <c r="AB125" s="476" t="s">
        <v>832</v>
      </c>
      <c r="AC125" s="476"/>
      <c r="AD125" s="636">
        <f>S125*V125</f>
        <v>560000</v>
      </c>
      <c r="AE125" s="150" t="s">
        <v>821</v>
      </c>
      <c r="AF125" s="20"/>
    </row>
    <row r="126" spans="1:34" s="11" customFormat="1" ht="21" customHeight="1">
      <c r="A126" s="46"/>
      <c r="B126" s="47"/>
      <c r="C126" s="47"/>
      <c r="D126" s="173"/>
      <c r="E126" s="119"/>
      <c r="F126" s="119"/>
      <c r="G126" s="119"/>
      <c r="H126" s="119"/>
      <c r="I126" s="119"/>
      <c r="J126" s="119"/>
      <c r="K126" s="119"/>
      <c r="L126" s="119"/>
      <c r="M126" s="119"/>
      <c r="N126" s="71"/>
      <c r="O126" s="637" t="s">
        <v>837</v>
      </c>
      <c r="P126" s="637"/>
      <c r="Q126" s="637"/>
      <c r="R126" s="637"/>
      <c r="S126" s="636"/>
      <c r="T126" s="463"/>
      <c r="U126" s="463"/>
      <c r="V126" s="636"/>
      <c r="W126" s="637"/>
      <c r="X126" s="636"/>
      <c r="Y126" s="636"/>
      <c r="Z126" s="636"/>
      <c r="AA126" s="636"/>
      <c r="AB126" s="636" t="s">
        <v>838</v>
      </c>
      <c r="AC126" s="636"/>
      <c r="AD126" s="636">
        <v>350000</v>
      </c>
      <c r="AE126" s="150" t="s">
        <v>821</v>
      </c>
      <c r="AF126" s="20"/>
    </row>
    <row r="127" spans="1:34" s="11" customFormat="1" ht="21" customHeight="1">
      <c r="A127" s="46"/>
      <c r="B127" s="47"/>
      <c r="C127" s="47"/>
      <c r="D127" s="173"/>
      <c r="E127" s="119"/>
      <c r="F127" s="119"/>
      <c r="G127" s="119"/>
      <c r="H127" s="119"/>
      <c r="I127" s="119"/>
      <c r="J127" s="119"/>
      <c r="K127" s="119"/>
      <c r="L127" s="119"/>
      <c r="M127" s="119"/>
      <c r="N127" s="71"/>
      <c r="O127" s="637" t="s">
        <v>839</v>
      </c>
      <c r="P127" s="637"/>
      <c r="Q127" s="637"/>
      <c r="R127" s="637"/>
      <c r="S127" s="636"/>
      <c r="T127" s="463"/>
      <c r="U127" s="463"/>
      <c r="V127" s="636"/>
      <c r="W127" s="637"/>
      <c r="X127" s="636"/>
      <c r="Y127" s="636"/>
      <c r="Z127" s="636"/>
      <c r="AA127" s="636"/>
      <c r="AB127" s="636" t="s">
        <v>832</v>
      </c>
      <c r="AC127" s="636"/>
      <c r="AD127" s="636">
        <v>600000</v>
      </c>
      <c r="AE127" s="150" t="s">
        <v>821</v>
      </c>
      <c r="AF127" s="20"/>
    </row>
    <row r="128" spans="1:34" s="11" customFormat="1" ht="21" customHeight="1">
      <c r="A128" s="46"/>
      <c r="B128" s="47"/>
      <c r="C128" s="47"/>
      <c r="D128" s="173"/>
      <c r="E128" s="119"/>
      <c r="F128" s="119"/>
      <c r="G128" s="119"/>
      <c r="H128" s="119"/>
      <c r="I128" s="119"/>
      <c r="J128" s="119"/>
      <c r="K128" s="119"/>
      <c r="L128" s="119"/>
      <c r="M128" s="119"/>
      <c r="N128" s="71"/>
      <c r="O128" s="637" t="s">
        <v>840</v>
      </c>
      <c r="P128" s="637"/>
      <c r="Q128" s="637"/>
      <c r="R128" s="637"/>
      <c r="S128" s="636"/>
      <c r="T128" s="463"/>
      <c r="U128" s="463"/>
      <c r="V128" s="636"/>
      <c r="W128" s="637"/>
      <c r="X128" s="636"/>
      <c r="Y128" s="636"/>
      <c r="Z128" s="636"/>
      <c r="AA128" s="636"/>
      <c r="AB128" s="636" t="s">
        <v>832</v>
      </c>
      <c r="AC128" s="636"/>
      <c r="AD128" s="636">
        <v>3000000</v>
      </c>
      <c r="AE128" s="150" t="s">
        <v>25</v>
      </c>
      <c r="AF128" s="20"/>
    </row>
    <row r="129" spans="1:32" s="11" customFormat="1" ht="21" customHeight="1">
      <c r="A129" s="46"/>
      <c r="B129" s="47"/>
      <c r="C129" s="47"/>
      <c r="D129" s="173"/>
      <c r="E129" s="119"/>
      <c r="F129" s="119"/>
      <c r="G129" s="119"/>
      <c r="H129" s="119"/>
      <c r="I129" s="119"/>
      <c r="J129" s="119"/>
      <c r="K129" s="119"/>
      <c r="L129" s="119"/>
      <c r="M129" s="119"/>
      <c r="N129" s="71"/>
      <c r="O129" s="637" t="s">
        <v>841</v>
      </c>
      <c r="P129" s="637"/>
      <c r="Q129" s="637"/>
      <c r="R129" s="637"/>
      <c r="S129" s="636"/>
      <c r="T129" s="463"/>
      <c r="U129" s="463"/>
      <c r="V129" s="636"/>
      <c r="W129" s="637"/>
      <c r="X129" s="636"/>
      <c r="Y129" s="636"/>
      <c r="Z129" s="636"/>
      <c r="AA129" s="636"/>
      <c r="AB129" s="636" t="s">
        <v>838</v>
      </c>
      <c r="AC129" s="636"/>
      <c r="AD129" s="636">
        <v>450000</v>
      </c>
      <c r="AE129" s="150" t="s">
        <v>25</v>
      </c>
      <c r="AF129" s="20"/>
    </row>
    <row r="130" spans="1:32" s="11" customFormat="1" ht="21" customHeight="1">
      <c r="A130" s="46"/>
      <c r="B130" s="47"/>
      <c r="C130" s="47"/>
      <c r="D130" s="173"/>
      <c r="E130" s="119"/>
      <c r="F130" s="119"/>
      <c r="G130" s="119"/>
      <c r="H130" s="119"/>
      <c r="I130" s="119"/>
      <c r="J130" s="119"/>
      <c r="K130" s="119"/>
      <c r="L130" s="119"/>
      <c r="M130" s="119"/>
      <c r="N130" s="71"/>
      <c r="O130" s="637" t="s">
        <v>842</v>
      </c>
      <c r="P130" s="637"/>
      <c r="Q130" s="637"/>
      <c r="R130" s="637"/>
      <c r="S130" s="636"/>
      <c r="T130" s="463"/>
      <c r="U130" s="463"/>
      <c r="V130" s="636"/>
      <c r="W130" s="637"/>
      <c r="X130" s="636"/>
      <c r="Y130" s="636"/>
      <c r="Z130" s="636"/>
      <c r="AA130" s="636"/>
      <c r="AB130" s="636" t="s">
        <v>838</v>
      </c>
      <c r="AC130" s="636"/>
      <c r="AD130" s="636">
        <v>700000</v>
      </c>
      <c r="AE130" s="150" t="s">
        <v>821</v>
      </c>
      <c r="AF130" s="20"/>
    </row>
    <row r="131" spans="1:32" s="11" customFormat="1" ht="21" customHeight="1">
      <c r="A131" s="46"/>
      <c r="B131" s="47"/>
      <c r="C131" s="47"/>
      <c r="D131" s="173"/>
      <c r="E131" s="119"/>
      <c r="F131" s="119"/>
      <c r="G131" s="119"/>
      <c r="H131" s="119"/>
      <c r="I131" s="119"/>
      <c r="J131" s="119"/>
      <c r="K131" s="119"/>
      <c r="L131" s="119"/>
      <c r="M131" s="119"/>
      <c r="N131" s="71"/>
      <c r="O131" s="637" t="s">
        <v>843</v>
      </c>
      <c r="P131" s="637"/>
      <c r="Q131" s="637"/>
      <c r="R131" s="637"/>
      <c r="S131" s="636"/>
      <c r="T131" s="463"/>
      <c r="U131" s="463"/>
      <c r="V131" s="636"/>
      <c r="W131" s="637"/>
      <c r="X131" s="636"/>
      <c r="Y131" s="636"/>
      <c r="Z131" s="636"/>
      <c r="AA131" s="636"/>
      <c r="AB131" s="636" t="s">
        <v>838</v>
      </c>
      <c r="AC131" s="636"/>
      <c r="AD131" s="636">
        <v>800000</v>
      </c>
      <c r="AE131" s="150" t="s">
        <v>821</v>
      </c>
      <c r="AF131" s="20"/>
    </row>
    <row r="132" spans="1:32" s="11" customFormat="1" ht="21" customHeight="1">
      <c r="A132" s="46"/>
      <c r="B132" s="47"/>
      <c r="C132" s="47"/>
      <c r="D132" s="173"/>
      <c r="E132" s="119"/>
      <c r="F132" s="119"/>
      <c r="G132" s="119"/>
      <c r="H132" s="119"/>
      <c r="I132" s="119"/>
      <c r="J132" s="119"/>
      <c r="K132" s="119"/>
      <c r="L132" s="119"/>
      <c r="M132" s="119"/>
      <c r="N132" s="71"/>
      <c r="O132" s="637" t="s">
        <v>844</v>
      </c>
      <c r="P132" s="637"/>
      <c r="Q132" s="637"/>
      <c r="R132" s="637"/>
      <c r="S132" s="636"/>
      <c r="T132" s="463"/>
      <c r="U132" s="463"/>
      <c r="V132" s="636"/>
      <c r="W132" s="637"/>
      <c r="X132" s="636"/>
      <c r="Y132" s="636"/>
      <c r="Z132" s="636"/>
      <c r="AA132" s="636"/>
      <c r="AB132" s="636" t="s">
        <v>809</v>
      </c>
      <c r="AC132" s="636"/>
      <c r="AD132" s="636">
        <v>2000000</v>
      </c>
      <c r="AE132" s="150" t="s">
        <v>794</v>
      </c>
      <c r="AF132" s="20"/>
    </row>
    <row r="133" spans="1:32" s="11" customFormat="1" ht="21" customHeight="1">
      <c r="A133" s="46"/>
      <c r="B133" s="47"/>
      <c r="C133" s="47"/>
      <c r="D133" s="173"/>
      <c r="E133" s="119"/>
      <c r="F133" s="119"/>
      <c r="G133" s="119"/>
      <c r="H133" s="119"/>
      <c r="I133" s="119"/>
      <c r="J133" s="119"/>
      <c r="K133" s="119"/>
      <c r="L133" s="119"/>
      <c r="M133" s="119"/>
      <c r="N133" s="71"/>
      <c r="O133" s="637" t="s">
        <v>845</v>
      </c>
      <c r="P133" s="637"/>
      <c r="Q133" s="637"/>
      <c r="R133" s="637"/>
      <c r="S133" s="636"/>
      <c r="T133" s="463"/>
      <c r="U133" s="463"/>
      <c r="V133" s="636"/>
      <c r="W133" s="637"/>
      <c r="X133" s="636"/>
      <c r="Y133" s="636"/>
      <c r="Z133" s="636"/>
      <c r="AA133" s="636"/>
      <c r="AB133" s="636" t="s">
        <v>807</v>
      </c>
      <c r="AC133" s="636"/>
      <c r="AD133" s="636">
        <v>1500000</v>
      </c>
      <c r="AE133" s="150" t="s">
        <v>794</v>
      </c>
      <c r="AF133" s="20"/>
    </row>
    <row r="134" spans="1:32" s="11" customFormat="1" ht="21" customHeight="1">
      <c r="A134" s="46"/>
      <c r="B134" s="47"/>
      <c r="C134" s="47"/>
      <c r="D134" s="173"/>
      <c r="E134" s="119"/>
      <c r="F134" s="119"/>
      <c r="G134" s="119"/>
      <c r="H134" s="119"/>
      <c r="I134" s="119"/>
      <c r="J134" s="119"/>
      <c r="K134" s="119"/>
      <c r="L134" s="119"/>
      <c r="M134" s="119"/>
      <c r="N134" s="71"/>
      <c r="O134" s="637" t="s">
        <v>846</v>
      </c>
      <c r="P134" s="637"/>
      <c r="Q134" s="637"/>
      <c r="R134" s="637"/>
      <c r="S134" s="476">
        <v>250000</v>
      </c>
      <c r="T134" s="477" t="s">
        <v>794</v>
      </c>
      <c r="U134" s="477" t="s">
        <v>26</v>
      </c>
      <c r="V134" s="476">
        <v>9</v>
      </c>
      <c r="W134" s="478" t="s">
        <v>29</v>
      </c>
      <c r="X134" s="476" t="s">
        <v>27</v>
      </c>
      <c r="Y134" s="476"/>
      <c r="Z134" s="476"/>
      <c r="AA134" s="476"/>
      <c r="AB134" s="476" t="s">
        <v>809</v>
      </c>
      <c r="AC134" s="476"/>
      <c r="AD134" s="636">
        <f>S134*V134</f>
        <v>2250000</v>
      </c>
      <c r="AE134" s="150" t="s">
        <v>794</v>
      </c>
      <c r="AF134" s="20"/>
    </row>
    <row r="135" spans="1:32" s="11" customFormat="1" ht="21" customHeight="1">
      <c r="A135" s="46"/>
      <c r="B135" s="47"/>
      <c r="C135" s="47"/>
      <c r="D135" s="173"/>
      <c r="E135" s="119"/>
      <c r="F135" s="119"/>
      <c r="G135" s="119"/>
      <c r="H135" s="119"/>
      <c r="I135" s="119"/>
      <c r="J135" s="119"/>
      <c r="K135" s="119"/>
      <c r="L135" s="119"/>
      <c r="M135" s="119"/>
      <c r="N135" s="71"/>
      <c r="O135" s="637"/>
      <c r="P135" s="637"/>
      <c r="Q135" s="637"/>
      <c r="R135" s="637"/>
      <c r="S135" s="476"/>
      <c r="T135" s="477"/>
      <c r="U135" s="477"/>
      <c r="V135" s="476"/>
      <c r="W135" s="478"/>
      <c r="X135" s="476"/>
      <c r="Y135" s="476"/>
      <c r="Z135" s="476"/>
      <c r="AA135" s="476"/>
      <c r="AB135" s="476" t="s">
        <v>847</v>
      </c>
      <c r="AC135" s="476"/>
      <c r="AD135" s="636">
        <v>1500000</v>
      </c>
      <c r="AE135" s="150" t="s">
        <v>794</v>
      </c>
      <c r="AF135" s="20"/>
    </row>
    <row r="136" spans="1:32" s="11" customFormat="1" ht="21" customHeight="1">
      <c r="A136" s="46"/>
      <c r="B136" s="47"/>
      <c r="C136" s="47"/>
      <c r="D136" s="173"/>
      <c r="E136" s="119"/>
      <c r="F136" s="119"/>
      <c r="G136" s="119"/>
      <c r="H136" s="119"/>
      <c r="I136" s="119"/>
      <c r="J136" s="119"/>
      <c r="K136" s="119"/>
      <c r="L136" s="119"/>
      <c r="M136" s="119"/>
      <c r="N136" s="71"/>
      <c r="O136" s="637" t="s">
        <v>848</v>
      </c>
      <c r="P136" s="637"/>
      <c r="Q136" s="637"/>
      <c r="R136" s="637"/>
      <c r="S136" s="476"/>
      <c r="T136" s="477"/>
      <c r="U136" s="477"/>
      <c r="V136" s="476"/>
      <c r="W136" s="478"/>
      <c r="X136" s="476"/>
      <c r="Y136" s="476"/>
      <c r="Z136" s="476"/>
      <c r="AA136" s="476"/>
      <c r="AB136" s="476" t="s">
        <v>807</v>
      </c>
      <c r="AC136" s="476"/>
      <c r="AD136" s="636">
        <v>200000</v>
      </c>
      <c r="AE136" s="150" t="s">
        <v>794</v>
      </c>
      <c r="AF136" s="20"/>
    </row>
    <row r="137" spans="1:32" s="11" customFormat="1" ht="21" customHeight="1">
      <c r="A137" s="46"/>
      <c r="B137" s="47"/>
      <c r="C137" s="47"/>
      <c r="D137" s="173"/>
      <c r="E137" s="119"/>
      <c r="F137" s="119"/>
      <c r="G137" s="119"/>
      <c r="H137" s="119"/>
      <c r="I137" s="119"/>
      <c r="J137" s="119"/>
      <c r="K137" s="119"/>
      <c r="L137" s="119"/>
      <c r="M137" s="119"/>
      <c r="N137" s="71"/>
      <c r="O137" s="637" t="s">
        <v>849</v>
      </c>
      <c r="P137" s="637"/>
      <c r="Q137" s="637"/>
      <c r="R137" s="637"/>
      <c r="S137" s="636"/>
      <c r="T137" s="463"/>
      <c r="U137" s="636"/>
      <c r="V137" s="768"/>
      <c r="W137" s="769"/>
      <c r="X137" s="636"/>
      <c r="Y137" s="636"/>
      <c r="Z137" s="636"/>
      <c r="AA137" s="636"/>
      <c r="AB137" s="636" t="s">
        <v>809</v>
      </c>
      <c r="AC137" s="636"/>
      <c r="AD137" s="636">
        <v>2000000</v>
      </c>
      <c r="AE137" s="150" t="s">
        <v>25</v>
      </c>
      <c r="AF137" s="1"/>
    </row>
    <row r="138" spans="1:32" s="11" customFormat="1" ht="21" customHeight="1">
      <c r="A138" s="46"/>
      <c r="B138" s="47"/>
      <c r="C138" s="47"/>
      <c r="D138" s="173"/>
      <c r="E138" s="119"/>
      <c r="F138" s="119"/>
      <c r="G138" s="119"/>
      <c r="H138" s="119"/>
      <c r="I138" s="119"/>
      <c r="J138" s="119"/>
      <c r="K138" s="119"/>
      <c r="L138" s="119"/>
      <c r="M138" s="119"/>
      <c r="N138" s="71"/>
      <c r="O138" s="637" t="s">
        <v>850</v>
      </c>
      <c r="P138" s="637"/>
      <c r="Q138" s="637"/>
      <c r="R138" s="637"/>
      <c r="S138" s="636"/>
      <c r="T138" s="463"/>
      <c r="U138" s="636"/>
      <c r="V138" s="636"/>
      <c r="W138" s="637"/>
      <c r="X138" s="636"/>
      <c r="Y138" s="636"/>
      <c r="Z138" s="636"/>
      <c r="AA138" s="636"/>
      <c r="AB138" s="636" t="s">
        <v>180</v>
      </c>
      <c r="AC138" s="636"/>
      <c r="AD138" s="636">
        <f>SUM(AD139:AD141)</f>
        <v>1038000</v>
      </c>
      <c r="AE138" s="150" t="s">
        <v>794</v>
      </c>
      <c r="AF138" s="1"/>
    </row>
    <row r="139" spans="1:32" s="11" customFormat="1" ht="21" customHeight="1">
      <c r="A139" s="46"/>
      <c r="B139" s="47"/>
      <c r="C139" s="47"/>
      <c r="D139" s="173"/>
      <c r="E139" s="119"/>
      <c r="F139" s="119"/>
      <c r="G139" s="119"/>
      <c r="H139" s="119"/>
      <c r="I139" s="119"/>
      <c r="J139" s="119"/>
      <c r="K139" s="119"/>
      <c r="L139" s="119"/>
      <c r="M139" s="119"/>
      <c r="N139" s="71"/>
      <c r="O139" s="640" t="s">
        <v>725</v>
      </c>
      <c r="P139" s="640"/>
      <c r="Q139" s="640"/>
      <c r="R139" s="640"/>
      <c r="S139" s="641">
        <v>44000</v>
      </c>
      <c r="T139" s="642" t="s">
        <v>671</v>
      </c>
      <c r="U139" s="642" t="s">
        <v>26</v>
      </c>
      <c r="V139" s="641">
        <v>12</v>
      </c>
      <c r="W139" s="640" t="s">
        <v>29</v>
      </c>
      <c r="X139" s="641" t="s">
        <v>27</v>
      </c>
      <c r="Y139" s="641"/>
      <c r="Z139" s="641"/>
      <c r="AA139" s="641"/>
      <c r="AB139" s="641"/>
      <c r="AC139" s="641"/>
      <c r="AD139" s="638">
        <f>S139*V139</f>
        <v>528000</v>
      </c>
      <c r="AE139" s="643" t="s">
        <v>671</v>
      </c>
      <c r="AF139" s="1"/>
    </row>
    <row r="140" spans="1:32" s="11" customFormat="1" ht="21" customHeight="1">
      <c r="A140" s="46"/>
      <c r="B140" s="47"/>
      <c r="C140" s="47"/>
      <c r="D140" s="173"/>
      <c r="E140" s="119"/>
      <c r="F140" s="119"/>
      <c r="G140" s="119"/>
      <c r="H140" s="119"/>
      <c r="I140" s="119"/>
      <c r="J140" s="119"/>
      <c r="K140" s="119"/>
      <c r="L140" s="119"/>
      <c r="M140" s="119"/>
      <c r="N140" s="71"/>
      <c r="O140" s="640" t="s">
        <v>726</v>
      </c>
      <c r="P140" s="640"/>
      <c r="Q140" s="640"/>
      <c r="R140" s="640"/>
      <c r="S140" s="641">
        <v>40000</v>
      </c>
      <c r="T140" s="642" t="s">
        <v>671</v>
      </c>
      <c r="U140" s="642" t="s">
        <v>26</v>
      </c>
      <c r="V140" s="641">
        <v>12</v>
      </c>
      <c r="W140" s="640" t="s">
        <v>29</v>
      </c>
      <c r="X140" s="641" t="s">
        <v>27</v>
      </c>
      <c r="Y140" s="641"/>
      <c r="Z140" s="641"/>
      <c r="AA140" s="641"/>
      <c r="AB140" s="641"/>
      <c r="AC140" s="641"/>
      <c r="AD140" s="638">
        <f>S140*V140</f>
        <v>480000</v>
      </c>
      <c r="AE140" s="643" t="s">
        <v>671</v>
      </c>
      <c r="AF140" s="1"/>
    </row>
    <row r="141" spans="1:32" s="11" customFormat="1" ht="21" customHeight="1">
      <c r="A141" s="46"/>
      <c r="B141" s="47"/>
      <c r="C141" s="60"/>
      <c r="D141" s="174"/>
      <c r="E141" s="122"/>
      <c r="F141" s="122"/>
      <c r="G141" s="122"/>
      <c r="H141" s="122"/>
      <c r="I141" s="122"/>
      <c r="J141" s="122"/>
      <c r="K141" s="122"/>
      <c r="L141" s="122"/>
      <c r="M141" s="122"/>
      <c r="N141" s="91"/>
      <c r="O141" s="644" t="s">
        <v>727</v>
      </c>
      <c r="P141" s="644"/>
      <c r="Q141" s="644"/>
      <c r="R141" s="644"/>
      <c r="S141" s="644"/>
      <c r="T141" s="644"/>
      <c r="U141" s="644"/>
      <c r="V141" s="644"/>
      <c r="W141" s="644"/>
      <c r="X141" s="644"/>
      <c r="Y141" s="644"/>
      <c r="Z141" s="644"/>
      <c r="AA141" s="644"/>
      <c r="AB141" s="644"/>
      <c r="AC141" s="644"/>
      <c r="AD141" s="645">
        <v>30000</v>
      </c>
      <c r="AE141" s="646" t="s">
        <v>671</v>
      </c>
      <c r="AF141" s="1"/>
    </row>
    <row r="142" spans="1:32" s="11" customFormat="1" ht="21" customHeight="1">
      <c r="A142" s="46"/>
      <c r="B142" s="47"/>
      <c r="C142" s="47" t="s">
        <v>39</v>
      </c>
      <c r="D142" s="173">
        <v>28743</v>
      </c>
      <c r="E142" s="119">
        <f>ROUND(AD142/1000,0)</f>
        <v>29921</v>
      </c>
      <c r="F142" s="712">
        <v>25000</v>
      </c>
      <c r="G142" s="712">
        <v>0</v>
      </c>
      <c r="H142" s="712">
        <v>0</v>
      </c>
      <c r="I142" s="712">
        <f>SUM(AD149:AD151)/1000-50</f>
        <v>4921</v>
      </c>
      <c r="J142" s="712">
        <v>0</v>
      </c>
      <c r="K142" s="712">
        <v>0</v>
      </c>
      <c r="L142" s="712">
        <v>0</v>
      </c>
      <c r="M142" s="119">
        <f>E142-D142</f>
        <v>1178</v>
      </c>
      <c r="N142" s="71">
        <f>IF(D142=0,0,M142/D142)</f>
        <v>4.0983891730160385E-2</v>
      </c>
      <c r="O142" s="506" t="s">
        <v>43</v>
      </c>
      <c r="P142" s="507"/>
      <c r="Q142" s="507"/>
      <c r="R142" s="507"/>
      <c r="S142" s="507"/>
      <c r="T142" s="508"/>
      <c r="U142" s="508"/>
      <c r="V142" s="508"/>
      <c r="W142" s="508"/>
      <c r="X142" s="508"/>
      <c r="Y142" s="509" t="s">
        <v>524</v>
      </c>
      <c r="Z142" s="509"/>
      <c r="AA142" s="509"/>
      <c r="AB142" s="509"/>
      <c r="AC142" s="510"/>
      <c r="AD142" s="510">
        <f>ROUND(SUM(AD143:AD151),-3)</f>
        <v>29921000</v>
      </c>
      <c r="AE142" s="511" t="s">
        <v>25</v>
      </c>
      <c r="AF142" s="1"/>
    </row>
    <row r="143" spans="1:32" s="11" customFormat="1" ht="21" customHeight="1">
      <c r="A143" s="46"/>
      <c r="B143" s="47"/>
      <c r="C143" s="47"/>
      <c r="D143" s="173"/>
      <c r="E143" s="119"/>
      <c r="F143" s="119"/>
      <c r="G143" s="119"/>
      <c r="H143" s="119"/>
      <c r="I143" s="119"/>
      <c r="J143" s="119"/>
      <c r="K143" s="119"/>
      <c r="L143" s="119"/>
      <c r="M143" s="119"/>
      <c r="N143" s="71"/>
      <c r="O143" s="512" t="s">
        <v>525</v>
      </c>
      <c r="P143" s="355"/>
      <c r="Q143" s="355"/>
      <c r="R143" s="355"/>
      <c r="S143" s="513">
        <v>100000</v>
      </c>
      <c r="T143" s="514" t="s">
        <v>25</v>
      </c>
      <c r="U143" s="514" t="s">
        <v>26</v>
      </c>
      <c r="V143" s="513">
        <v>12</v>
      </c>
      <c r="W143" s="515" t="s">
        <v>29</v>
      </c>
      <c r="X143" s="513" t="s">
        <v>27</v>
      </c>
      <c r="Y143" s="347"/>
      <c r="Z143" s="347"/>
      <c r="AA143" s="347"/>
      <c r="AB143" s="347" t="s">
        <v>545</v>
      </c>
      <c r="AC143" s="347"/>
      <c r="AD143" s="347">
        <f>S143*V143</f>
        <v>1200000</v>
      </c>
      <c r="AE143" s="469" t="s">
        <v>25</v>
      </c>
      <c r="AF143" s="1"/>
    </row>
    <row r="144" spans="1:32" s="11" customFormat="1" ht="21" customHeight="1">
      <c r="A144" s="46"/>
      <c r="B144" s="47"/>
      <c r="C144" s="47"/>
      <c r="D144" s="173"/>
      <c r="E144" s="119"/>
      <c r="F144" s="119"/>
      <c r="G144" s="119"/>
      <c r="H144" s="119"/>
      <c r="I144" s="119"/>
      <c r="J144" s="119"/>
      <c r="K144" s="119"/>
      <c r="L144" s="119"/>
      <c r="M144" s="119"/>
      <c r="N144" s="71"/>
      <c r="O144" s="355" t="s">
        <v>526</v>
      </c>
      <c r="P144" s="355"/>
      <c r="Q144" s="355"/>
      <c r="R144" s="355"/>
      <c r="S144" s="347">
        <v>35000</v>
      </c>
      <c r="T144" s="505" t="s">
        <v>514</v>
      </c>
      <c r="U144" s="505" t="s">
        <v>26</v>
      </c>
      <c r="V144" s="347">
        <v>12</v>
      </c>
      <c r="W144" s="355" t="s">
        <v>519</v>
      </c>
      <c r="X144" s="347" t="s">
        <v>27</v>
      </c>
      <c r="Y144" s="347"/>
      <c r="Z144" s="347"/>
      <c r="AA144" s="347"/>
      <c r="AB144" s="347" t="s">
        <v>545</v>
      </c>
      <c r="AC144" s="347"/>
      <c r="AD144" s="347">
        <f>S144*V144</f>
        <v>420000</v>
      </c>
      <c r="AE144" s="469" t="s">
        <v>514</v>
      </c>
      <c r="AF144" s="1"/>
    </row>
    <row r="145" spans="1:32" s="11" customFormat="1" ht="21" customHeight="1">
      <c r="A145" s="46"/>
      <c r="B145" s="47"/>
      <c r="C145" s="47"/>
      <c r="D145" s="173"/>
      <c r="E145" s="119"/>
      <c r="F145" s="119"/>
      <c r="G145" s="119"/>
      <c r="H145" s="119"/>
      <c r="I145" s="119"/>
      <c r="J145" s="119"/>
      <c r="K145" s="119"/>
      <c r="L145" s="119"/>
      <c r="M145" s="119"/>
      <c r="N145" s="71"/>
      <c r="O145" s="355" t="s">
        <v>527</v>
      </c>
      <c r="P145" s="355"/>
      <c r="Q145" s="355"/>
      <c r="R145" s="355"/>
      <c r="S145" s="347">
        <v>1200000</v>
      </c>
      <c r="T145" s="505" t="s">
        <v>514</v>
      </c>
      <c r="U145" s="505" t="s">
        <v>26</v>
      </c>
      <c r="V145" s="347">
        <v>12</v>
      </c>
      <c r="W145" s="355" t="s">
        <v>519</v>
      </c>
      <c r="X145" s="347" t="s">
        <v>27</v>
      </c>
      <c r="Y145" s="347"/>
      <c r="Z145" s="347"/>
      <c r="AA145" s="347"/>
      <c r="AB145" s="347" t="s">
        <v>545</v>
      </c>
      <c r="AC145" s="347"/>
      <c r="AD145" s="347">
        <f>S145*V145</f>
        <v>14400000</v>
      </c>
      <c r="AE145" s="469" t="s">
        <v>25</v>
      </c>
      <c r="AF145" s="1"/>
    </row>
    <row r="146" spans="1:32" s="14" customFormat="1" ht="21" customHeight="1">
      <c r="A146" s="46"/>
      <c r="B146" s="47"/>
      <c r="C146" s="47"/>
      <c r="D146" s="173"/>
      <c r="E146" s="119"/>
      <c r="F146" s="119"/>
      <c r="G146" s="119"/>
      <c r="H146" s="119"/>
      <c r="I146" s="119"/>
      <c r="J146" s="119"/>
      <c r="K146" s="119"/>
      <c r="L146" s="119"/>
      <c r="M146" s="119"/>
      <c r="N146" s="71"/>
      <c r="O146" s="355" t="s">
        <v>528</v>
      </c>
      <c r="P146" s="355"/>
      <c r="Q146" s="355"/>
      <c r="R146" s="355"/>
      <c r="S146" s="347">
        <v>700000</v>
      </c>
      <c r="T146" s="505" t="s">
        <v>514</v>
      </c>
      <c r="U146" s="505" t="s">
        <v>26</v>
      </c>
      <c r="V146" s="347">
        <v>12</v>
      </c>
      <c r="W146" s="355" t="s">
        <v>519</v>
      </c>
      <c r="X146" s="347" t="s">
        <v>27</v>
      </c>
      <c r="Y146" s="347"/>
      <c r="Z146" s="347"/>
      <c r="AA146" s="347"/>
      <c r="AB146" s="347" t="s">
        <v>545</v>
      </c>
      <c r="AC146" s="347"/>
      <c r="AD146" s="347">
        <f>S146*V146</f>
        <v>8400000</v>
      </c>
      <c r="AE146" s="469" t="s">
        <v>25</v>
      </c>
      <c r="AF146" s="4"/>
    </row>
    <row r="147" spans="1:32" s="14" customFormat="1" ht="21" customHeight="1">
      <c r="A147" s="46"/>
      <c r="B147" s="47"/>
      <c r="C147" s="47"/>
      <c r="D147" s="173"/>
      <c r="E147" s="119"/>
      <c r="F147" s="119"/>
      <c r="G147" s="119"/>
      <c r="H147" s="119"/>
      <c r="I147" s="119"/>
      <c r="J147" s="119"/>
      <c r="K147" s="119"/>
      <c r="L147" s="119"/>
      <c r="M147" s="119"/>
      <c r="N147" s="71"/>
      <c r="O147" s="355" t="s">
        <v>529</v>
      </c>
      <c r="P147" s="355"/>
      <c r="Q147" s="355"/>
      <c r="R147" s="355"/>
      <c r="S147" s="347">
        <v>10000</v>
      </c>
      <c r="T147" s="505" t="s">
        <v>514</v>
      </c>
      <c r="U147" s="505" t="s">
        <v>26</v>
      </c>
      <c r="V147" s="347">
        <v>12</v>
      </c>
      <c r="W147" s="355" t="s">
        <v>519</v>
      </c>
      <c r="X147" s="347" t="s">
        <v>27</v>
      </c>
      <c r="Y147" s="347"/>
      <c r="Z147" s="347"/>
      <c r="AA147" s="347"/>
      <c r="AB147" s="347" t="s">
        <v>91</v>
      </c>
      <c r="AC147" s="347"/>
      <c r="AD147" s="347">
        <f>S147*V147</f>
        <v>120000</v>
      </c>
      <c r="AE147" s="469" t="s">
        <v>25</v>
      </c>
      <c r="AF147" s="4"/>
    </row>
    <row r="148" spans="1:32" s="14" customFormat="1" ht="21" customHeight="1">
      <c r="A148" s="46"/>
      <c r="B148" s="47"/>
      <c r="C148" s="47"/>
      <c r="D148" s="173"/>
      <c r="E148" s="119"/>
      <c r="F148" s="119"/>
      <c r="G148" s="119"/>
      <c r="H148" s="119"/>
      <c r="I148" s="119"/>
      <c r="J148" s="119"/>
      <c r="K148" s="119"/>
      <c r="L148" s="119"/>
      <c r="M148" s="119"/>
      <c r="N148" s="71"/>
      <c r="O148" s="637" t="s">
        <v>851</v>
      </c>
      <c r="P148" s="637"/>
      <c r="Q148" s="637"/>
      <c r="R148" s="637"/>
      <c r="S148" s="636"/>
      <c r="T148" s="463"/>
      <c r="U148" s="463"/>
      <c r="V148" s="636"/>
      <c r="W148" s="637"/>
      <c r="X148" s="636"/>
      <c r="Y148" s="636"/>
      <c r="Z148" s="636"/>
      <c r="AA148" s="636"/>
      <c r="AB148" s="636" t="s">
        <v>832</v>
      </c>
      <c r="AC148" s="636"/>
      <c r="AD148" s="636">
        <v>410000</v>
      </c>
      <c r="AE148" s="150" t="s">
        <v>821</v>
      </c>
      <c r="AF148" s="4"/>
    </row>
    <row r="149" spans="1:32" s="14" customFormat="1" ht="21" customHeight="1">
      <c r="A149" s="46"/>
      <c r="B149" s="47"/>
      <c r="C149" s="47"/>
      <c r="D149" s="173"/>
      <c r="E149" s="119"/>
      <c r="F149" s="119"/>
      <c r="G149" s="119"/>
      <c r="H149" s="119"/>
      <c r="I149" s="119"/>
      <c r="J149" s="119"/>
      <c r="K149" s="119"/>
      <c r="L149" s="119"/>
      <c r="M149" s="119"/>
      <c r="N149" s="71"/>
      <c r="O149" s="637" t="s">
        <v>852</v>
      </c>
      <c r="P149" s="637"/>
      <c r="Q149" s="637"/>
      <c r="R149" s="637"/>
      <c r="S149" s="636"/>
      <c r="T149" s="463"/>
      <c r="U149" s="463"/>
      <c r="V149" s="636"/>
      <c r="W149" s="637"/>
      <c r="X149" s="636"/>
      <c r="Y149" s="636"/>
      <c r="Z149" s="636"/>
      <c r="AA149" s="636"/>
      <c r="AB149" s="636" t="s">
        <v>838</v>
      </c>
      <c r="AC149" s="636"/>
      <c r="AD149" s="636">
        <v>768000</v>
      </c>
      <c r="AE149" s="150" t="s">
        <v>25</v>
      </c>
      <c r="AF149" s="4"/>
    </row>
    <row r="150" spans="1:32" s="14" customFormat="1" ht="21" customHeight="1">
      <c r="A150" s="46"/>
      <c r="B150" s="47"/>
      <c r="C150" s="47"/>
      <c r="D150" s="173"/>
      <c r="E150" s="119"/>
      <c r="F150" s="119"/>
      <c r="G150" s="119"/>
      <c r="H150" s="119"/>
      <c r="I150" s="119"/>
      <c r="J150" s="119"/>
      <c r="K150" s="119"/>
      <c r="L150" s="119"/>
      <c r="M150" s="119"/>
      <c r="N150" s="71"/>
      <c r="O150" s="355" t="s">
        <v>786</v>
      </c>
      <c r="P150" s="355"/>
      <c r="Q150" s="355"/>
      <c r="R150" s="355"/>
      <c r="S150" s="347"/>
      <c r="T150" s="505"/>
      <c r="U150" s="505"/>
      <c r="V150" s="347"/>
      <c r="W150" s="355"/>
      <c r="X150" s="347"/>
      <c r="Y150" s="347"/>
      <c r="Z150" s="347"/>
      <c r="AA150" s="347"/>
      <c r="AB150" s="347" t="s">
        <v>180</v>
      </c>
      <c r="AC150" s="347"/>
      <c r="AD150" s="347">
        <v>1703000</v>
      </c>
      <c r="AE150" s="469" t="s">
        <v>514</v>
      </c>
      <c r="AF150" s="4"/>
    </row>
    <row r="151" spans="1:32" s="14" customFormat="1" ht="21" customHeight="1">
      <c r="A151" s="46"/>
      <c r="B151" s="47"/>
      <c r="C151" s="47"/>
      <c r="D151" s="173"/>
      <c r="E151" s="119"/>
      <c r="F151" s="119"/>
      <c r="G151" s="119"/>
      <c r="H151" s="119"/>
      <c r="I151" s="119"/>
      <c r="J151" s="119"/>
      <c r="K151" s="119"/>
      <c r="L151" s="119"/>
      <c r="M151" s="119"/>
      <c r="N151" s="71"/>
      <c r="O151" s="355" t="s">
        <v>787</v>
      </c>
      <c r="P151" s="355"/>
      <c r="Q151" s="355"/>
      <c r="R151" s="355"/>
      <c r="S151" s="347"/>
      <c r="T151" s="505"/>
      <c r="U151" s="505"/>
      <c r="V151" s="347"/>
      <c r="W151" s="355"/>
      <c r="X151" s="347"/>
      <c r="Y151" s="347"/>
      <c r="Z151" s="347"/>
      <c r="AA151" s="347"/>
      <c r="AB151" s="347" t="s">
        <v>781</v>
      </c>
      <c r="AC151" s="347"/>
      <c r="AD151" s="347">
        <v>2500000</v>
      </c>
      <c r="AE151" s="469" t="s">
        <v>550</v>
      </c>
      <c r="AF151" s="4"/>
    </row>
    <row r="152" spans="1:32" s="14" customFormat="1" ht="21" customHeight="1">
      <c r="A152" s="46"/>
      <c r="B152" s="47"/>
      <c r="C152" s="47"/>
      <c r="D152" s="173"/>
      <c r="E152" s="119"/>
      <c r="F152" s="119"/>
      <c r="G152" s="119"/>
      <c r="H152" s="119"/>
      <c r="I152" s="119"/>
      <c r="J152" s="119"/>
      <c r="K152" s="119"/>
      <c r="L152" s="119"/>
      <c r="M152" s="119"/>
      <c r="N152" s="71"/>
      <c r="O152" s="131"/>
      <c r="P152" s="51"/>
      <c r="Q152" s="51"/>
      <c r="R152" s="51"/>
      <c r="S152" s="52"/>
      <c r="T152" s="56"/>
      <c r="U152" s="56"/>
      <c r="V152" s="52"/>
      <c r="W152" s="51"/>
      <c r="X152" s="52"/>
      <c r="Y152" s="52"/>
      <c r="Z152" s="52"/>
      <c r="AA152" s="52"/>
      <c r="AB152" s="155"/>
      <c r="AC152" s="52"/>
      <c r="AD152" s="52"/>
      <c r="AE152" s="58"/>
      <c r="AF152" s="4"/>
    </row>
    <row r="153" spans="1:32" ht="21" customHeight="1">
      <c r="A153" s="46"/>
      <c r="B153" s="47"/>
      <c r="C153" s="37" t="s">
        <v>15</v>
      </c>
      <c r="D153" s="175">
        <v>9419</v>
      </c>
      <c r="E153" s="124">
        <f>ROUND(AD153/1000,0)</f>
        <v>10989</v>
      </c>
      <c r="F153" s="124">
        <v>5000</v>
      </c>
      <c r="G153" s="124">
        <v>0</v>
      </c>
      <c r="H153" s="124">
        <v>0</v>
      </c>
      <c r="I153" s="124">
        <f>SUM(AD155:AD158,AD162,AD166:AD167)/1000+400</f>
        <v>5989</v>
      </c>
      <c r="J153" s="124">
        <v>0</v>
      </c>
      <c r="K153" s="124">
        <v>0</v>
      </c>
      <c r="L153" s="124">
        <v>0</v>
      </c>
      <c r="M153" s="210">
        <f>E153-D153</f>
        <v>1570</v>
      </c>
      <c r="N153" s="132">
        <f>IF(D153=0,0,M153/D153)</f>
        <v>0.16668436139717593</v>
      </c>
      <c r="O153" s="516" t="s">
        <v>44</v>
      </c>
      <c r="P153" s="517"/>
      <c r="Q153" s="517"/>
      <c r="R153" s="517"/>
      <c r="S153" s="517"/>
      <c r="T153" s="518"/>
      <c r="U153" s="518"/>
      <c r="V153" s="518"/>
      <c r="W153" s="518"/>
      <c r="X153" s="518"/>
      <c r="Y153" s="509" t="s">
        <v>524</v>
      </c>
      <c r="Z153" s="509"/>
      <c r="AA153" s="509"/>
      <c r="AB153" s="509"/>
      <c r="AC153" s="510"/>
      <c r="AD153" s="510">
        <f>SUM(AD155:AD167)</f>
        <v>10989000</v>
      </c>
      <c r="AE153" s="511" t="s">
        <v>25</v>
      </c>
    </row>
    <row r="154" spans="1:32" s="11" customFormat="1" ht="21" customHeight="1">
      <c r="A154" s="46"/>
      <c r="B154" s="47"/>
      <c r="C154" s="47"/>
      <c r="D154" s="173"/>
      <c r="E154" s="119"/>
      <c r="F154" s="119"/>
      <c r="G154" s="119"/>
      <c r="H154" s="119"/>
      <c r="I154" s="119"/>
      <c r="J154" s="119"/>
      <c r="K154" s="119"/>
      <c r="L154" s="119"/>
      <c r="M154" s="119"/>
      <c r="N154" s="71"/>
      <c r="O154" s="355" t="s">
        <v>530</v>
      </c>
      <c r="P154" s="355"/>
      <c r="Q154" s="355"/>
      <c r="R154" s="355"/>
      <c r="S154" s="355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56"/>
      <c r="AD154" s="356"/>
      <c r="AE154" s="469"/>
      <c r="AF154" s="1"/>
    </row>
    <row r="155" spans="1:32" s="11" customFormat="1" ht="21" customHeight="1">
      <c r="A155" s="46"/>
      <c r="B155" s="47"/>
      <c r="C155" s="47"/>
      <c r="D155" s="173"/>
      <c r="E155" s="119"/>
      <c r="F155" s="119"/>
      <c r="G155" s="119"/>
      <c r="H155" s="119"/>
      <c r="I155" s="119"/>
      <c r="J155" s="119"/>
      <c r="K155" s="119"/>
      <c r="L155" s="119"/>
      <c r="M155" s="119"/>
      <c r="N155" s="71"/>
      <c r="O155" s="355" t="s">
        <v>531</v>
      </c>
      <c r="P155" s="519"/>
      <c r="Q155" s="519"/>
      <c r="R155" s="519"/>
      <c r="S155" s="347">
        <v>120000</v>
      </c>
      <c r="T155" s="505" t="s">
        <v>514</v>
      </c>
      <c r="U155" s="505" t="s">
        <v>26</v>
      </c>
      <c r="V155" s="347">
        <v>12</v>
      </c>
      <c r="W155" s="355" t="s">
        <v>519</v>
      </c>
      <c r="X155" s="347" t="s">
        <v>27</v>
      </c>
      <c r="Y155" s="347"/>
      <c r="Z155" s="347"/>
      <c r="AA155" s="347"/>
      <c r="AB155" s="347" t="s">
        <v>780</v>
      </c>
      <c r="AC155" s="347"/>
      <c r="AD155" s="347">
        <f>S155*V155</f>
        <v>1440000</v>
      </c>
      <c r="AE155" s="469" t="s">
        <v>25</v>
      </c>
      <c r="AF155" s="1"/>
    </row>
    <row r="156" spans="1:32" s="11" customFormat="1" ht="21" customHeight="1">
      <c r="A156" s="46"/>
      <c r="B156" s="47"/>
      <c r="C156" s="47"/>
      <c r="D156" s="173"/>
      <c r="E156" s="119"/>
      <c r="F156" s="119"/>
      <c r="G156" s="119"/>
      <c r="H156" s="119"/>
      <c r="I156" s="119"/>
      <c r="J156" s="119"/>
      <c r="K156" s="119"/>
      <c r="L156" s="119"/>
      <c r="M156" s="119"/>
      <c r="N156" s="71"/>
      <c r="O156" s="355" t="s">
        <v>532</v>
      </c>
      <c r="P156" s="519"/>
      <c r="Q156" s="519"/>
      <c r="R156" s="519"/>
      <c r="S156" s="347">
        <v>120000</v>
      </c>
      <c r="T156" s="505" t="s">
        <v>514</v>
      </c>
      <c r="U156" s="505" t="s">
        <v>26</v>
      </c>
      <c r="V156" s="347">
        <v>12</v>
      </c>
      <c r="W156" s="355" t="s">
        <v>519</v>
      </c>
      <c r="X156" s="347" t="s">
        <v>27</v>
      </c>
      <c r="Y156" s="347"/>
      <c r="Z156" s="347"/>
      <c r="AA156" s="347"/>
      <c r="AB156" s="347" t="s">
        <v>780</v>
      </c>
      <c r="AC156" s="347"/>
      <c r="AD156" s="347">
        <f>S156*V156</f>
        <v>1440000</v>
      </c>
      <c r="AE156" s="469" t="s">
        <v>25</v>
      </c>
      <c r="AF156" s="1"/>
    </row>
    <row r="157" spans="1:32" s="11" customFormat="1" ht="21" customHeight="1">
      <c r="A157" s="46"/>
      <c r="B157" s="47"/>
      <c r="C157" s="47"/>
      <c r="D157" s="173"/>
      <c r="E157" s="119"/>
      <c r="F157" s="119"/>
      <c r="G157" s="119"/>
      <c r="H157" s="119"/>
      <c r="I157" s="119"/>
      <c r="J157" s="119"/>
      <c r="K157" s="119"/>
      <c r="L157" s="119"/>
      <c r="M157" s="119"/>
      <c r="N157" s="71"/>
      <c r="O157" s="355" t="s">
        <v>533</v>
      </c>
      <c r="P157" s="519"/>
      <c r="Q157" s="519"/>
      <c r="R157" s="519"/>
      <c r="S157" s="347">
        <v>10000</v>
      </c>
      <c r="T157" s="505" t="s">
        <v>514</v>
      </c>
      <c r="U157" s="505" t="s">
        <v>26</v>
      </c>
      <c r="V157" s="347">
        <v>12</v>
      </c>
      <c r="W157" s="355" t="s">
        <v>519</v>
      </c>
      <c r="X157" s="347" t="s">
        <v>27</v>
      </c>
      <c r="Y157" s="347"/>
      <c r="Z157" s="347"/>
      <c r="AA157" s="347"/>
      <c r="AB157" s="347" t="s">
        <v>784</v>
      </c>
      <c r="AC157" s="347"/>
      <c r="AD157" s="347">
        <f>S157*V157</f>
        <v>120000</v>
      </c>
      <c r="AE157" s="469" t="s">
        <v>25</v>
      </c>
      <c r="AF157" s="1"/>
    </row>
    <row r="158" spans="1:32" s="11" customFormat="1" ht="21" customHeight="1">
      <c r="A158" s="46"/>
      <c r="B158" s="47"/>
      <c r="C158" s="47"/>
      <c r="D158" s="173"/>
      <c r="E158" s="119"/>
      <c r="F158" s="119"/>
      <c r="G158" s="119"/>
      <c r="H158" s="119"/>
      <c r="I158" s="119"/>
      <c r="J158" s="119"/>
      <c r="K158" s="119"/>
      <c r="L158" s="119"/>
      <c r="M158" s="119"/>
      <c r="N158" s="71"/>
      <c r="O158" s="355" t="s">
        <v>534</v>
      </c>
      <c r="P158" s="519"/>
      <c r="Q158" s="519"/>
      <c r="R158" s="519"/>
      <c r="S158" s="519"/>
      <c r="T158" s="356"/>
      <c r="U158" s="520"/>
      <c r="V158" s="355"/>
      <c r="W158" s="505"/>
      <c r="X158" s="347"/>
      <c r="Y158" s="347"/>
      <c r="Z158" s="347"/>
      <c r="AA158" s="355"/>
      <c r="AB158" s="355" t="s">
        <v>784</v>
      </c>
      <c r="AC158" s="347"/>
      <c r="AD158" s="347">
        <v>100000</v>
      </c>
      <c r="AE158" s="469" t="s">
        <v>25</v>
      </c>
      <c r="AF158" s="1"/>
    </row>
    <row r="159" spans="1:32" s="11" customFormat="1" ht="21" customHeight="1">
      <c r="A159" s="46"/>
      <c r="B159" s="47"/>
      <c r="C159" s="47"/>
      <c r="D159" s="173"/>
      <c r="E159" s="119"/>
      <c r="F159" s="119"/>
      <c r="G159" s="119"/>
      <c r="H159" s="119"/>
      <c r="I159" s="119"/>
      <c r="J159" s="119"/>
      <c r="K159" s="119"/>
      <c r="L159" s="119"/>
      <c r="M159" s="119"/>
      <c r="N159" s="71"/>
      <c r="O159" s="355"/>
      <c r="P159" s="519"/>
      <c r="Q159" s="519"/>
      <c r="R159" s="519"/>
      <c r="S159" s="519"/>
      <c r="T159" s="356"/>
      <c r="U159" s="520"/>
      <c r="V159" s="355"/>
      <c r="W159" s="505"/>
      <c r="X159" s="347"/>
      <c r="Y159" s="347"/>
      <c r="Z159" s="347"/>
      <c r="AA159" s="355"/>
      <c r="AB159" s="355"/>
      <c r="AC159" s="347"/>
      <c r="AD159" s="347"/>
      <c r="AE159" s="469"/>
      <c r="AF159" s="1"/>
    </row>
    <row r="160" spans="1:32" s="11" customFormat="1" ht="21" customHeight="1">
      <c r="A160" s="46"/>
      <c r="B160" s="47"/>
      <c r="C160" s="47"/>
      <c r="D160" s="173"/>
      <c r="E160" s="119"/>
      <c r="F160" s="119"/>
      <c r="G160" s="119"/>
      <c r="H160" s="119"/>
      <c r="I160" s="119"/>
      <c r="J160" s="119"/>
      <c r="K160" s="119"/>
      <c r="L160" s="119"/>
      <c r="M160" s="119"/>
      <c r="N160" s="71"/>
      <c r="O160" s="774" t="s">
        <v>535</v>
      </c>
      <c r="P160" s="774"/>
      <c r="Q160" s="774"/>
      <c r="R160" s="774"/>
      <c r="S160" s="774"/>
      <c r="T160" s="355"/>
      <c r="U160" s="347"/>
      <c r="V160" s="355"/>
      <c r="W160" s="505"/>
      <c r="X160" s="347"/>
      <c r="Y160" s="347"/>
      <c r="Z160" s="347"/>
      <c r="AA160" s="355"/>
      <c r="AB160" s="355"/>
      <c r="AC160" s="347"/>
      <c r="AD160" s="347"/>
      <c r="AE160" s="469"/>
      <c r="AF160" s="1"/>
    </row>
    <row r="161" spans="1:32" s="11" customFormat="1" ht="21" customHeight="1">
      <c r="A161" s="46"/>
      <c r="B161" s="47"/>
      <c r="C161" s="47"/>
      <c r="D161" s="173"/>
      <c r="E161" s="119"/>
      <c r="F161" s="119"/>
      <c r="G161" s="119"/>
      <c r="H161" s="119"/>
      <c r="I161" s="119"/>
      <c r="J161" s="119"/>
      <c r="K161" s="119"/>
      <c r="L161" s="119"/>
      <c r="M161" s="119"/>
      <c r="N161" s="71"/>
      <c r="O161" s="637" t="s">
        <v>853</v>
      </c>
      <c r="P161" s="670"/>
      <c r="Q161" s="670"/>
      <c r="R161" s="670"/>
      <c r="S161" s="637"/>
      <c r="T161" s="149"/>
      <c r="U161" s="671"/>
      <c r="V161" s="637"/>
      <c r="W161" s="463"/>
      <c r="X161" s="636"/>
      <c r="Y161" s="636"/>
      <c r="Z161" s="636"/>
      <c r="AA161" s="637"/>
      <c r="AB161" s="637" t="s">
        <v>832</v>
      </c>
      <c r="AC161" s="636"/>
      <c r="AD161" s="636">
        <v>3250000</v>
      </c>
      <c r="AE161" s="150" t="s">
        <v>25</v>
      </c>
      <c r="AF161" s="1"/>
    </row>
    <row r="162" spans="1:32" s="11" customFormat="1" ht="21" customHeight="1">
      <c r="A162" s="46"/>
      <c r="B162" s="47"/>
      <c r="C162" s="47"/>
      <c r="D162" s="173"/>
      <c r="E162" s="119"/>
      <c r="F162" s="119"/>
      <c r="G162" s="119"/>
      <c r="H162" s="119"/>
      <c r="I162" s="119"/>
      <c r="J162" s="119"/>
      <c r="K162" s="119"/>
      <c r="L162" s="119"/>
      <c r="M162" s="119"/>
      <c r="N162" s="71"/>
      <c r="O162" s="637"/>
      <c r="P162" s="670"/>
      <c r="Q162" s="670"/>
      <c r="R162" s="670"/>
      <c r="S162" s="637"/>
      <c r="T162" s="149"/>
      <c r="U162" s="671"/>
      <c r="V162" s="637"/>
      <c r="W162" s="463"/>
      <c r="X162" s="636"/>
      <c r="Y162" s="636"/>
      <c r="Z162" s="636"/>
      <c r="AA162" s="637"/>
      <c r="AB162" s="637" t="s">
        <v>838</v>
      </c>
      <c r="AC162" s="636"/>
      <c r="AD162" s="636">
        <v>860000</v>
      </c>
      <c r="AE162" s="150" t="s">
        <v>821</v>
      </c>
      <c r="AF162" s="1"/>
    </row>
    <row r="163" spans="1:32" s="11" customFormat="1" ht="21" customHeight="1">
      <c r="A163" s="46"/>
      <c r="B163" s="47"/>
      <c r="C163" s="47"/>
      <c r="D163" s="173"/>
      <c r="E163" s="119"/>
      <c r="F163" s="119"/>
      <c r="G163" s="119"/>
      <c r="H163" s="119"/>
      <c r="I163" s="119"/>
      <c r="J163" s="119"/>
      <c r="K163" s="119"/>
      <c r="L163" s="119"/>
      <c r="M163" s="119"/>
      <c r="N163" s="71"/>
      <c r="O163" s="637" t="s">
        <v>854</v>
      </c>
      <c r="P163" s="672"/>
      <c r="Q163" s="672"/>
      <c r="R163" s="672"/>
      <c r="S163" s="672"/>
      <c r="T163" s="672"/>
      <c r="U163" s="672"/>
      <c r="V163" s="672"/>
      <c r="W163" s="672"/>
      <c r="X163" s="672"/>
      <c r="Y163" s="636"/>
      <c r="Z163" s="636"/>
      <c r="AA163" s="637"/>
      <c r="AB163" s="637" t="s">
        <v>809</v>
      </c>
      <c r="AC163" s="636"/>
      <c r="AD163" s="636">
        <v>250000</v>
      </c>
      <c r="AE163" s="150" t="s">
        <v>25</v>
      </c>
      <c r="AF163" s="1"/>
    </row>
    <row r="164" spans="1:32" s="11" customFormat="1" ht="21" customHeight="1">
      <c r="A164" s="46"/>
      <c r="B164" s="47"/>
      <c r="C164" s="47"/>
      <c r="D164" s="173"/>
      <c r="E164" s="119"/>
      <c r="F164" s="119"/>
      <c r="G164" s="119"/>
      <c r="H164" s="119"/>
      <c r="I164" s="119"/>
      <c r="J164" s="119"/>
      <c r="K164" s="119"/>
      <c r="L164" s="119"/>
      <c r="M164" s="119"/>
      <c r="N164" s="71"/>
      <c r="O164" s="637" t="s">
        <v>855</v>
      </c>
      <c r="P164" s="670"/>
      <c r="Q164" s="670"/>
      <c r="R164" s="670"/>
      <c r="S164" s="637"/>
      <c r="T164" s="149"/>
      <c r="U164" s="671"/>
      <c r="V164" s="637"/>
      <c r="W164" s="463"/>
      <c r="X164" s="636"/>
      <c r="Y164" s="636"/>
      <c r="Z164" s="636"/>
      <c r="AA164" s="637"/>
      <c r="AB164" s="637" t="s">
        <v>809</v>
      </c>
      <c r="AC164" s="636"/>
      <c r="AD164" s="636">
        <v>1000000</v>
      </c>
      <c r="AE164" s="150" t="s">
        <v>25</v>
      </c>
      <c r="AF164" s="1"/>
    </row>
    <row r="165" spans="1:32" s="11" customFormat="1" ht="21" customHeight="1">
      <c r="A165" s="46"/>
      <c r="B165" s="47"/>
      <c r="C165" s="47"/>
      <c r="D165" s="173"/>
      <c r="E165" s="119"/>
      <c r="F165" s="119"/>
      <c r="G165" s="119"/>
      <c r="H165" s="119"/>
      <c r="I165" s="119"/>
      <c r="J165" s="119"/>
      <c r="K165" s="119"/>
      <c r="L165" s="119"/>
      <c r="M165" s="119"/>
      <c r="N165" s="71"/>
      <c r="O165" s="355" t="s">
        <v>107</v>
      </c>
      <c r="P165" s="521"/>
      <c r="Q165" s="521"/>
      <c r="R165" s="521"/>
      <c r="S165" s="355"/>
      <c r="T165" s="356"/>
      <c r="U165" s="520"/>
      <c r="V165" s="355"/>
      <c r="W165" s="505"/>
      <c r="X165" s="347"/>
      <c r="Y165" s="347"/>
      <c r="Z165" s="347"/>
      <c r="AA165" s="355"/>
      <c r="AB165" s="355" t="s">
        <v>730</v>
      </c>
      <c r="AC165" s="347"/>
      <c r="AD165" s="347">
        <v>900000</v>
      </c>
      <c r="AE165" s="469" t="s">
        <v>514</v>
      </c>
      <c r="AF165" s="1"/>
    </row>
    <row r="166" spans="1:32" s="11" customFormat="1" ht="21" customHeight="1">
      <c r="A166" s="46"/>
      <c r="B166" s="47"/>
      <c r="C166" s="47"/>
      <c r="D166" s="173"/>
      <c r="E166" s="119"/>
      <c r="F166" s="119"/>
      <c r="G166" s="119"/>
      <c r="H166" s="119"/>
      <c r="I166" s="119"/>
      <c r="J166" s="119"/>
      <c r="K166" s="119"/>
      <c r="L166" s="119"/>
      <c r="M166" s="119"/>
      <c r="N166" s="71"/>
      <c r="O166" s="355" t="s">
        <v>536</v>
      </c>
      <c r="P166" s="521"/>
      <c r="Q166" s="521"/>
      <c r="R166" s="521"/>
      <c r="S166" s="355"/>
      <c r="T166" s="356"/>
      <c r="U166" s="520"/>
      <c r="V166" s="355"/>
      <c r="W166" s="505"/>
      <c r="X166" s="347"/>
      <c r="Y166" s="347"/>
      <c r="Z166" s="347"/>
      <c r="AA166" s="355"/>
      <c r="AB166" s="355" t="s">
        <v>784</v>
      </c>
      <c r="AC166" s="347"/>
      <c r="AD166" s="347">
        <v>309000</v>
      </c>
      <c r="AE166" s="469" t="s">
        <v>514</v>
      </c>
      <c r="AF166" s="1"/>
    </row>
    <row r="167" spans="1:32" s="11" customFormat="1" ht="21" customHeight="1">
      <c r="A167" s="46"/>
      <c r="B167" s="47"/>
      <c r="C167" s="47"/>
      <c r="D167" s="173"/>
      <c r="E167" s="119"/>
      <c r="F167" s="119"/>
      <c r="G167" s="119"/>
      <c r="H167" s="119"/>
      <c r="I167" s="119"/>
      <c r="J167" s="119"/>
      <c r="K167" s="119"/>
      <c r="L167" s="119"/>
      <c r="M167" s="119"/>
      <c r="N167" s="71"/>
      <c r="O167" s="355" t="s">
        <v>782</v>
      </c>
      <c r="P167" s="521"/>
      <c r="Q167" s="521"/>
      <c r="R167" s="521"/>
      <c r="S167" s="355"/>
      <c r="T167" s="356"/>
      <c r="U167" s="520"/>
      <c r="V167" s="355"/>
      <c r="W167" s="505"/>
      <c r="X167" s="347"/>
      <c r="Y167" s="347"/>
      <c r="Z167" s="347"/>
      <c r="AA167" s="355"/>
      <c r="AB167" s="355" t="s">
        <v>780</v>
      </c>
      <c r="AC167" s="347"/>
      <c r="AD167" s="347">
        <v>1320000</v>
      </c>
      <c r="AE167" s="469" t="s">
        <v>664</v>
      </c>
      <c r="AF167" s="1"/>
    </row>
    <row r="168" spans="1:32" s="11" customFormat="1" ht="21" customHeight="1">
      <c r="A168" s="46"/>
      <c r="B168" s="47"/>
      <c r="C168" s="47"/>
      <c r="D168" s="173"/>
      <c r="E168" s="119"/>
      <c r="F168" s="119"/>
      <c r="G168" s="119"/>
      <c r="H168" s="119"/>
      <c r="I168" s="119"/>
      <c r="J168" s="119"/>
      <c r="K168" s="119"/>
      <c r="L168" s="119"/>
      <c r="M168" s="119"/>
      <c r="N168" s="71"/>
      <c r="O168" s="139"/>
      <c r="P168" s="140"/>
      <c r="Q168" s="140"/>
      <c r="R168" s="140"/>
      <c r="S168" s="140"/>
      <c r="T168" s="140"/>
      <c r="U168" s="140"/>
      <c r="V168" s="140"/>
      <c r="W168" s="140"/>
      <c r="X168" s="140"/>
      <c r="Y168" s="76"/>
      <c r="Z168" s="76"/>
      <c r="AA168" s="76"/>
      <c r="AB168" s="76"/>
      <c r="AC168" s="76"/>
      <c r="AD168" s="52"/>
      <c r="AE168" s="58"/>
      <c r="AF168" s="1"/>
    </row>
    <row r="169" spans="1:32" s="11" customFormat="1" ht="21" customHeight="1">
      <c r="A169" s="46"/>
      <c r="B169" s="47"/>
      <c r="C169" s="37" t="s">
        <v>45</v>
      </c>
      <c r="D169" s="175">
        <v>8100</v>
      </c>
      <c r="E169" s="124">
        <f>ROUND(AD169/1000,0)</f>
        <v>12053</v>
      </c>
      <c r="F169" s="124">
        <v>3000</v>
      </c>
      <c r="G169" s="124">
        <v>3600</v>
      </c>
      <c r="H169" s="124">
        <v>0</v>
      </c>
      <c r="I169" s="124">
        <f>SUM(AD173:AD174)/1000+1200</f>
        <v>5453</v>
      </c>
      <c r="J169" s="124">
        <v>0</v>
      </c>
      <c r="K169" s="124">
        <v>0</v>
      </c>
      <c r="L169" s="124">
        <v>0</v>
      </c>
      <c r="M169" s="124">
        <f>E169-D169</f>
        <v>3953</v>
      </c>
      <c r="N169" s="132">
        <f>IF(D169=0,0,M169/D169)</f>
        <v>0.48802469135802468</v>
      </c>
      <c r="O169" s="106" t="s">
        <v>46</v>
      </c>
      <c r="P169" s="102"/>
      <c r="Q169" s="102"/>
      <c r="R169" s="102"/>
      <c r="S169" s="102"/>
      <c r="T169" s="96"/>
      <c r="U169" s="96"/>
      <c r="V169" s="96"/>
      <c r="W169" s="96"/>
      <c r="X169" s="96"/>
      <c r="Y169" s="191" t="s">
        <v>164</v>
      </c>
      <c r="Z169" s="191"/>
      <c r="AA169" s="191"/>
      <c r="AB169" s="191"/>
      <c r="AC169" s="193"/>
      <c r="AD169" s="193">
        <f>SUM(AD170:AD174)</f>
        <v>12053000</v>
      </c>
      <c r="AE169" s="192" t="s">
        <v>25</v>
      </c>
      <c r="AF169" s="1"/>
    </row>
    <row r="170" spans="1:32" s="11" customFormat="1" ht="21" customHeight="1">
      <c r="A170" s="46"/>
      <c r="B170" s="47"/>
      <c r="C170" s="47"/>
      <c r="D170" s="120"/>
      <c r="E170" s="119"/>
      <c r="F170" s="119"/>
      <c r="G170" s="119"/>
      <c r="H170" s="119"/>
      <c r="I170" s="119"/>
      <c r="J170" s="119"/>
      <c r="K170" s="119"/>
      <c r="L170" s="119"/>
      <c r="M170" s="119"/>
      <c r="N170" s="71"/>
      <c r="O170" s="637" t="s">
        <v>856</v>
      </c>
      <c r="P170" s="637"/>
      <c r="Q170" s="637"/>
      <c r="R170" s="637"/>
      <c r="S170" s="636">
        <v>200000</v>
      </c>
      <c r="T170" s="463" t="s">
        <v>821</v>
      </c>
      <c r="U170" s="463" t="s">
        <v>26</v>
      </c>
      <c r="V170" s="636">
        <v>12</v>
      </c>
      <c r="W170" s="637" t="s">
        <v>825</v>
      </c>
      <c r="X170" s="636" t="s">
        <v>27</v>
      </c>
      <c r="Y170" s="636"/>
      <c r="Z170" s="636"/>
      <c r="AA170" s="636"/>
      <c r="AB170" s="636" t="s">
        <v>832</v>
      </c>
      <c r="AC170" s="636"/>
      <c r="AD170" s="636">
        <f>S170*V170</f>
        <v>2400000</v>
      </c>
      <c r="AE170" s="150" t="s">
        <v>25</v>
      </c>
      <c r="AF170" s="1"/>
    </row>
    <row r="171" spans="1:32" s="11" customFormat="1" ht="21" customHeight="1">
      <c r="A171" s="46"/>
      <c r="B171" s="47"/>
      <c r="C171" s="47"/>
      <c r="D171" s="120"/>
      <c r="E171" s="119"/>
      <c r="F171" s="119"/>
      <c r="G171" s="119"/>
      <c r="H171" s="119"/>
      <c r="I171" s="119"/>
      <c r="J171" s="119"/>
      <c r="K171" s="119"/>
      <c r="L171" s="119"/>
      <c r="M171" s="119"/>
      <c r="N171" s="71"/>
      <c r="O171" s="637" t="s">
        <v>857</v>
      </c>
      <c r="P171" s="637"/>
      <c r="Q171" s="637"/>
      <c r="R171" s="637"/>
      <c r="S171" s="636">
        <v>300000</v>
      </c>
      <c r="T171" s="463" t="s">
        <v>821</v>
      </c>
      <c r="U171" s="463" t="s">
        <v>26</v>
      </c>
      <c r="V171" s="636">
        <v>12</v>
      </c>
      <c r="W171" s="637" t="s">
        <v>825</v>
      </c>
      <c r="X171" s="636" t="s">
        <v>27</v>
      </c>
      <c r="Y171" s="636"/>
      <c r="Z171" s="636"/>
      <c r="AA171" s="636"/>
      <c r="AB171" s="636" t="s">
        <v>832</v>
      </c>
      <c r="AC171" s="636"/>
      <c r="AD171" s="636">
        <f>S171*V171</f>
        <v>3600000</v>
      </c>
      <c r="AE171" s="150" t="s">
        <v>25</v>
      </c>
      <c r="AF171" s="1"/>
    </row>
    <row r="172" spans="1:32" s="11" customFormat="1" ht="21" customHeight="1">
      <c r="A172" s="46"/>
      <c r="B172" s="47"/>
      <c r="C172" s="47"/>
      <c r="D172" s="120"/>
      <c r="E172" s="119"/>
      <c r="F172" s="119"/>
      <c r="G172" s="119"/>
      <c r="H172" s="119"/>
      <c r="I172" s="119"/>
      <c r="J172" s="119"/>
      <c r="K172" s="119"/>
      <c r="L172" s="119"/>
      <c r="M172" s="119"/>
      <c r="N172" s="71"/>
      <c r="O172" s="637" t="s">
        <v>858</v>
      </c>
      <c r="P172" s="637"/>
      <c r="Q172" s="637"/>
      <c r="R172" s="637"/>
      <c r="S172" s="636">
        <v>150000</v>
      </c>
      <c r="T172" s="463" t="s">
        <v>794</v>
      </c>
      <c r="U172" s="463" t="s">
        <v>26</v>
      </c>
      <c r="V172" s="636">
        <v>12</v>
      </c>
      <c r="W172" s="637" t="s">
        <v>859</v>
      </c>
      <c r="X172" s="636" t="s">
        <v>27</v>
      </c>
      <c r="Y172" s="636"/>
      <c r="Z172" s="636"/>
      <c r="AA172" s="636"/>
      <c r="AB172" s="636" t="s">
        <v>809</v>
      </c>
      <c r="AC172" s="636"/>
      <c r="AD172" s="636">
        <f>S172*V172</f>
        <v>1800000</v>
      </c>
      <c r="AE172" s="150" t="s">
        <v>25</v>
      </c>
      <c r="AF172" s="1"/>
    </row>
    <row r="173" spans="1:32" ht="21" customHeight="1">
      <c r="A173" s="46"/>
      <c r="B173" s="47"/>
      <c r="C173" s="47"/>
      <c r="D173" s="173"/>
      <c r="E173" s="119"/>
      <c r="F173" s="119"/>
      <c r="G173" s="119"/>
      <c r="H173" s="119"/>
      <c r="I173" s="119"/>
      <c r="J173" s="119"/>
      <c r="K173" s="119"/>
      <c r="L173" s="119"/>
      <c r="M173" s="119"/>
      <c r="N173" s="71"/>
      <c r="O173" s="637" t="s">
        <v>860</v>
      </c>
      <c r="P173" s="637"/>
      <c r="Q173" s="637"/>
      <c r="R173" s="637"/>
      <c r="S173" s="636"/>
      <c r="T173" s="463"/>
      <c r="U173" s="463"/>
      <c r="V173" s="636"/>
      <c r="W173" s="637"/>
      <c r="X173" s="636"/>
      <c r="Y173" s="636"/>
      <c r="Z173" s="636"/>
      <c r="AA173" s="636"/>
      <c r="AB173" s="636" t="s">
        <v>807</v>
      </c>
      <c r="AC173" s="636"/>
      <c r="AD173" s="636">
        <v>253000</v>
      </c>
      <c r="AE173" s="150" t="s">
        <v>25</v>
      </c>
    </row>
    <row r="174" spans="1:32" ht="21" customHeight="1">
      <c r="A174" s="46"/>
      <c r="B174" s="47"/>
      <c r="C174" s="47"/>
      <c r="D174" s="143"/>
      <c r="E174" s="119"/>
      <c r="F174" s="119"/>
      <c r="G174" s="119"/>
      <c r="H174" s="119"/>
      <c r="I174" s="119"/>
      <c r="J174" s="119"/>
      <c r="K174" s="119"/>
      <c r="L174" s="119"/>
      <c r="M174" s="119"/>
      <c r="N174" s="71"/>
      <c r="O174" s="637" t="s">
        <v>861</v>
      </c>
      <c r="P174" s="637"/>
      <c r="Q174" s="637"/>
      <c r="R174" s="637"/>
      <c r="S174" s="636"/>
      <c r="T174" s="463"/>
      <c r="U174" s="463"/>
      <c r="V174" s="636"/>
      <c r="W174" s="637"/>
      <c r="X174" s="636"/>
      <c r="Y174" s="636"/>
      <c r="Z174" s="636"/>
      <c r="AA174" s="636"/>
      <c r="AB174" s="636" t="s">
        <v>807</v>
      </c>
      <c r="AC174" s="636"/>
      <c r="AD174" s="636">
        <v>4000000</v>
      </c>
      <c r="AE174" s="150" t="s">
        <v>794</v>
      </c>
    </row>
    <row r="175" spans="1:32" s="11" customFormat="1" ht="21" customHeight="1">
      <c r="A175" s="46"/>
      <c r="B175" s="47"/>
      <c r="C175" s="60"/>
      <c r="D175" s="141"/>
      <c r="E175" s="122"/>
      <c r="F175" s="122"/>
      <c r="G175" s="122"/>
      <c r="H175" s="122"/>
      <c r="I175" s="122"/>
      <c r="J175" s="122"/>
      <c r="K175" s="122"/>
      <c r="L175" s="122"/>
      <c r="M175" s="122"/>
      <c r="N175" s="91"/>
      <c r="O175" s="453"/>
      <c r="P175" s="453"/>
      <c r="Q175" s="453"/>
      <c r="R175" s="453"/>
      <c r="S175" s="666"/>
      <c r="T175" s="673"/>
      <c r="U175" s="666"/>
      <c r="V175" s="770"/>
      <c r="W175" s="771"/>
      <c r="X175" s="666"/>
      <c r="Y175" s="666"/>
      <c r="Z175" s="666"/>
      <c r="AA175" s="666"/>
      <c r="AB175" s="666"/>
      <c r="AC175" s="666"/>
      <c r="AD175" s="666"/>
      <c r="AE175" s="674"/>
      <c r="AF175" s="1"/>
    </row>
    <row r="176" spans="1:32" s="11" customFormat="1" ht="21" customHeight="1">
      <c r="A176" s="46"/>
      <c r="B176" s="47"/>
      <c r="C176" s="37" t="s">
        <v>92</v>
      </c>
      <c r="D176" s="142">
        <v>12654</v>
      </c>
      <c r="E176" s="124">
        <f>ROUND(AD176/1000,0)</f>
        <v>13854</v>
      </c>
      <c r="F176" s="124">
        <v>2000</v>
      </c>
      <c r="G176" s="124">
        <v>0</v>
      </c>
      <c r="H176" s="124">
        <v>0</v>
      </c>
      <c r="I176" s="124">
        <f>SUM(AD178:AD187,AD191:AD193)/1000-2000</f>
        <v>10454</v>
      </c>
      <c r="J176" s="124">
        <v>0</v>
      </c>
      <c r="K176" s="124">
        <f>SUM(AD189:AD190)/1000</f>
        <v>1400</v>
      </c>
      <c r="L176" s="124">
        <v>0</v>
      </c>
      <c r="M176" s="124">
        <f>E176-D176</f>
        <v>1200</v>
      </c>
      <c r="N176" s="132">
        <f>IF(D176=0,0,M176/D176)</f>
        <v>9.4831673779042197E-2</v>
      </c>
      <c r="O176" s="127" t="s">
        <v>93</v>
      </c>
      <c r="P176" s="102"/>
      <c r="Q176" s="102"/>
      <c r="R176" s="102"/>
      <c r="S176" s="102"/>
      <c r="T176" s="96"/>
      <c r="U176" s="96"/>
      <c r="V176" s="96"/>
      <c r="W176" s="96"/>
      <c r="X176" s="96"/>
      <c r="Y176" s="191" t="s">
        <v>164</v>
      </c>
      <c r="Z176" s="191"/>
      <c r="AA176" s="191"/>
      <c r="AB176" s="191"/>
      <c r="AC176" s="193"/>
      <c r="AD176" s="193">
        <f>SUM(AD178:AD193)</f>
        <v>13854000</v>
      </c>
      <c r="AE176" s="192" t="s">
        <v>25</v>
      </c>
      <c r="AF176" s="1"/>
    </row>
    <row r="177" spans="1:32" s="11" customFormat="1" ht="20.25" customHeight="1">
      <c r="A177" s="46"/>
      <c r="B177" s="47"/>
      <c r="C177" s="47"/>
      <c r="D177" s="143"/>
      <c r="E177" s="119"/>
      <c r="F177" s="119"/>
      <c r="G177" s="119"/>
      <c r="H177" s="119"/>
      <c r="I177" s="119"/>
      <c r="J177" s="119"/>
      <c r="K177" s="119"/>
      <c r="L177" s="119"/>
      <c r="M177" s="119"/>
      <c r="N177" s="71"/>
      <c r="O177" s="170" t="s">
        <v>108</v>
      </c>
      <c r="P177" s="139"/>
      <c r="Q177" s="139"/>
      <c r="R177" s="139"/>
      <c r="S177" s="12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69"/>
      <c r="AD177" s="69"/>
      <c r="AE177" s="58"/>
      <c r="AF177" s="2"/>
    </row>
    <row r="178" spans="1:32" s="11" customFormat="1" ht="20.25" customHeight="1">
      <c r="A178" s="46"/>
      <c r="B178" s="47"/>
      <c r="C178" s="47"/>
      <c r="D178" s="143"/>
      <c r="E178" s="119"/>
      <c r="F178" s="119"/>
      <c r="G178" s="119"/>
      <c r="H178" s="119"/>
      <c r="I178" s="119"/>
      <c r="J178" s="119"/>
      <c r="K178" s="119"/>
      <c r="L178" s="119"/>
      <c r="M178" s="119"/>
      <c r="N178" s="71"/>
      <c r="O178" s="355" t="s">
        <v>537</v>
      </c>
      <c r="P178" s="355"/>
      <c r="Q178" s="355"/>
      <c r="R178" s="355"/>
      <c r="S178" s="347">
        <v>250000</v>
      </c>
      <c r="T178" s="347" t="s">
        <v>514</v>
      </c>
      <c r="U178" s="499" t="s">
        <v>544</v>
      </c>
      <c r="V178" s="347">
        <v>36</v>
      </c>
      <c r="W178" s="347" t="s">
        <v>539</v>
      </c>
      <c r="X178" s="499"/>
      <c r="Y178" s="347"/>
      <c r="Z178" s="347"/>
      <c r="AA178" s="347" t="s">
        <v>520</v>
      </c>
      <c r="AB178" s="347"/>
      <c r="AC178" s="356"/>
      <c r="AD178" s="356">
        <f>S178*V178</f>
        <v>9000000</v>
      </c>
      <c r="AE178" s="469" t="s">
        <v>514</v>
      </c>
      <c r="AF178" s="2"/>
    </row>
    <row r="179" spans="1:32" s="11" customFormat="1" ht="20.25" customHeight="1">
      <c r="A179" s="46"/>
      <c r="B179" s="47"/>
      <c r="C179" s="47"/>
      <c r="D179" s="143"/>
      <c r="E179" s="119"/>
      <c r="F179" s="119"/>
      <c r="G179" s="119"/>
      <c r="H179" s="119"/>
      <c r="I179" s="119"/>
      <c r="J179" s="119"/>
      <c r="K179" s="119"/>
      <c r="L179" s="119"/>
      <c r="M179" s="119"/>
      <c r="N179" s="71"/>
      <c r="O179" s="355"/>
      <c r="P179" s="355"/>
      <c r="Q179" s="355"/>
      <c r="R179" s="355"/>
      <c r="S179" s="347"/>
      <c r="T179" s="347"/>
      <c r="U179" s="499"/>
      <c r="V179" s="347"/>
      <c r="W179" s="347"/>
      <c r="X179" s="499"/>
      <c r="Y179" s="347" t="s">
        <v>788</v>
      </c>
      <c r="Z179" s="347"/>
      <c r="AA179" s="347"/>
      <c r="AB179" s="347"/>
      <c r="AC179" s="356"/>
      <c r="AD179" s="356"/>
      <c r="AE179" s="469"/>
      <c r="AF179" s="2"/>
    </row>
    <row r="180" spans="1:32" s="11" customFormat="1" ht="20.25" customHeight="1">
      <c r="A180" s="46"/>
      <c r="B180" s="47"/>
      <c r="C180" s="47"/>
      <c r="D180" s="143"/>
      <c r="E180" s="119"/>
      <c r="F180" s="119"/>
      <c r="G180" s="119"/>
      <c r="H180" s="119"/>
      <c r="I180" s="119"/>
      <c r="J180" s="119"/>
      <c r="K180" s="119"/>
      <c r="L180" s="119"/>
      <c r="M180" s="119"/>
      <c r="N180" s="71"/>
      <c r="O180" s="355" t="s">
        <v>551</v>
      </c>
      <c r="P180" s="355"/>
      <c r="Q180" s="355"/>
      <c r="R180" s="355"/>
      <c r="S180" s="522"/>
      <c r="T180" s="347"/>
      <c r="U180" s="347"/>
      <c r="V180" s="347"/>
      <c r="W180" s="347"/>
      <c r="X180" s="347"/>
      <c r="Y180" s="347"/>
      <c r="Z180" s="347"/>
      <c r="AA180" s="347"/>
      <c r="AB180" s="347" t="s">
        <v>521</v>
      </c>
      <c r="AC180" s="356"/>
      <c r="AD180" s="356">
        <v>1500000</v>
      </c>
      <c r="AE180" s="469" t="s">
        <v>514</v>
      </c>
      <c r="AF180" s="2"/>
    </row>
    <row r="181" spans="1:32" s="11" customFormat="1" ht="20.25" customHeight="1">
      <c r="A181" s="46"/>
      <c r="B181" s="47"/>
      <c r="C181" s="47"/>
      <c r="D181" s="143"/>
      <c r="E181" s="119"/>
      <c r="F181" s="119"/>
      <c r="G181" s="119"/>
      <c r="H181" s="119"/>
      <c r="I181" s="119"/>
      <c r="J181" s="119"/>
      <c r="K181" s="119"/>
      <c r="L181" s="119"/>
      <c r="M181" s="119"/>
      <c r="N181" s="71"/>
      <c r="O181" s="355" t="s">
        <v>776</v>
      </c>
      <c r="P181" s="355"/>
      <c r="Q181" s="355"/>
      <c r="R181" s="355"/>
      <c r="S181" s="522"/>
      <c r="T181" s="347"/>
      <c r="U181" s="347"/>
      <c r="V181" s="347"/>
      <c r="W181" s="347"/>
      <c r="X181" s="347"/>
      <c r="Y181" s="347"/>
      <c r="Z181" s="347"/>
      <c r="AA181" s="347"/>
      <c r="AB181" s="347" t="s">
        <v>180</v>
      </c>
      <c r="AC181" s="356"/>
      <c r="AD181" s="356">
        <v>200000</v>
      </c>
      <c r="AE181" s="469" t="s">
        <v>664</v>
      </c>
      <c r="AF181" s="2"/>
    </row>
    <row r="182" spans="1:32" s="11" customFormat="1" ht="20.25" customHeight="1">
      <c r="A182" s="46"/>
      <c r="B182" s="47"/>
      <c r="C182" s="47"/>
      <c r="D182" s="143"/>
      <c r="E182" s="119"/>
      <c r="F182" s="119"/>
      <c r="G182" s="119"/>
      <c r="H182" s="119"/>
      <c r="I182" s="119"/>
      <c r="J182" s="119"/>
      <c r="K182" s="119"/>
      <c r="L182" s="119"/>
      <c r="M182" s="119"/>
      <c r="N182" s="71"/>
      <c r="O182" s="355"/>
      <c r="P182" s="355"/>
      <c r="Q182" s="355"/>
      <c r="R182" s="355"/>
      <c r="S182" s="522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56"/>
      <c r="AD182" s="356"/>
      <c r="AE182" s="469"/>
      <c r="AF182" s="2"/>
    </row>
    <row r="183" spans="1:32" s="11" customFormat="1" ht="20.25" customHeight="1">
      <c r="A183" s="46"/>
      <c r="B183" s="47"/>
      <c r="C183" s="47"/>
      <c r="D183" s="143"/>
      <c r="E183" s="119"/>
      <c r="F183" s="119"/>
      <c r="G183" s="119"/>
      <c r="H183" s="119"/>
      <c r="I183" s="119"/>
      <c r="J183" s="119"/>
      <c r="K183" s="119"/>
      <c r="L183" s="119"/>
      <c r="M183" s="119"/>
      <c r="N183" s="71"/>
      <c r="O183" s="355" t="s">
        <v>552</v>
      </c>
      <c r="P183" s="355"/>
      <c r="Q183" s="355"/>
      <c r="R183" s="355"/>
      <c r="S183" s="522"/>
      <c r="T183" s="347"/>
      <c r="U183" s="347"/>
      <c r="V183" s="347"/>
      <c r="W183" s="347"/>
      <c r="X183" s="347"/>
      <c r="Y183" s="347"/>
      <c r="Z183" s="347"/>
      <c r="AA183" s="347"/>
      <c r="AB183" s="347"/>
      <c r="AC183" s="356"/>
      <c r="AD183" s="356"/>
      <c r="AE183" s="469"/>
      <c r="AF183" s="2"/>
    </row>
    <row r="184" spans="1:32" s="11" customFormat="1" ht="20.25" customHeight="1">
      <c r="A184" s="46"/>
      <c r="B184" s="47"/>
      <c r="C184" s="47"/>
      <c r="D184" s="143"/>
      <c r="E184" s="119"/>
      <c r="F184" s="119"/>
      <c r="G184" s="119"/>
      <c r="H184" s="119"/>
      <c r="I184" s="119"/>
      <c r="J184" s="119"/>
      <c r="K184" s="119"/>
      <c r="L184" s="119"/>
      <c r="M184" s="119"/>
      <c r="N184" s="71"/>
      <c r="O184" s="355" t="s">
        <v>553</v>
      </c>
      <c r="P184" s="355"/>
      <c r="Q184" s="355"/>
      <c r="R184" s="355"/>
      <c r="S184" s="347">
        <v>200000</v>
      </c>
      <c r="T184" s="347" t="s">
        <v>514</v>
      </c>
      <c r="U184" s="499" t="s">
        <v>544</v>
      </c>
      <c r="V184" s="347">
        <v>1</v>
      </c>
      <c r="W184" s="347" t="s">
        <v>515</v>
      </c>
      <c r="X184" s="499"/>
      <c r="Y184" s="347"/>
      <c r="Z184" s="347"/>
      <c r="AA184" s="347" t="s">
        <v>520</v>
      </c>
      <c r="AB184" s="347" t="s">
        <v>521</v>
      </c>
      <c r="AC184" s="356"/>
      <c r="AD184" s="356">
        <v>0</v>
      </c>
      <c r="AE184" s="469" t="s">
        <v>514</v>
      </c>
      <c r="AF184" s="2"/>
    </row>
    <row r="185" spans="1:32" s="11" customFormat="1" ht="20.25" customHeight="1">
      <c r="A185" s="46"/>
      <c r="B185" s="47"/>
      <c r="C185" s="47"/>
      <c r="D185" s="143"/>
      <c r="E185" s="119"/>
      <c r="F185" s="119"/>
      <c r="G185" s="119"/>
      <c r="H185" s="119"/>
      <c r="I185" s="119"/>
      <c r="J185" s="119"/>
      <c r="K185" s="119"/>
      <c r="L185" s="119"/>
      <c r="M185" s="119"/>
      <c r="N185" s="71"/>
      <c r="O185" s="355" t="s">
        <v>554</v>
      </c>
      <c r="P185" s="355"/>
      <c r="Q185" s="355"/>
      <c r="R185" s="355"/>
      <c r="S185" s="347">
        <v>200000</v>
      </c>
      <c r="T185" s="347" t="s">
        <v>514</v>
      </c>
      <c r="U185" s="499" t="s">
        <v>544</v>
      </c>
      <c r="V185" s="347">
        <v>2</v>
      </c>
      <c r="W185" s="347" t="s">
        <v>515</v>
      </c>
      <c r="X185" s="499"/>
      <c r="Y185" s="347"/>
      <c r="Z185" s="347"/>
      <c r="AA185" s="347" t="s">
        <v>520</v>
      </c>
      <c r="AB185" s="347" t="s">
        <v>521</v>
      </c>
      <c r="AC185" s="356"/>
      <c r="AD185" s="356">
        <v>0</v>
      </c>
      <c r="AE185" s="469" t="s">
        <v>514</v>
      </c>
      <c r="AF185" s="2"/>
    </row>
    <row r="186" spans="1:32" s="11" customFormat="1" ht="20.25" customHeight="1">
      <c r="A186" s="46"/>
      <c r="B186" s="47"/>
      <c r="C186" s="47"/>
      <c r="D186" s="143"/>
      <c r="E186" s="119"/>
      <c r="F186" s="119"/>
      <c r="G186" s="119"/>
      <c r="H186" s="119"/>
      <c r="I186" s="119"/>
      <c r="J186" s="119"/>
      <c r="K186" s="119"/>
      <c r="L186" s="119"/>
      <c r="M186" s="119"/>
      <c r="N186" s="71"/>
      <c r="O186" s="355" t="s">
        <v>555</v>
      </c>
      <c r="P186" s="355"/>
      <c r="Q186" s="355"/>
      <c r="R186" s="355"/>
      <c r="S186" s="347">
        <v>200000</v>
      </c>
      <c r="T186" s="347" t="s">
        <v>514</v>
      </c>
      <c r="U186" s="499" t="s">
        <v>544</v>
      </c>
      <c r="V186" s="347">
        <v>2</v>
      </c>
      <c r="W186" s="347" t="s">
        <v>515</v>
      </c>
      <c r="X186" s="499"/>
      <c r="Y186" s="347"/>
      <c r="Z186" s="347"/>
      <c r="AA186" s="347" t="s">
        <v>520</v>
      </c>
      <c r="AB186" s="347" t="s">
        <v>521</v>
      </c>
      <c r="AC186" s="356"/>
      <c r="AD186" s="356">
        <v>0</v>
      </c>
      <c r="AE186" s="469" t="s">
        <v>514</v>
      </c>
      <c r="AF186" s="2"/>
    </row>
    <row r="187" spans="1:32" s="11" customFormat="1" ht="20.25" customHeight="1">
      <c r="A187" s="46"/>
      <c r="B187" s="47"/>
      <c r="C187" s="47"/>
      <c r="D187" s="143"/>
      <c r="E187" s="119"/>
      <c r="F187" s="119"/>
      <c r="G187" s="119"/>
      <c r="H187" s="119"/>
      <c r="I187" s="119"/>
      <c r="J187" s="119"/>
      <c r="K187" s="119"/>
      <c r="L187" s="119"/>
      <c r="M187" s="119"/>
      <c r="N187" s="71"/>
      <c r="O187" s="355" t="s">
        <v>556</v>
      </c>
      <c r="P187" s="355"/>
      <c r="Q187" s="355"/>
      <c r="R187" s="355"/>
      <c r="S187" s="522"/>
      <c r="T187" s="347"/>
      <c r="U187" s="347"/>
      <c r="V187" s="347"/>
      <c r="W187" s="347"/>
      <c r="X187" s="347"/>
      <c r="Y187" s="347"/>
      <c r="Z187" s="347"/>
      <c r="AA187" s="347"/>
      <c r="AB187" s="347" t="s">
        <v>521</v>
      </c>
      <c r="AC187" s="356"/>
      <c r="AD187" s="356">
        <v>374000</v>
      </c>
      <c r="AE187" s="469" t="s">
        <v>514</v>
      </c>
      <c r="AF187" s="2"/>
    </row>
    <row r="188" spans="1:32" s="11" customFormat="1" ht="20.25" customHeight="1">
      <c r="A188" s="46"/>
      <c r="B188" s="47"/>
      <c r="C188" s="47"/>
      <c r="D188" s="143"/>
      <c r="E188" s="119"/>
      <c r="F188" s="119"/>
      <c r="G188" s="119"/>
      <c r="H188" s="119"/>
      <c r="I188" s="119"/>
      <c r="J188" s="119"/>
      <c r="K188" s="119"/>
      <c r="L188" s="119"/>
      <c r="M188" s="119"/>
      <c r="N188" s="71"/>
      <c r="O188" s="355"/>
      <c r="P188" s="355"/>
      <c r="Q188" s="355"/>
      <c r="R188" s="355"/>
      <c r="S188" s="522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56"/>
      <c r="AD188" s="356"/>
      <c r="AE188" s="469"/>
      <c r="AF188" s="2"/>
    </row>
    <row r="189" spans="1:32" s="11" customFormat="1" ht="20.25" customHeight="1">
      <c r="A189" s="46"/>
      <c r="B189" s="47"/>
      <c r="C189" s="47"/>
      <c r="D189" s="143"/>
      <c r="E189" s="119"/>
      <c r="F189" s="119"/>
      <c r="G189" s="119"/>
      <c r="H189" s="119"/>
      <c r="I189" s="119"/>
      <c r="J189" s="119"/>
      <c r="K189" s="119"/>
      <c r="L189" s="119"/>
      <c r="M189" s="119"/>
      <c r="N189" s="71"/>
      <c r="O189" s="637" t="s">
        <v>862</v>
      </c>
      <c r="P189" s="637"/>
      <c r="Q189" s="637"/>
      <c r="R189" s="637"/>
      <c r="S189" s="636">
        <v>500000</v>
      </c>
      <c r="T189" s="463" t="s">
        <v>821</v>
      </c>
      <c r="U189" s="463" t="s">
        <v>26</v>
      </c>
      <c r="V189" s="636">
        <v>2</v>
      </c>
      <c r="W189" s="637" t="s">
        <v>828</v>
      </c>
      <c r="X189" s="636" t="s">
        <v>27</v>
      </c>
      <c r="Y189" s="636"/>
      <c r="Z189" s="636"/>
      <c r="AA189" s="636"/>
      <c r="AB189" s="636" t="s">
        <v>820</v>
      </c>
      <c r="AC189" s="149"/>
      <c r="AD189" s="636">
        <f>S189*V189</f>
        <v>1000000</v>
      </c>
      <c r="AE189" s="150" t="s">
        <v>821</v>
      </c>
      <c r="AF189" s="2"/>
    </row>
    <row r="190" spans="1:32" s="11" customFormat="1" ht="20.25" customHeight="1">
      <c r="A190" s="46"/>
      <c r="B190" s="47"/>
      <c r="C190" s="47"/>
      <c r="D190" s="143"/>
      <c r="E190" s="119"/>
      <c r="F190" s="119"/>
      <c r="G190" s="119"/>
      <c r="H190" s="119"/>
      <c r="I190" s="119"/>
      <c r="J190" s="119"/>
      <c r="K190" s="119"/>
      <c r="L190" s="119"/>
      <c r="M190" s="119"/>
      <c r="N190" s="71"/>
      <c r="O190" s="637" t="s">
        <v>863</v>
      </c>
      <c r="P190" s="637"/>
      <c r="Q190" s="637"/>
      <c r="R190" s="637"/>
      <c r="S190" s="636">
        <v>200000</v>
      </c>
      <c r="T190" s="463" t="s">
        <v>821</v>
      </c>
      <c r="U190" s="463" t="s">
        <v>26</v>
      </c>
      <c r="V190" s="636">
        <v>2</v>
      </c>
      <c r="W190" s="637" t="s">
        <v>828</v>
      </c>
      <c r="X190" s="636" t="s">
        <v>27</v>
      </c>
      <c r="Y190" s="660"/>
      <c r="Z190" s="660"/>
      <c r="AA190" s="660"/>
      <c r="AB190" s="660" t="s">
        <v>820</v>
      </c>
      <c r="AC190" s="660"/>
      <c r="AD190" s="636">
        <f>S190*V190</f>
        <v>400000</v>
      </c>
      <c r="AE190" s="661" t="s">
        <v>25</v>
      </c>
      <c r="AF190" s="2"/>
    </row>
    <row r="191" spans="1:32" s="11" customFormat="1" ht="20.25" customHeight="1">
      <c r="A191" s="46"/>
      <c r="B191" s="47"/>
      <c r="C191" s="47"/>
      <c r="D191" s="143"/>
      <c r="E191" s="119"/>
      <c r="F191" s="119"/>
      <c r="G191" s="119"/>
      <c r="H191" s="119"/>
      <c r="I191" s="119"/>
      <c r="J191" s="119"/>
      <c r="K191" s="119"/>
      <c r="L191" s="119"/>
      <c r="M191" s="119"/>
      <c r="N191" s="71"/>
      <c r="O191" s="355" t="s">
        <v>538</v>
      </c>
      <c r="P191" s="355"/>
      <c r="Q191" s="355"/>
      <c r="R191" s="355"/>
      <c r="S191" s="347">
        <v>20000</v>
      </c>
      <c r="T191" s="505" t="s">
        <v>514</v>
      </c>
      <c r="U191" s="505" t="s">
        <v>26</v>
      </c>
      <c r="V191" s="347">
        <v>35</v>
      </c>
      <c r="W191" s="355" t="s">
        <v>539</v>
      </c>
      <c r="X191" s="347" t="s">
        <v>27</v>
      </c>
      <c r="Y191" s="523"/>
      <c r="Z191" s="347"/>
      <c r="AA191" s="500"/>
      <c r="AB191" s="522" t="s">
        <v>521</v>
      </c>
      <c r="AC191" s="500"/>
      <c r="AD191" s="347">
        <f>S191*V191</f>
        <v>700000</v>
      </c>
      <c r="AE191" s="501" t="s">
        <v>514</v>
      </c>
      <c r="AF191" s="2"/>
    </row>
    <row r="192" spans="1:32" s="11" customFormat="1" ht="20.25" customHeight="1">
      <c r="A192" s="46"/>
      <c r="B192" s="47"/>
      <c r="C192" s="47"/>
      <c r="D192" s="143"/>
      <c r="E192" s="119"/>
      <c r="F192" s="119"/>
      <c r="G192" s="119"/>
      <c r="H192" s="119"/>
      <c r="I192" s="119"/>
      <c r="J192" s="119"/>
      <c r="K192" s="119"/>
      <c r="L192" s="119"/>
      <c r="M192" s="119"/>
      <c r="N192" s="71"/>
      <c r="O192" s="355" t="s">
        <v>540</v>
      </c>
      <c r="P192" s="355"/>
      <c r="Q192" s="355"/>
      <c r="R192" s="355"/>
      <c r="S192" s="347"/>
      <c r="T192" s="505"/>
      <c r="U192" s="505"/>
      <c r="V192" s="347"/>
      <c r="W192" s="355"/>
      <c r="X192" s="347"/>
      <c r="Y192" s="523"/>
      <c r="Z192" s="347"/>
      <c r="AA192" s="500"/>
      <c r="AB192" s="522" t="s">
        <v>521</v>
      </c>
      <c r="AC192" s="500"/>
      <c r="AD192" s="347">
        <v>500000</v>
      </c>
      <c r="AE192" s="501" t="s">
        <v>514</v>
      </c>
      <c r="AF192" s="2"/>
    </row>
    <row r="193" spans="1:32" s="11" customFormat="1" ht="20.25" customHeight="1">
      <c r="A193" s="46"/>
      <c r="B193" s="47"/>
      <c r="C193" s="47"/>
      <c r="D193" s="143"/>
      <c r="E193" s="119"/>
      <c r="F193" s="119"/>
      <c r="G193" s="119"/>
      <c r="H193" s="119"/>
      <c r="I193" s="119"/>
      <c r="J193" s="119"/>
      <c r="K193" s="119"/>
      <c r="L193" s="119"/>
      <c r="M193" s="119"/>
      <c r="N193" s="71"/>
      <c r="O193" s="355" t="s">
        <v>541</v>
      </c>
      <c r="P193" s="355"/>
      <c r="Q193" s="355"/>
      <c r="R193" s="355"/>
      <c r="S193" s="347">
        <v>15000</v>
      </c>
      <c r="T193" s="505" t="s">
        <v>514</v>
      </c>
      <c r="U193" s="505" t="s">
        <v>26</v>
      </c>
      <c r="V193" s="347">
        <v>12</v>
      </c>
      <c r="W193" s="355" t="s">
        <v>542</v>
      </c>
      <c r="X193" s="347" t="s">
        <v>27</v>
      </c>
      <c r="Y193" s="523"/>
      <c r="Z193" s="347"/>
      <c r="AA193" s="500"/>
      <c r="AB193" s="500" t="s">
        <v>521</v>
      </c>
      <c r="AC193" s="500"/>
      <c r="AD193" s="347">
        <f>S193*V193</f>
        <v>180000</v>
      </c>
      <c r="AE193" s="501" t="s">
        <v>514</v>
      </c>
      <c r="AF193" s="2"/>
    </row>
    <row r="194" spans="1:32" s="11" customFormat="1" ht="21" customHeight="1">
      <c r="A194" s="46"/>
      <c r="B194" s="47"/>
      <c r="C194" s="48"/>
      <c r="D194" s="173"/>
      <c r="E194" s="119"/>
      <c r="F194" s="119"/>
      <c r="G194" s="119"/>
      <c r="H194" s="119"/>
      <c r="I194" s="119"/>
      <c r="J194" s="119"/>
      <c r="K194" s="119"/>
      <c r="L194" s="119"/>
      <c r="M194" s="119"/>
      <c r="N194" s="91"/>
      <c r="O194" s="168"/>
      <c r="P194" s="87"/>
      <c r="Q194" s="87"/>
      <c r="R194" s="87"/>
      <c r="S194" s="86"/>
      <c r="T194" s="87"/>
      <c r="U194" s="86"/>
      <c r="V194" s="144"/>
      <c r="W194" s="144"/>
      <c r="X194" s="86"/>
      <c r="Y194" s="86"/>
      <c r="Z194" s="86"/>
      <c r="AA194" s="86"/>
      <c r="AB194" s="86"/>
      <c r="AC194" s="86"/>
      <c r="AD194" s="86"/>
      <c r="AE194" s="74"/>
      <c r="AF194" s="2"/>
    </row>
    <row r="195" spans="1:32" s="11" customFormat="1" ht="21" customHeight="1">
      <c r="A195" s="123" t="s">
        <v>47</v>
      </c>
      <c r="B195" s="791" t="s">
        <v>20</v>
      </c>
      <c r="C195" s="791"/>
      <c r="D195" s="213">
        <f>D196</f>
        <v>45289</v>
      </c>
      <c r="E195" s="213">
        <f>E196</f>
        <v>56301</v>
      </c>
      <c r="F195" s="213">
        <f t="shared" ref="F195:L195" si="7">F196</f>
        <v>6312</v>
      </c>
      <c r="G195" s="213">
        <f t="shared" si="7"/>
        <v>5000</v>
      </c>
      <c r="H195" s="213">
        <f t="shared" si="7"/>
        <v>0</v>
      </c>
      <c r="I195" s="213">
        <f t="shared" si="7"/>
        <v>31412</v>
      </c>
      <c r="J195" s="213">
        <f t="shared" si="7"/>
        <v>3577</v>
      </c>
      <c r="K195" s="213">
        <f t="shared" si="7"/>
        <v>0</v>
      </c>
      <c r="L195" s="213">
        <f t="shared" si="7"/>
        <v>10000</v>
      </c>
      <c r="M195" s="213">
        <f>E195-D195</f>
        <v>11012</v>
      </c>
      <c r="N195" s="185">
        <f>IF(D195=0,0,M195/D195)</f>
        <v>0.24314955066351654</v>
      </c>
      <c r="O195" s="204" t="s">
        <v>168</v>
      </c>
      <c r="P195" s="33"/>
      <c r="Q195" s="33"/>
      <c r="R195" s="33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>
        <f>AD196</f>
        <v>56301000</v>
      </c>
      <c r="AE195" s="35" t="s">
        <v>25</v>
      </c>
      <c r="AF195" s="2"/>
    </row>
    <row r="196" spans="1:32" s="11" customFormat="1" ht="21" customHeight="1">
      <c r="A196" s="212" t="s">
        <v>175</v>
      </c>
      <c r="B196" s="47" t="s">
        <v>17</v>
      </c>
      <c r="C196" s="47" t="s">
        <v>169</v>
      </c>
      <c r="D196" s="119">
        <f t="shared" ref="D196:L196" si="8">SUM(D197,D200,D211)</f>
        <v>45289</v>
      </c>
      <c r="E196" s="119">
        <f t="shared" si="8"/>
        <v>56301</v>
      </c>
      <c r="F196" s="119">
        <f t="shared" si="8"/>
        <v>6312</v>
      </c>
      <c r="G196" s="119">
        <f t="shared" si="8"/>
        <v>5000</v>
      </c>
      <c r="H196" s="119">
        <f t="shared" si="8"/>
        <v>0</v>
      </c>
      <c r="I196" s="119">
        <f t="shared" si="8"/>
        <v>31412</v>
      </c>
      <c r="J196" s="119">
        <f t="shared" si="8"/>
        <v>3577</v>
      </c>
      <c r="K196" s="119">
        <f t="shared" si="8"/>
        <v>0</v>
      </c>
      <c r="L196" s="119">
        <f t="shared" si="8"/>
        <v>10000</v>
      </c>
      <c r="M196" s="119">
        <f>E196-D196</f>
        <v>11012</v>
      </c>
      <c r="N196" s="71">
        <f>IF(D196=0,0,M196/D196)</f>
        <v>0.24314955066351654</v>
      </c>
      <c r="O196" s="208" t="s">
        <v>170</v>
      </c>
      <c r="P196" s="102"/>
      <c r="Q196" s="102"/>
      <c r="R196" s="102"/>
      <c r="S196" s="102"/>
      <c r="T196" s="96"/>
      <c r="U196" s="96"/>
      <c r="V196" s="96"/>
      <c r="W196" s="96"/>
      <c r="X196" s="96"/>
      <c r="Y196" s="96"/>
      <c r="Z196" s="96"/>
      <c r="AA196" s="96"/>
      <c r="AB196" s="96"/>
      <c r="AC196" s="103"/>
      <c r="AD196" s="103">
        <f>SUM(AD197,AD200,AD211)</f>
        <v>56301000</v>
      </c>
      <c r="AE196" s="104" t="s">
        <v>25</v>
      </c>
      <c r="AF196" s="1"/>
    </row>
    <row r="197" spans="1:32" s="11" customFormat="1" ht="21" customHeight="1">
      <c r="A197" s="46"/>
      <c r="B197" s="47"/>
      <c r="C197" s="37" t="s">
        <v>170</v>
      </c>
      <c r="D197" s="210">
        <v>0</v>
      </c>
      <c r="E197" s="210">
        <f>ROUND(AD197/1000,0)</f>
        <v>0</v>
      </c>
      <c r="F197" s="210">
        <v>0</v>
      </c>
      <c r="G197" s="210">
        <v>0</v>
      </c>
      <c r="H197" s="210">
        <v>0</v>
      </c>
      <c r="I197" s="210">
        <v>0</v>
      </c>
      <c r="J197" s="210">
        <v>0</v>
      </c>
      <c r="K197" s="210">
        <v>0</v>
      </c>
      <c r="L197" s="210">
        <v>0</v>
      </c>
      <c r="M197" s="210">
        <f>E197-D197</f>
        <v>0</v>
      </c>
      <c r="N197" s="211">
        <f>IF(D197=0,0,M197/D197)</f>
        <v>0</v>
      </c>
      <c r="O197" s="106" t="s">
        <v>48</v>
      </c>
      <c r="P197" s="208"/>
      <c r="Q197" s="208"/>
      <c r="R197" s="208"/>
      <c r="S197" s="208"/>
      <c r="T197" s="207"/>
      <c r="U197" s="207"/>
      <c r="V197" s="207"/>
      <c r="W197" s="207"/>
      <c r="X197" s="207"/>
      <c r="Y197" s="191" t="s">
        <v>164</v>
      </c>
      <c r="Z197" s="191"/>
      <c r="AA197" s="191"/>
      <c r="AB197" s="191"/>
      <c r="AC197" s="193"/>
      <c r="AD197" s="193">
        <f>SUM(AD198:AD198)</f>
        <v>0</v>
      </c>
      <c r="AE197" s="192" t="s">
        <v>25</v>
      </c>
      <c r="AF197" s="1"/>
    </row>
    <row r="198" spans="1:32" s="11" customFormat="1" ht="21" customHeight="1">
      <c r="A198" s="46"/>
      <c r="B198" s="47"/>
      <c r="C198" s="47"/>
      <c r="D198" s="120"/>
      <c r="E198" s="119"/>
      <c r="F198" s="119"/>
      <c r="G198" s="119"/>
      <c r="H198" s="119"/>
      <c r="I198" s="119"/>
      <c r="J198" s="119"/>
      <c r="K198" s="119"/>
      <c r="L198" s="119"/>
      <c r="M198" s="119"/>
      <c r="N198" s="71"/>
      <c r="O198" s="202">
        <v>1</v>
      </c>
      <c r="P198" s="157"/>
      <c r="Q198" s="157"/>
      <c r="R198" s="157"/>
      <c r="S198" s="157"/>
      <c r="T198" s="156"/>
      <c r="U198" s="156"/>
      <c r="V198" s="156"/>
      <c r="W198" s="156"/>
      <c r="X198" s="156"/>
      <c r="Y198" s="156"/>
      <c r="Z198" s="156"/>
      <c r="AA198" s="156"/>
      <c r="AB198" s="158"/>
      <c r="AC198" s="53"/>
      <c r="AD198" s="356">
        <v>0</v>
      </c>
      <c r="AE198" s="58" t="s">
        <v>135</v>
      </c>
      <c r="AF198" s="2"/>
    </row>
    <row r="199" spans="1:32" s="11" customFormat="1" ht="21" customHeight="1">
      <c r="A199" s="46"/>
      <c r="B199" s="47"/>
      <c r="C199" s="47"/>
      <c r="D199" s="173"/>
      <c r="E199" s="119"/>
      <c r="F199" s="119"/>
      <c r="G199" s="119"/>
      <c r="H199" s="119"/>
      <c r="I199" s="119"/>
      <c r="J199" s="119"/>
      <c r="K199" s="119"/>
      <c r="L199" s="119"/>
      <c r="M199" s="119"/>
      <c r="N199" s="71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45"/>
      <c r="AE199" s="137"/>
      <c r="AF199" s="2"/>
    </row>
    <row r="200" spans="1:32" s="11" customFormat="1" ht="21" customHeight="1">
      <c r="A200" s="46"/>
      <c r="B200" s="47"/>
      <c r="C200" s="37" t="s">
        <v>18</v>
      </c>
      <c r="D200" s="175">
        <v>31300</v>
      </c>
      <c r="E200" s="124">
        <f>ROUND(AD200/1000,0)</f>
        <v>36335</v>
      </c>
      <c r="F200" s="124">
        <v>0</v>
      </c>
      <c r="G200" s="124">
        <v>0</v>
      </c>
      <c r="H200" s="124">
        <v>0</v>
      </c>
      <c r="I200" s="124">
        <f>SUM(AD201:AD202,AD204:AD209)/1000</f>
        <v>26335</v>
      </c>
      <c r="J200" s="124">
        <v>0</v>
      </c>
      <c r="K200" s="124">
        <v>0</v>
      </c>
      <c r="L200" s="124">
        <f>AD203/1000</f>
        <v>10000</v>
      </c>
      <c r="M200" s="124">
        <f>E200-D200</f>
        <v>5035</v>
      </c>
      <c r="N200" s="132">
        <f>IF(D200=0,0,M200/D200)</f>
        <v>0.16086261980830671</v>
      </c>
      <c r="O200" s="106" t="s">
        <v>49</v>
      </c>
      <c r="P200" s="102"/>
      <c r="Q200" s="102"/>
      <c r="R200" s="102"/>
      <c r="S200" s="102"/>
      <c r="T200" s="96"/>
      <c r="U200" s="96"/>
      <c r="V200" s="96"/>
      <c r="W200" s="96"/>
      <c r="X200" s="96"/>
      <c r="Y200" s="191" t="s">
        <v>164</v>
      </c>
      <c r="Z200" s="191"/>
      <c r="AA200" s="191"/>
      <c r="AB200" s="191"/>
      <c r="AC200" s="193"/>
      <c r="AD200" s="193">
        <f>SUM(AD201:AD209)</f>
        <v>36335000</v>
      </c>
      <c r="AE200" s="192" t="s">
        <v>25</v>
      </c>
      <c r="AF200" s="1"/>
    </row>
    <row r="201" spans="1:32" s="11" customFormat="1" ht="21" customHeight="1">
      <c r="A201" s="46"/>
      <c r="B201" s="47"/>
      <c r="C201" s="47"/>
      <c r="D201" s="120"/>
      <c r="E201" s="119"/>
      <c r="F201" s="119"/>
      <c r="G201" s="119"/>
      <c r="H201" s="119"/>
      <c r="I201" s="119"/>
      <c r="J201" s="119"/>
      <c r="K201" s="119"/>
      <c r="L201" s="119"/>
      <c r="M201" s="119"/>
      <c r="N201" s="71"/>
      <c r="O201" s="637" t="s">
        <v>732</v>
      </c>
      <c r="P201" s="637"/>
      <c r="Q201" s="637"/>
      <c r="R201" s="675"/>
      <c r="S201" s="675"/>
      <c r="T201" s="676"/>
      <c r="U201" s="676"/>
      <c r="V201" s="676"/>
      <c r="W201" s="676"/>
      <c r="X201" s="676"/>
      <c r="Y201" s="676"/>
      <c r="Z201" s="676"/>
      <c r="AA201" s="676"/>
      <c r="AB201" s="636" t="s">
        <v>180</v>
      </c>
      <c r="AC201" s="677"/>
      <c r="AD201" s="149">
        <v>300000</v>
      </c>
      <c r="AE201" s="150" t="s">
        <v>25</v>
      </c>
      <c r="AF201" s="2"/>
    </row>
    <row r="202" spans="1:32" s="11" customFormat="1" ht="21" customHeight="1">
      <c r="A202" s="46"/>
      <c r="B202" s="47"/>
      <c r="C202" s="47"/>
      <c r="D202" s="120"/>
      <c r="E202" s="119"/>
      <c r="F202" s="119"/>
      <c r="G202" s="119"/>
      <c r="H202" s="119"/>
      <c r="I202" s="119"/>
      <c r="J202" s="119"/>
      <c r="K202" s="119"/>
      <c r="L202" s="119"/>
      <c r="M202" s="119"/>
      <c r="N202" s="71"/>
      <c r="O202" s="637" t="s">
        <v>190</v>
      </c>
      <c r="P202" s="637"/>
      <c r="Q202" s="637"/>
      <c r="R202" s="637"/>
      <c r="S202" s="636">
        <v>1000000</v>
      </c>
      <c r="T202" s="463" t="s">
        <v>57</v>
      </c>
      <c r="U202" s="463" t="s">
        <v>26</v>
      </c>
      <c r="V202" s="636">
        <v>3</v>
      </c>
      <c r="W202" s="637" t="s">
        <v>189</v>
      </c>
      <c r="X202" s="636" t="s">
        <v>27</v>
      </c>
      <c r="Y202" s="636"/>
      <c r="Z202" s="636"/>
      <c r="AA202" s="636"/>
      <c r="AB202" s="636" t="s">
        <v>180</v>
      </c>
      <c r="AC202" s="636"/>
      <c r="AD202" s="636">
        <f>S202*V202</f>
        <v>3000000</v>
      </c>
      <c r="AE202" s="150" t="s">
        <v>25</v>
      </c>
      <c r="AF202" s="2"/>
    </row>
    <row r="203" spans="1:32" s="11" customFormat="1" ht="21" customHeight="1">
      <c r="A203" s="46"/>
      <c r="B203" s="47"/>
      <c r="C203" s="47"/>
      <c r="D203" s="120"/>
      <c r="E203" s="119"/>
      <c r="F203" s="119"/>
      <c r="G203" s="119"/>
      <c r="H203" s="119"/>
      <c r="I203" s="119"/>
      <c r="J203" s="119"/>
      <c r="K203" s="119"/>
      <c r="L203" s="119"/>
      <c r="M203" s="119"/>
      <c r="N203" s="71"/>
      <c r="O203" s="637" t="s">
        <v>783</v>
      </c>
      <c r="P203" s="637"/>
      <c r="Q203" s="675"/>
      <c r="R203" s="675"/>
      <c r="S203" s="636"/>
      <c r="T203" s="463"/>
      <c r="U203" s="463"/>
      <c r="V203" s="636"/>
      <c r="W203" s="637"/>
      <c r="X203" s="636"/>
      <c r="Y203" s="636"/>
      <c r="Z203" s="636"/>
      <c r="AA203" s="676"/>
      <c r="AB203" s="636" t="s">
        <v>106</v>
      </c>
      <c r="AC203" s="677"/>
      <c r="AD203" s="149">
        <v>10000000</v>
      </c>
      <c r="AE203" s="150" t="s">
        <v>25</v>
      </c>
      <c r="AF203" s="2"/>
    </row>
    <row r="204" spans="1:32" s="11" customFormat="1" ht="21" customHeight="1">
      <c r="A204" s="46"/>
      <c r="B204" s="47"/>
      <c r="C204" s="47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71"/>
      <c r="O204" s="637"/>
      <c r="P204" s="637"/>
      <c r="Q204" s="675"/>
      <c r="R204" s="675"/>
      <c r="S204" s="636"/>
      <c r="T204" s="463"/>
      <c r="U204" s="463"/>
      <c r="V204" s="636"/>
      <c r="W204" s="637"/>
      <c r="X204" s="636"/>
      <c r="Y204" s="636"/>
      <c r="Z204" s="636"/>
      <c r="AA204" s="676"/>
      <c r="AB204" s="636" t="s">
        <v>180</v>
      </c>
      <c r="AC204" s="677"/>
      <c r="AD204" s="149">
        <v>8200000</v>
      </c>
      <c r="AE204" s="150" t="s">
        <v>57</v>
      </c>
      <c r="AF204" s="2"/>
    </row>
    <row r="205" spans="1:32" s="11" customFormat="1" ht="21" customHeight="1">
      <c r="A205" s="46"/>
      <c r="B205" s="47"/>
      <c r="C205" s="47"/>
      <c r="D205" s="120"/>
      <c r="E205" s="119"/>
      <c r="F205" s="119"/>
      <c r="G205" s="119"/>
      <c r="H205" s="119"/>
      <c r="I205" s="119"/>
      <c r="J205" s="119"/>
      <c r="K205" s="119"/>
      <c r="L205" s="119"/>
      <c r="M205" s="119"/>
      <c r="N205" s="71"/>
      <c r="O205" s="637"/>
      <c r="P205" s="637"/>
      <c r="Q205" s="675"/>
      <c r="R205" s="675"/>
      <c r="S205" s="636"/>
      <c r="T205" s="463"/>
      <c r="U205" s="463"/>
      <c r="V205" s="636" t="s">
        <v>557</v>
      </c>
      <c r="W205" s="678"/>
      <c r="X205" s="678"/>
      <c r="Y205" s="636"/>
      <c r="Z205" s="636"/>
      <c r="AA205" s="676"/>
      <c r="AB205" s="636" t="s">
        <v>407</v>
      </c>
      <c r="AC205" s="677"/>
      <c r="AD205" s="149">
        <v>5000000</v>
      </c>
      <c r="AE205" s="150" t="s">
        <v>57</v>
      </c>
      <c r="AF205" s="2"/>
    </row>
    <row r="206" spans="1:32" s="11" customFormat="1" ht="21" customHeight="1">
      <c r="A206" s="46"/>
      <c r="B206" s="47"/>
      <c r="C206" s="47"/>
      <c r="D206" s="120"/>
      <c r="E206" s="119"/>
      <c r="F206" s="119"/>
      <c r="G206" s="119"/>
      <c r="H206" s="119"/>
      <c r="I206" s="119"/>
      <c r="J206" s="119"/>
      <c r="K206" s="119"/>
      <c r="L206" s="119"/>
      <c r="M206" s="119"/>
      <c r="N206" s="71"/>
      <c r="O206" s="698" t="s">
        <v>987</v>
      </c>
      <c r="P206" s="698"/>
      <c r="Q206" s="675"/>
      <c r="R206" s="675"/>
      <c r="S206" s="697"/>
      <c r="T206" s="463"/>
      <c r="U206" s="463"/>
      <c r="V206" s="697" t="s">
        <v>557</v>
      </c>
      <c r="W206" s="678"/>
      <c r="X206" s="678"/>
      <c r="Y206" s="697"/>
      <c r="Z206" s="697"/>
      <c r="AA206" s="676"/>
      <c r="AB206" s="697" t="s">
        <v>980</v>
      </c>
      <c r="AC206" s="677"/>
      <c r="AD206" s="149">
        <v>6000000</v>
      </c>
      <c r="AE206" s="150" t="s">
        <v>981</v>
      </c>
      <c r="AF206" s="2"/>
    </row>
    <row r="207" spans="1:32" s="11" customFormat="1" ht="21" customHeight="1">
      <c r="A207" s="46"/>
      <c r="B207" s="47"/>
      <c r="C207" s="47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71"/>
      <c r="O207" s="698"/>
      <c r="P207" s="698"/>
      <c r="Q207" s="675"/>
      <c r="R207" s="675"/>
      <c r="S207" s="697"/>
      <c r="T207" s="463"/>
      <c r="U207" s="463"/>
      <c r="V207" s="697"/>
      <c r="W207" s="678"/>
      <c r="X207" s="678"/>
      <c r="Y207" s="697"/>
      <c r="Z207" s="697"/>
      <c r="AA207" s="676"/>
      <c r="AB207" s="697" t="s">
        <v>180</v>
      </c>
      <c r="AC207" s="677"/>
      <c r="AD207" s="149">
        <v>1035000</v>
      </c>
      <c r="AE207" s="150" t="s">
        <v>981</v>
      </c>
      <c r="AF207" s="2"/>
    </row>
    <row r="208" spans="1:32" s="11" customFormat="1" ht="21" customHeight="1">
      <c r="A208" s="46"/>
      <c r="B208" s="47"/>
      <c r="C208" s="47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71"/>
      <c r="O208" s="698" t="s">
        <v>988</v>
      </c>
      <c r="P208" s="637"/>
      <c r="Q208" s="675"/>
      <c r="R208" s="675"/>
      <c r="S208" s="636">
        <v>500000</v>
      </c>
      <c r="T208" s="463" t="s">
        <v>57</v>
      </c>
      <c r="U208" s="463" t="s">
        <v>26</v>
      </c>
      <c r="V208" s="636">
        <v>3</v>
      </c>
      <c r="W208" s="637" t="s">
        <v>189</v>
      </c>
      <c r="X208" s="636" t="s">
        <v>27</v>
      </c>
      <c r="Y208" s="636"/>
      <c r="Z208" s="636"/>
      <c r="AA208" s="636"/>
      <c r="AB208" s="636" t="s">
        <v>180</v>
      </c>
      <c r="AC208" s="636"/>
      <c r="AD208" s="636">
        <f>S208*V208</f>
        <v>1500000</v>
      </c>
      <c r="AE208" s="150" t="s">
        <v>25</v>
      </c>
      <c r="AF208" s="2"/>
    </row>
    <row r="209" spans="1:32" s="11" customFormat="1" ht="21" customHeight="1">
      <c r="A209" s="46"/>
      <c r="B209" s="47"/>
      <c r="C209" s="47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71"/>
      <c r="O209" s="698" t="s">
        <v>989</v>
      </c>
      <c r="P209" s="637"/>
      <c r="Q209" s="675"/>
      <c r="R209" s="675"/>
      <c r="S209" s="675"/>
      <c r="T209" s="676"/>
      <c r="U209" s="676"/>
      <c r="V209" s="676"/>
      <c r="W209" s="676"/>
      <c r="X209" s="676"/>
      <c r="Y209" s="676"/>
      <c r="Z209" s="676"/>
      <c r="AA209" s="676"/>
      <c r="AB209" s="636" t="s">
        <v>180</v>
      </c>
      <c r="AC209" s="677"/>
      <c r="AD209" s="149">
        <v>1300000</v>
      </c>
      <c r="AE209" s="150" t="s">
        <v>57</v>
      </c>
      <c r="AF209" s="2"/>
    </row>
    <row r="210" spans="1:32" s="11" customFormat="1" ht="21" customHeight="1">
      <c r="A210" s="46"/>
      <c r="B210" s="47"/>
      <c r="C210" s="47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71"/>
      <c r="O210" s="170"/>
      <c r="P210" s="51"/>
      <c r="Q210" s="51"/>
      <c r="R210" s="51"/>
      <c r="S210" s="52"/>
      <c r="T210" s="128"/>
      <c r="U210" s="56"/>
      <c r="V210" s="69"/>
      <c r="W210" s="69"/>
      <c r="X210" s="52"/>
      <c r="Y210" s="52"/>
      <c r="Z210" s="52"/>
      <c r="AA210" s="52"/>
      <c r="AB210" s="52"/>
      <c r="AC210" s="52"/>
      <c r="AD210" s="52"/>
      <c r="AE210" s="58"/>
      <c r="AF210" s="2"/>
    </row>
    <row r="211" spans="1:32" s="11" customFormat="1" ht="21" customHeight="1">
      <c r="A211" s="46"/>
      <c r="B211" s="47"/>
      <c r="C211" s="37" t="s">
        <v>50</v>
      </c>
      <c r="D211" s="175">
        <v>13989</v>
      </c>
      <c r="E211" s="124">
        <f>ROUND(AD211/1000,0)</f>
        <v>19966</v>
      </c>
      <c r="F211" s="124">
        <f>SUM(AD212:AD213,AD216)/1000</f>
        <v>6312</v>
      </c>
      <c r="G211" s="124">
        <v>5000</v>
      </c>
      <c r="H211" s="124">
        <v>0</v>
      </c>
      <c r="I211" s="124">
        <f>SUM(AD215,AD217,AD219,AD222)/1000</f>
        <v>5077</v>
      </c>
      <c r="J211" s="124">
        <f>SUM(AD220:AD221)/1000</f>
        <v>3577</v>
      </c>
      <c r="K211" s="124">
        <v>0</v>
      </c>
      <c r="L211" s="124">
        <v>0</v>
      </c>
      <c r="M211" s="124">
        <f>E211-D211</f>
        <v>5977</v>
      </c>
      <c r="N211" s="132">
        <f>IF(D211=0,0,M211/D211)</f>
        <v>0.42726427907641717</v>
      </c>
      <c r="O211" s="106" t="s">
        <v>51</v>
      </c>
      <c r="P211" s="102"/>
      <c r="Q211" s="102"/>
      <c r="R211" s="102"/>
      <c r="S211" s="102"/>
      <c r="T211" s="96"/>
      <c r="U211" s="96"/>
      <c r="V211" s="96"/>
      <c r="W211" s="96"/>
      <c r="X211" s="96"/>
      <c r="Y211" s="191" t="s">
        <v>164</v>
      </c>
      <c r="Z211" s="191"/>
      <c r="AA211" s="191"/>
      <c r="AB211" s="191"/>
      <c r="AC211" s="193"/>
      <c r="AD211" s="193">
        <f>SUM(AD212:AD222)</f>
        <v>19966000</v>
      </c>
      <c r="AE211" s="192" t="s">
        <v>25</v>
      </c>
      <c r="AF211" s="1"/>
    </row>
    <row r="212" spans="1:32" s="1" customFormat="1" ht="21" customHeight="1">
      <c r="A212" s="46"/>
      <c r="B212" s="47"/>
      <c r="C212" s="47" t="s">
        <v>183</v>
      </c>
      <c r="D212" s="173"/>
      <c r="E212" s="119"/>
      <c r="F212" s="119"/>
      <c r="G212" s="119"/>
      <c r="H212" s="119"/>
      <c r="I212" s="119"/>
      <c r="J212" s="119"/>
      <c r="K212" s="119"/>
      <c r="L212" s="119"/>
      <c r="M212" s="119"/>
      <c r="N212" s="71"/>
      <c r="O212" s="637" t="s">
        <v>864</v>
      </c>
      <c r="P212" s="637"/>
      <c r="Q212" s="637"/>
      <c r="R212" s="637"/>
      <c r="S212" s="636">
        <v>176000</v>
      </c>
      <c r="T212" s="463" t="s">
        <v>821</v>
      </c>
      <c r="U212" s="463" t="s">
        <v>26</v>
      </c>
      <c r="V212" s="636">
        <v>12</v>
      </c>
      <c r="W212" s="637" t="s">
        <v>825</v>
      </c>
      <c r="X212" s="636" t="s">
        <v>27</v>
      </c>
      <c r="Y212" s="636"/>
      <c r="Z212" s="636"/>
      <c r="AA212" s="636"/>
      <c r="AB212" s="636" t="s">
        <v>832</v>
      </c>
      <c r="AC212" s="636"/>
      <c r="AD212" s="636">
        <f>S212*V212</f>
        <v>2112000</v>
      </c>
      <c r="AE212" s="150" t="s">
        <v>25</v>
      </c>
      <c r="AF212" s="2"/>
    </row>
    <row r="213" spans="1:32" s="1" customFormat="1" ht="21" customHeight="1">
      <c r="A213" s="46"/>
      <c r="B213" s="47"/>
      <c r="C213" s="47"/>
      <c r="D213" s="173"/>
      <c r="E213" s="119"/>
      <c r="F213" s="119"/>
      <c r="G213" s="119"/>
      <c r="H213" s="119"/>
      <c r="I213" s="119"/>
      <c r="J213" s="119"/>
      <c r="K213" s="119"/>
      <c r="L213" s="119"/>
      <c r="M213" s="119"/>
      <c r="N213" s="71"/>
      <c r="O213" s="637" t="s">
        <v>865</v>
      </c>
      <c r="P213" s="637"/>
      <c r="Q213" s="637"/>
      <c r="R213" s="637"/>
      <c r="S213" s="636">
        <v>100000</v>
      </c>
      <c r="T213" s="463" t="s">
        <v>821</v>
      </c>
      <c r="U213" s="463" t="s">
        <v>26</v>
      </c>
      <c r="V213" s="636">
        <v>12</v>
      </c>
      <c r="W213" s="637" t="s">
        <v>825</v>
      </c>
      <c r="X213" s="636" t="s">
        <v>27</v>
      </c>
      <c r="Y213" s="636"/>
      <c r="Z213" s="636"/>
      <c r="AA213" s="636"/>
      <c r="AB213" s="636" t="s">
        <v>832</v>
      </c>
      <c r="AC213" s="636"/>
      <c r="AD213" s="636">
        <f>S213*V213</f>
        <v>1200000</v>
      </c>
      <c r="AE213" s="150" t="s">
        <v>25</v>
      </c>
      <c r="AF213" s="2"/>
    </row>
    <row r="214" spans="1:32" s="1" customFormat="1" ht="21" customHeight="1">
      <c r="A214" s="46"/>
      <c r="B214" s="47"/>
      <c r="C214" s="47"/>
      <c r="D214" s="173"/>
      <c r="E214" s="119"/>
      <c r="F214" s="119"/>
      <c r="G214" s="119"/>
      <c r="H214" s="119"/>
      <c r="I214" s="119"/>
      <c r="J214" s="119"/>
      <c r="K214" s="119"/>
      <c r="L214" s="119"/>
      <c r="M214" s="119"/>
      <c r="N214" s="71"/>
      <c r="O214" s="637" t="s">
        <v>866</v>
      </c>
      <c r="P214" s="637"/>
      <c r="Q214" s="637"/>
      <c r="R214" s="637"/>
      <c r="S214" s="636"/>
      <c r="T214" s="463"/>
      <c r="U214" s="463"/>
      <c r="V214" s="636"/>
      <c r="W214" s="637"/>
      <c r="X214" s="636"/>
      <c r="Y214" s="636"/>
      <c r="Z214" s="636"/>
      <c r="AA214" s="636"/>
      <c r="AB214" s="636" t="s">
        <v>832</v>
      </c>
      <c r="AC214" s="636"/>
      <c r="AD214" s="636">
        <v>5000000</v>
      </c>
      <c r="AE214" s="150" t="s">
        <v>821</v>
      </c>
      <c r="AF214" s="2"/>
    </row>
    <row r="215" spans="1:32" s="1" customFormat="1" ht="21" customHeight="1">
      <c r="A215" s="46"/>
      <c r="B215" s="47"/>
      <c r="C215" s="47"/>
      <c r="D215" s="173"/>
      <c r="E215" s="119"/>
      <c r="F215" s="119"/>
      <c r="G215" s="119"/>
      <c r="H215" s="119"/>
      <c r="I215" s="119"/>
      <c r="J215" s="119"/>
      <c r="K215" s="119"/>
      <c r="L215" s="119"/>
      <c r="M215" s="119"/>
      <c r="N215" s="71"/>
      <c r="O215" s="637" t="s">
        <v>867</v>
      </c>
      <c r="P215" s="637"/>
      <c r="Q215" s="637"/>
      <c r="R215" s="637"/>
      <c r="S215" s="636"/>
      <c r="T215" s="463"/>
      <c r="U215" s="463"/>
      <c r="V215" s="636"/>
      <c r="W215" s="637"/>
      <c r="X215" s="636"/>
      <c r="Y215" s="636"/>
      <c r="Z215" s="636"/>
      <c r="AA215" s="636"/>
      <c r="AB215" s="636" t="s">
        <v>807</v>
      </c>
      <c r="AC215" s="636"/>
      <c r="AD215" s="636">
        <v>300000</v>
      </c>
      <c r="AE215" s="150" t="s">
        <v>794</v>
      </c>
      <c r="AF215" s="2"/>
    </row>
    <row r="216" spans="1:32" s="1" customFormat="1" ht="21" customHeight="1">
      <c r="A216" s="46"/>
      <c r="B216" s="47"/>
      <c r="C216" s="47"/>
      <c r="D216" s="173"/>
      <c r="E216" s="119"/>
      <c r="F216" s="119"/>
      <c r="G216" s="119"/>
      <c r="H216" s="119"/>
      <c r="I216" s="119"/>
      <c r="J216" s="119"/>
      <c r="K216" s="119"/>
      <c r="L216" s="119"/>
      <c r="M216" s="119"/>
      <c r="N216" s="71"/>
      <c r="O216" s="637" t="s">
        <v>868</v>
      </c>
      <c r="P216" s="637"/>
      <c r="Q216" s="637"/>
      <c r="R216" s="637"/>
      <c r="S216" s="636"/>
      <c r="T216" s="463"/>
      <c r="U216" s="463"/>
      <c r="V216" s="636"/>
      <c r="W216" s="637"/>
      <c r="X216" s="636"/>
      <c r="Y216" s="636"/>
      <c r="Z216" s="636"/>
      <c r="AA216" s="636"/>
      <c r="AB216" s="636" t="s">
        <v>809</v>
      </c>
      <c r="AC216" s="636"/>
      <c r="AD216" s="636">
        <v>3000000</v>
      </c>
      <c r="AE216" s="150" t="s">
        <v>794</v>
      </c>
      <c r="AF216" s="2"/>
    </row>
    <row r="217" spans="1:32" s="1" customFormat="1" ht="21" customHeight="1">
      <c r="A217" s="46"/>
      <c r="B217" s="47"/>
      <c r="C217" s="47"/>
      <c r="D217" s="173"/>
      <c r="E217" s="119"/>
      <c r="F217" s="119"/>
      <c r="G217" s="119"/>
      <c r="H217" s="119"/>
      <c r="I217" s="119"/>
      <c r="J217" s="119"/>
      <c r="K217" s="119"/>
      <c r="L217" s="119"/>
      <c r="M217" s="119"/>
      <c r="N217" s="71"/>
      <c r="O217" s="637"/>
      <c r="P217" s="637"/>
      <c r="Q217" s="637"/>
      <c r="R217" s="637"/>
      <c r="S217" s="636"/>
      <c r="T217" s="463"/>
      <c r="U217" s="463"/>
      <c r="V217" s="636"/>
      <c r="W217" s="637"/>
      <c r="X217" s="636"/>
      <c r="Y217" s="636"/>
      <c r="Z217" s="636"/>
      <c r="AA217" s="636"/>
      <c r="AB217" s="636" t="s">
        <v>807</v>
      </c>
      <c r="AC217" s="636"/>
      <c r="AD217" s="636">
        <v>100000</v>
      </c>
      <c r="AE217" s="150" t="s">
        <v>794</v>
      </c>
      <c r="AF217" s="2"/>
    </row>
    <row r="218" spans="1:32" s="1" customFormat="1" ht="21" customHeight="1">
      <c r="A218" s="46"/>
      <c r="B218" s="47"/>
      <c r="C218" s="47"/>
      <c r="D218" s="173"/>
      <c r="E218" s="119"/>
      <c r="F218" s="119"/>
      <c r="G218" s="119"/>
      <c r="H218" s="119"/>
      <c r="I218" s="119"/>
      <c r="J218" s="119"/>
      <c r="K218" s="119"/>
      <c r="L218" s="119"/>
      <c r="M218" s="119"/>
      <c r="N218" s="71"/>
      <c r="O218" s="698" t="s">
        <v>983</v>
      </c>
      <c r="P218" s="698"/>
      <c r="Q218" s="698"/>
      <c r="R218" s="698"/>
      <c r="S218" s="697"/>
      <c r="T218" s="463"/>
      <c r="U218" s="463"/>
      <c r="V218" s="697"/>
      <c r="W218" s="698"/>
      <c r="X218" s="697"/>
      <c r="Y218" s="697"/>
      <c r="Z218" s="697"/>
      <c r="AA218" s="697"/>
      <c r="AB218" s="697"/>
      <c r="AC218" s="697"/>
      <c r="AD218" s="697"/>
      <c r="AE218" s="150"/>
      <c r="AF218" s="2"/>
    </row>
    <row r="219" spans="1:32" s="1" customFormat="1" ht="21" customHeight="1">
      <c r="A219" s="46"/>
      <c r="B219" s="47"/>
      <c r="C219" s="47"/>
      <c r="D219" s="173"/>
      <c r="E219" s="119"/>
      <c r="F219" s="119"/>
      <c r="G219" s="119"/>
      <c r="H219" s="119"/>
      <c r="I219" s="119"/>
      <c r="J219" s="119"/>
      <c r="K219" s="119"/>
      <c r="L219" s="119"/>
      <c r="M219" s="119"/>
      <c r="N219" s="71"/>
      <c r="O219" s="698" t="s">
        <v>984</v>
      </c>
      <c r="P219" s="698"/>
      <c r="Q219" s="698"/>
      <c r="R219" s="698"/>
      <c r="S219" s="697"/>
      <c r="T219" s="463"/>
      <c r="U219" s="463"/>
      <c r="V219" s="697" t="s">
        <v>557</v>
      </c>
      <c r="W219" s="698"/>
      <c r="X219" s="697"/>
      <c r="Y219" s="697"/>
      <c r="Z219" s="697"/>
      <c r="AA219" s="697"/>
      <c r="AB219" s="697" t="s">
        <v>980</v>
      </c>
      <c r="AC219" s="697"/>
      <c r="AD219" s="697">
        <v>2000000</v>
      </c>
      <c r="AE219" s="150" t="s">
        <v>981</v>
      </c>
      <c r="AF219" s="2"/>
    </row>
    <row r="220" spans="1:32" s="1" customFormat="1" ht="21" customHeight="1">
      <c r="A220" s="46"/>
      <c r="B220" s="47"/>
      <c r="C220" s="47"/>
      <c r="D220" s="173"/>
      <c r="E220" s="119"/>
      <c r="F220" s="119"/>
      <c r="G220" s="119"/>
      <c r="H220" s="119"/>
      <c r="I220" s="119"/>
      <c r="J220" s="119"/>
      <c r="K220" s="119"/>
      <c r="L220" s="119"/>
      <c r="M220" s="119"/>
      <c r="N220" s="71"/>
      <c r="O220" s="698"/>
      <c r="P220" s="698"/>
      <c r="Q220" s="698"/>
      <c r="R220" s="698"/>
      <c r="S220" s="697"/>
      <c r="T220" s="463"/>
      <c r="U220" s="463"/>
      <c r="V220" s="697"/>
      <c r="W220" s="698"/>
      <c r="X220" s="697"/>
      <c r="Y220" s="697"/>
      <c r="Z220" s="697"/>
      <c r="AA220" s="697"/>
      <c r="AB220" s="697" t="s">
        <v>982</v>
      </c>
      <c r="AC220" s="697"/>
      <c r="AD220" s="697">
        <v>1190000</v>
      </c>
      <c r="AE220" s="150" t="s">
        <v>981</v>
      </c>
      <c r="AF220" s="2"/>
    </row>
    <row r="221" spans="1:32" s="1" customFormat="1" ht="21" customHeight="1">
      <c r="A221" s="46"/>
      <c r="B221" s="47"/>
      <c r="C221" s="47"/>
      <c r="D221" s="173"/>
      <c r="E221" s="119"/>
      <c r="F221" s="119"/>
      <c r="G221" s="119"/>
      <c r="H221" s="119"/>
      <c r="I221" s="119"/>
      <c r="J221" s="119"/>
      <c r="K221" s="119"/>
      <c r="L221" s="119"/>
      <c r="M221" s="119"/>
      <c r="N221" s="71"/>
      <c r="O221" s="698" t="s">
        <v>985</v>
      </c>
      <c r="P221" s="698"/>
      <c r="Q221" s="698"/>
      <c r="R221" s="698"/>
      <c r="S221" s="697"/>
      <c r="T221" s="463"/>
      <c r="U221" s="463"/>
      <c r="V221" s="697"/>
      <c r="W221" s="698"/>
      <c r="X221" s="697"/>
      <c r="Y221" s="697"/>
      <c r="Z221" s="697"/>
      <c r="AA221" s="697"/>
      <c r="AB221" s="697" t="s">
        <v>982</v>
      </c>
      <c r="AC221" s="697"/>
      <c r="AD221" s="697">
        <v>2387000</v>
      </c>
      <c r="AE221" s="150" t="s">
        <v>981</v>
      </c>
      <c r="AF221" s="2"/>
    </row>
    <row r="222" spans="1:32" s="1" customFormat="1" ht="21" customHeight="1">
      <c r="A222" s="46"/>
      <c r="B222" s="47"/>
      <c r="C222" s="47"/>
      <c r="D222" s="173"/>
      <c r="E222" s="119"/>
      <c r="F222" s="119"/>
      <c r="G222" s="119"/>
      <c r="H222" s="119"/>
      <c r="I222" s="119"/>
      <c r="J222" s="119"/>
      <c r="K222" s="119"/>
      <c r="L222" s="119"/>
      <c r="M222" s="119"/>
      <c r="N222" s="71"/>
      <c r="O222" s="698" t="s">
        <v>986</v>
      </c>
      <c r="P222" s="637"/>
      <c r="Q222" s="637"/>
      <c r="R222" s="637"/>
      <c r="S222" s="636"/>
      <c r="T222" s="463"/>
      <c r="U222" s="463"/>
      <c r="V222" s="636"/>
      <c r="W222" s="637"/>
      <c r="X222" s="636"/>
      <c r="Y222" s="636"/>
      <c r="Z222" s="636"/>
      <c r="AA222" s="636"/>
      <c r="AB222" s="636" t="s">
        <v>807</v>
      </c>
      <c r="AC222" s="636"/>
      <c r="AD222" s="636">
        <v>2677000</v>
      </c>
      <c r="AE222" s="150" t="s">
        <v>794</v>
      </c>
      <c r="AF222" s="2"/>
    </row>
    <row r="223" spans="1:32" s="1" customFormat="1" ht="21" customHeight="1">
      <c r="A223" s="46"/>
      <c r="B223" s="47"/>
      <c r="C223" s="47"/>
      <c r="D223" s="173"/>
      <c r="E223" s="119"/>
      <c r="F223" s="119"/>
      <c r="G223" s="119"/>
      <c r="H223" s="119"/>
      <c r="I223" s="119"/>
      <c r="J223" s="119"/>
      <c r="K223" s="119"/>
      <c r="L223" s="119"/>
      <c r="M223" s="119"/>
      <c r="N223" s="71"/>
      <c r="O223" s="170"/>
      <c r="P223" s="51"/>
      <c r="Q223" s="51"/>
      <c r="R223" s="51"/>
      <c r="S223" s="52"/>
      <c r="T223" s="56"/>
      <c r="U223" s="56"/>
      <c r="V223" s="52"/>
      <c r="W223" s="51"/>
      <c r="X223" s="52"/>
      <c r="Y223" s="52"/>
      <c r="Z223" s="52"/>
      <c r="AA223" s="52"/>
      <c r="AB223" s="138"/>
      <c r="AC223" s="52"/>
      <c r="AD223" s="52"/>
      <c r="AE223" s="58"/>
      <c r="AF223" s="2"/>
    </row>
    <row r="224" spans="1:32" s="11" customFormat="1" ht="21" customHeight="1">
      <c r="A224" s="214" t="s">
        <v>19</v>
      </c>
      <c r="B224" s="789" t="s">
        <v>20</v>
      </c>
      <c r="C224" s="790"/>
      <c r="D224" s="215">
        <f t="shared" ref="D224:L224" si="9">SUM(D225,D271)</f>
        <v>287405</v>
      </c>
      <c r="E224" s="215">
        <f t="shared" si="9"/>
        <v>340066.4</v>
      </c>
      <c r="F224" s="215">
        <f t="shared" si="9"/>
        <v>95005</v>
      </c>
      <c r="G224" s="215">
        <f t="shared" si="9"/>
        <v>22240</v>
      </c>
      <c r="H224" s="215">
        <f t="shared" si="9"/>
        <v>22167</v>
      </c>
      <c r="I224" s="215">
        <f t="shared" si="9"/>
        <v>58830.400000000001</v>
      </c>
      <c r="J224" s="215">
        <f t="shared" si="9"/>
        <v>97904</v>
      </c>
      <c r="K224" s="215">
        <f t="shared" si="9"/>
        <v>15000</v>
      </c>
      <c r="L224" s="215">
        <f t="shared" si="9"/>
        <v>28920</v>
      </c>
      <c r="M224" s="215">
        <f>SUM(M225,M241,M250,M255,M264)</f>
        <v>50715</v>
      </c>
      <c r="N224" s="216">
        <f>IF(D224=0,0,M224/D224)</f>
        <v>0.17645830796263112</v>
      </c>
      <c r="O224" s="208" t="s">
        <v>172</v>
      </c>
      <c r="P224" s="102"/>
      <c r="Q224" s="102"/>
      <c r="R224" s="102"/>
      <c r="S224" s="102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>
        <f>SUM(AD225,AD271)</f>
        <v>340066400</v>
      </c>
      <c r="AE224" s="104" t="s">
        <v>25</v>
      </c>
      <c r="AF224" s="13"/>
    </row>
    <row r="225" spans="1:32" s="11" customFormat="1" ht="21" customHeight="1">
      <c r="A225" s="47"/>
      <c r="B225" s="37" t="s">
        <v>97</v>
      </c>
      <c r="C225" s="37" t="s">
        <v>173</v>
      </c>
      <c r="D225" s="124">
        <f t="shared" ref="D225:L225" si="10">SUM(D226,D241,D250,D255,D264)</f>
        <v>191008</v>
      </c>
      <c r="E225" s="124">
        <f t="shared" si="10"/>
        <v>224899</v>
      </c>
      <c r="F225" s="124">
        <f t="shared" si="10"/>
        <v>95005</v>
      </c>
      <c r="G225" s="124">
        <f t="shared" si="10"/>
        <v>12600</v>
      </c>
      <c r="H225" s="124">
        <f t="shared" si="10"/>
        <v>22167</v>
      </c>
      <c r="I225" s="124">
        <f t="shared" si="10"/>
        <v>22020</v>
      </c>
      <c r="J225" s="124">
        <f t="shared" si="10"/>
        <v>44307</v>
      </c>
      <c r="K225" s="124">
        <f t="shared" si="10"/>
        <v>0</v>
      </c>
      <c r="L225" s="124">
        <f t="shared" si="10"/>
        <v>28800</v>
      </c>
      <c r="M225" s="124">
        <f>E225-D225</f>
        <v>33891</v>
      </c>
      <c r="N225" s="132">
        <f>IF(D225=0,0,M225/D225)</f>
        <v>0.1774323588540794</v>
      </c>
      <c r="O225" s="102"/>
      <c r="P225" s="102"/>
      <c r="Q225" s="102"/>
      <c r="R225" s="102"/>
      <c r="S225" s="102"/>
      <c r="T225" s="96"/>
      <c r="U225" s="96"/>
      <c r="V225" s="96"/>
      <c r="W225" s="96"/>
      <c r="X225" s="96"/>
      <c r="Y225" s="96" t="s">
        <v>28</v>
      </c>
      <c r="Z225" s="96"/>
      <c r="AA225" s="96"/>
      <c r="AB225" s="96"/>
      <c r="AC225" s="103"/>
      <c r="AD225" s="103">
        <f>SUM(AD226,AD241,AD250,AD255,AD264)</f>
        <v>224899000</v>
      </c>
      <c r="AE225" s="104" t="s">
        <v>25</v>
      </c>
      <c r="AF225" s="1"/>
    </row>
    <row r="226" spans="1:32" s="11" customFormat="1" ht="21" customHeight="1">
      <c r="A226" s="47"/>
      <c r="B226" s="47"/>
      <c r="C226" s="37" t="s">
        <v>59</v>
      </c>
      <c r="D226" s="175">
        <v>135485</v>
      </c>
      <c r="E226" s="124">
        <f>ROUND(AD226/1000,0)</f>
        <v>152552</v>
      </c>
      <c r="F226" s="124">
        <f>SUM(AD227,AD233,AD234)/1000</f>
        <v>71673</v>
      </c>
      <c r="G226" s="124">
        <v>0</v>
      </c>
      <c r="H226" s="124">
        <f>SUM(AD230:AD232)/1000</f>
        <v>15687</v>
      </c>
      <c r="I226" s="124">
        <f>SUM(AD229,AD236)/1000</f>
        <v>1805</v>
      </c>
      <c r="J226" s="124">
        <f>SUM(AD228,AD235)/1000</f>
        <v>34587</v>
      </c>
      <c r="K226" s="124">
        <v>0</v>
      </c>
      <c r="L226" s="124">
        <f>SUM(AD237:AD239)/1000</f>
        <v>28800</v>
      </c>
      <c r="M226" s="124">
        <f>E226-D226</f>
        <v>17067</v>
      </c>
      <c r="N226" s="132">
        <f>IF(D226=0,0,M226/D226)</f>
        <v>0.1259696645385098</v>
      </c>
      <c r="O226" s="106" t="s">
        <v>98</v>
      </c>
      <c r="P226" s="208"/>
      <c r="Q226" s="208"/>
      <c r="R226" s="208"/>
      <c r="S226" s="208"/>
      <c r="T226" s="207"/>
      <c r="U226" s="207"/>
      <c r="V226" s="207"/>
      <c r="W226" s="207"/>
      <c r="X226" s="207"/>
      <c r="Y226" s="191" t="s">
        <v>164</v>
      </c>
      <c r="Z226" s="191"/>
      <c r="AA226" s="191"/>
      <c r="AB226" s="191"/>
      <c r="AC226" s="193"/>
      <c r="AD226" s="193">
        <f>SUM(AD227:AD239)</f>
        <v>152552000</v>
      </c>
      <c r="AE226" s="192" t="s">
        <v>25</v>
      </c>
      <c r="AF226" s="1"/>
    </row>
    <row r="227" spans="1:32" s="11" customFormat="1" ht="21" customHeight="1">
      <c r="A227" s="47"/>
      <c r="B227" s="47"/>
      <c r="C227" s="47"/>
      <c r="D227" s="120"/>
      <c r="E227" s="119"/>
      <c r="F227" s="119"/>
      <c r="G227" s="119"/>
      <c r="H227" s="119"/>
      <c r="I227" s="119"/>
      <c r="J227" s="119"/>
      <c r="K227" s="119"/>
      <c r="L227" s="119"/>
      <c r="M227" s="119"/>
      <c r="N227" s="71"/>
      <c r="O227" s="637" t="s">
        <v>869</v>
      </c>
      <c r="P227" s="637"/>
      <c r="Q227" s="636"/>
      <c r="R227" s="636"/>
      <c r="S227" s="636">
        <v>231464</v>
      </c>
      <c r="T227" s="636" t="s">
        <v>821</v>
      </c>
      <c r="U227" s="463" t="s">
        <v>823</v>
      </c>
      <c r="V227" s="636">
        <v>12</v>
      </c>
      <c r="W227" s="636" t="s">
        <v>825</v>
      </c>
      <c r="X227" s="463" t="s">
        <v>823</v>
      </c>
      <c r="Y227" s="636">
        <v>25</v>
      </c>
      <c r="Z227" s="636" t="s">
        <v>824</v>
      </c>
      <c r="AA227" s="455" t="s">
        <v>826</v>
      </c>
      <c r="AB227" s="636" t="s">
        <v>832</v>
      </c>
      <c r="AC227" s="149"/>
      <c r="AD227" s="149">
        <f>ROUNDDOWN(S227*V227*Y227,-3)</f>
        <v>69439000</v>
      </c>
      <c r="AE227" s="150" t="s">
        <v>25</v>
      </c>
      <c r="AF227" s="2"/>
    </row>
    <row r="228" spans="1:32" s="11" customFormat="1" ht="21" customHeight="1">
      <c r="A228" s="47"/>
      <c r="B228" s="47"/>
      <c r="C228" s="47"/>
      <c r="D228" s="120"/>
      <c r="E228" s="119"/>
      <c r="F228" s="119"/>
      <c r="G228" s="119"/>
      <c r="H228" s="119"/>
      <c r="I228" s="119"/>
      <c r="J228" s="119"/>
      <c r="K228" s="119"/>
      <c r="L228" s="119"/>
      <c r="M228" s="119"/>
      <c r="N228" s="71"/>
      <c r="O228" s="637" t="s">
        <v>870</v>
      </c>
      <c r="P228" s="637"/>
      <c r="Q228" s="637"/>
      <c r="R228" s="637"/>
      <c r="S228" s="636"/>
      <c r="T228" s="636"/>
      <c r="U228" s="463"/>
      <c r="V228" s="636"/>
      <c r="W228" s="636"/>
      <c r="X228" s="463"/>
      <c r="Y228" s="636"/>
      <c r="Z228" s="636"/>
      <c r="AA228" s="455"/>
      <c r="AB228" s="636" t="s">
        <v>847</v>
      </c>
      <c r="AC228" s="149"/>
      <c r="AD228" s="149">
        <v>29221000</v>
      </c>
      <c r="AE228" s="150" t="s">
        <v>25</v>
      </c>
      <c r="AF228" s="2"/>
    </row>
    <row r="229" spans="1:32" s="11" customFormat="1" ht="21" customHeight="1">
      <c r="A229" s="47"/>
      <c r="B229" s="47"/>
      <c r="C229" s="47"/>
      <c r="D229" s="120"/>
      <c r="E229" s="119"/>
      <c r="F229" s="119"/>
      <c r="G229" s="119"/>
      <c r="H229" s="119"/>
      <c r="I229" s="119"/>
      <c r="J229" s="119"/>
      <c r="K229" s="119"/>
      <c r="L229" s="119"/>
      <c r="M229" s="119"/>
      <c r="N229" s="71"/>
      <c r="O229" s="698"/>
      <c r="P229" s="698"/>
      <c r="Q229" s="698"/>
      <c r="R229" s="698"/>
      <c r="S229" s="697"/>
      <c r="T229" s="697"/>
      <c r="U229" s="463"/>
      <c r="V229" s="697"/>
      <c r="W229" s="697"/>
      <c r="X229" s="463"/>
      <c r="Y229" s="697"/>
      <c r="Z229" s="697"/>
      <c r="AA229" s="455"/>
      <c r="AB229" s="697" t="s">
        <v>991</v>
      </c>
      <c r="AC229" s="149"/>
      <c r="AD229" s="149">
        <v>1405000</v>
      </c>
      <c r="AE229" s="150" t="s">
        <v>981</v>
      </c>
      <c r="AF229" s="2"/>
    </row>
    <row r="230" spans="1:32" s="11" customFormat="1" ht="21" customHeight="1">
      <c r="A230" s="47"/>
      <c r="B230" s="47"/>
      <c r="C230" s="47"/>
      <c r="D230" s="120"/>
      <c r="E230" s="119"/>
      <c r="F230" s="119"/>
      <c r="G230" s="119"/>
      <c r="H230" s="119"/>
      <c r="I230" s="119"/>
      <c r="J230" s="119"/>
      <c r="K230" s="119"/>
      <c r="L230" s="119"/>
      <c r="M230" s="119"/>
      <c r="N230" s="71"/>
      <c r="O230" s="637" t="s">
        <v>871</v>
      </c>
      <c r="P230" s="637"/>
      <c r="Q230" s="636"/>
      <c r="R230" s="636"/>
      <c r="S230" s="636">
        <v>500</v>
      </c>
      <c r="T230" s="636" t="s">
        <v>794</v>
      </c>
      <c r="U230" s="463" t="s">
        <v>795</v>
      </c>
      <c r="V230" s="636">
        <v>365</v>
      </c>
      <c r="W230" s="636" t="s">
        <v>872</v>
      </c>
      <c r="X230" s="463" t="s">
        <v>795</v>
      </c>
      <c r="Y230" s="636">
        <v>54</v>
      </c>
      <c r="Z230" s="636" t="s">
        <v>796</v>
      </c>
      <c r="AA230" s="455" t="s">
        <v>797</v>
      </c>
      <c r="AB230" s="636" t="s">
        <v>809</v>
      </c>
      <c r="AC230" s="149"/>
      <c r="AD230" s="149">
        <f>ROUND(S230*V230*Y230,-3)</f>
        <v>9855000</v>
      </c>
      <c r="AE230" s="150" t="s">
        <v>25</v>
      </c>
      <c r="AF230" s="2"/>
    </row>
    <row r="231" spans="1:32" s="11" customFormat="1" ht="21" customHeight="1">
      <c r="A231" s="47"/>
      <c r="B231" s="47"/>
      <c r="C231" s="47"/>
      <c r="D231" s="120"/>
      <c r="E231" s="119"/>
      <c r="F231" s="119"/>
      <c r="G231" s="119"/>
      <c r="H231" s="119"/>
      <c r="I231" s="119"/>
      <c r="J231" s="119"/>
      <c r="K231" s="119"/>
      <c r="L231" s="119"/>
      <c r="M231" s="119"/>
      <c r="N231" s="71"/>
      <c r="O231" s="637" t="s">
        <v>873</v>
      </c>
      <c r="P231" s="637"/>
      <c r="Q231" s="636"/>
      <c r="R231" s="636"/>
      <c r="S231" s="636">
        <v>5000</v>
      </c>
      <c r="T231" s="636" t="s">
        <v>794</v>
      </c>
      <c r="U231" s="463" t="s">
        <v>795</v>
      </c>
      <c r="V231" s="636">
        <v>12</v>
      </c>
      <c r="W231" s="636" t="s">
        <v>29</v>
      </c>
      <c r="X231" s="463" t="s">
        <v>795</v>
      </c>
      <c r="Y231" s="636">
        <v>54</v>
      </c>
      <c r="Z231" s="636" t="s">
        <v>796</v>
      </c>
      <c r="AA231" s="455" t="s">
        <v>797</v>
      </c>
      <c r="AB231" s="636" t="s">
        <v>809</v>
      </c>
      <c r="AC231" s="149"/>
      <c r="AD231" s="149">
        <f>S231*V231*Y231</f>
        <v>3240000</v>
      </c>
      <c r="AE231" s="150" t="s">
        <v>25</v>
      </c>
      <c r="AF231" s="2"/>
    </row>
    <row r="232" spans="1:32" s="11" customFormat="1" ht="21" customHeight="1">
      <c r="A232" s="47"/>
      <c r="B232" s="47"/>
      <c r="C232" s="47"/>
      <c r="D232" s="120"/>
      <c r="E232" s="119"/>
      <c r="F232" s="119"/>
      <c r="G232" s="119"/>
      <c r="H232" s="119"/>
      <c r="I232" s="119"/>
      <c r="J232" s="119"/>
      <c r="K232" s="119"/>
      <c r="L232" s="119"/>
      <c r="M232" s="119"/>
      <c r="N232" s="71"/>
      <c r="O232" s="637" t="s">
        <v>874</v>
      </c>
      <c r="P232" s="637"/>
      <c r="Q232" s="636"/>
      <c r="R232" s="636"/>
      <c r="S232" s="636">
        <v>12000</v>
      </c>
      <c r="T232" s="636" t="s">
        <v>794</v>
      </c>
      <c r="U232" s="463" t="s">
        <v>795</v>
      </c>
      <c r="V232" s="636">
        <v>4</v>
      </c>
      <c r="W232" s="636" t="s">
        <v>801</v>
      </c>
      <c r="X232" s="463" t="s">
        <v>795</v>
      </c>
      <c r="Y232" s="636">
        <v>54</v>
      </c>
      <c r="Z232" s="636" t="s">
        <v>796</v>
      </c>
      <c r="AA232" s="455" t="s">
        <v>797</v>
      </c>
      <c r="AB232" s="636" t="s">
        <v>809</v>
      </c>
      <c r="AC232" s="149"/>
      <c r="AD232" s="149">
        <f>S232*V232*Y232</f>
        <v>2592000</v>
      </c>
      <c r="AE232" s="150" t="s">
        <v>25</v>
      </c>
      <c r="AF232" s="2"/>
    </row>
    <row r="233" spans="1:32" s="11" customFormat="1" ht="21" customHeight="1">
      <c r="A233" s="47"/>
      <c r="B233" s="47"/>
      <c r="C233" s="47"/>
      <c r="D233" s="120"/>
      <c r="E233" s="119"/>
      <c r="F233" s="119"/>
      <c r="G233" s="119"/>
      <c r="H233" s="119"/>
      <c r="I233" s="119"/>
      <c r="J233" s="119"/>
      <c r="K233" s="119"/>
      <c r="L233" s="119"/>
      <c r="M233" s="119"/>
      <c r="N233" s="71"/>
      <c r="O233" s="637" t="s">
        <v>875</v>
      </c>
      <c r="P233" s="637"/>
      <c r="Q233" s="636"/>
      <c r="R233" s="636"/>
      <c r="S233" s="636">
        <v>30000</v>
      </c>
      <c r="T233" s="636" t="s">
        <v>794</v>
      </c>
      <c r="U233" s="463" t="s">
        <v>795</v>
      </c>
      <c r="V233" s="636">
        <v>2</v>
      </c>
      <c r="W233" s="636" t="s">
        <v>801</v>
      </c>
      <c r="X233" s="463" t="s">
        <v>795</v>
      </c>
      <c r="Y233" s="636">
        <v>25</v>
      </c>
      <c r="Z233" s="636" t="s">
        <v>796</v>
      </c>
      <c r="AA233" s="455" t="s">
        <v>797</v>
      </c>
      <c r="AB233" s="636" t="s">
        <v>809</v>
      </c>
      <c r="AC233" s="149"/>
      <c r="AD233" s="149">
        <f>ROUND(S233*V233*Y233,-3)</f>
        <v>1500000</v>
      </c>
      <c r="AE233" s="150" t="s">
        <v>25</v>
      </c>
      <c r="AF233" s="2"/>
    </row>
    <row r="234" spans="1:32" s="11" customFormat="1" ht="21" customHeight="1">
      <c r="A234" s="47"/>
      <c r="B234" s="47"/>
      <c r="C234" s="47"/>
      <c r="D234" s="173"/>
      <c r="E234" s="119"/>
      <c r="F234" s="119"/>
      <c r="G234" s="119"/>
      <c r="H234" s="119"/>
      <c r="I234" s="119"/>
      <c r="J234" s="119"/>
      <c r="K234" s="119"/>
      <c r="L234" s="119"/>
      <c r="M234" s="119"/>
      <c r="N234" s="71"/>
      <c r="O234" s="637" t="s">
        <v>876</v>
      </c>
      <c r="P234" s="637"/>
      <c r="Q234" s="636"/>
      <c r="R234" s="636"/>
      <c r="S234" s="636">
        <v>29340</v>
      </c>
      <c r="T234" s="636" t="s">
        <v>794</v>
      </c>
      <c r="U234" s="463" t="s">
        <v>795</v>
      </c>
      <c r="V234" s="636">
        <v>1</v>
      </c>
      <c r="W234" s="636" t="s">
        <v>801</v>
      </c>
      <c r="X234" s="463" t="s">
        <v>795</v>
      </c>
      <c r="Y234" s="636">
        <v>25</v>
      </c>
      <c r="Z234" s="636" t="s">
        <v>796</v>
      </c>
      <c r="AA234" s="455" t="s">
        <v>797</v>
      </c>
      <c r="AB234" s="636" t="s">
        <v>809</v>
      </c>
      <c r="AC234" s="149"/>
      <c r="AD234" s="149">
        <f>ROUNDUP(S234*V234*Y234,-3)</f>
        <v>734000</v>
      </c>
      <c r="AE234" s="150" t="s">
        <v>25</v>
      </c>
      <c r="AF234" s="2"/>
    </row>
    <row r="235" spans="1:32" s="11" customFormat="1" ht="21" customHeight="1">
      <c r="A235" s="47"/>
      <c r="B235" s="47"/>
      <c r="C235" s="47"/>
      <c r="D235" s="173"/>
      <c r="E235" s="119"/>
      <c r="F235" s="119"/>
      <c r="G235" s="119"/>
      <c r="H235" s="119"/>
      <c r="I235" s="119"/>
      <c r="J235" s="119"/>
      <c r="K235" s="119"/>
      <c r="L235" s="119"/>
      <c r="M235" s="119"/>
      <c r="N235" s="71"/>
      <c r="O235" s="637" t="s">
        <v>877</v>
      </c>
      <c r="P235" s="637"/>
      <c r="Q235" s="636"/>
      <c r="R235" s="636"/>
      <c r="S235" s="636"/>
      <c r="T235" s="636"/>
      <c r="U235" s="463"/>
      <c r="V235" s="636"/>
      <c r="W235" s="636"/>
      <c r="X235" s="463"/>
      <c r="Y235" s="636"/>
      <c r="Z235" s="636"/>
      <c r="AA235" s="455"/>
      <c r="AB235" s="636" t="s">
        <v>847</v>
      </c>
      <c r="AC235" s="149"/>
      <c r="AD235" s="149">
        <v>5366000</v>
      </c>
      <c r="AE235" s="150" t="s">
        <v>794</v>
      </c>
      <c r="AF235" s="2"/>
    </row>
    <row r="236" spans="1:32" s="11" customFormat="1" ht="21" customHeight="1">
      <c r="A236" s="47"/>
      <c r="B236" s="47"/>
      <c r="C236" s="47"/>
      <c r="D236" s="173"/>
      <c r="E236" s="119"/>
      <c r="F236" s="119"/>
      <c r="G236" s="119"/>
      <c r="H236" s="119"/>
      <c r="I236" s="119"/>
      <c r="J236" s="119"/>
      <c r="K236" s="119"/>
      <c r="L236" s="119"/>
      <c r="M236" s="119"/>
      <c r="N236" s="71"/>
      <c r="O236" s="637" t="s">
        <v>878</v>
      </c>
      <c r="P236" s="637"/>
      <c r="Q236" s="636"/>
      <c r="R236" s="636"/>
      <c r="S236" s="636"/>
      <c r="T236" s="636"/>
      <c r="U236" s="463"/>
      <c r="V236" s="636"/>
      <c r="W236" s="636"/>
      <c r="X236" s="463"/>
      <c r="Y236" s="636"/>
      <c r="Z236" s="636"/>
      <c r="AA236" s="455"/>
      <c r="AB236" s="679" t="s">
        <v>807</v>
      </c>
      <c r="AC236" s="679"/>
      <c r="AD236" s="680">
        <v>400000</v>
      </c>
      <c r="AE236" s="150" t="s">
        <v>25</v>
      </c>
      <c r="AF236" s="2"/>
    </row>
    <row r="237" spans="1:32" s="11" customFormat="1" ht="21" customHeight="1">
      <c r="A237" s="47"/>
      <c r="B237" s="47"/>
      <c r="C237" s="47"/>
      <c r="D237" s="173"/>
      <c r="E237" s="119"/>
      <c r="F237" s="119"/>
      <c r="G237" s="119"/>
      <c r="H237" s="119"/>
      <c r="I237" s="119"/>
      <c r="J237" s="119"/>
      <c r="K237" s="119"/>
      <c r="L237" s="119"/>
      <c r="M237" s="119"/>
      <c r="N237" s="71"/>
      <c r="O237" s="449" t="s">
        <v>879</v>
      </c>
      <c r="P237" s="636"/>
      <c r="Q237" s="636"/>
      <c r="R237" s="636"/>
      <c r="S237" s="636">
        <v>50000</v>
      </c>
      <c r="T237" s="636" t="s">
        <v>794</v>
      </c>
      <c r="U237" s="637" t="s">
        <v>795</v>
      </c>
      <c r="V237" s="636">
        <v>33</v>
      </c>
      <c r="W237" s="637" t="s">
        <v>796</v>
      </c>
      <c r="X237" s="637" t="s">
        <v>795</v>
      </c>
      <c r="Y237" s="636">
        <v>12</v>
      </c>
      <c r="Z237" s="636" t="s">
        <v>859</v>
      </c>
      <c r="AA237" s="455" t="s">
        <v>797</v>
      </c>
      <c r="AB237" s="455" t="s">
        <v>803</v>
      </c>
      <c r="AC237" s="637"/>
      <c r="AD237" s="636">
        <f>ROUND(S237*V237*Y237,-3)</f>
        <v>19800000</v>
      </c>
      <c r="AE237" s="150" t="s">
        <v>794</v>
      </c>
      <c r="AF237" s="2"/>
    </row>
    <row r="238" spans="1:32" s="11" customFormat="1" ht="21" customHeight="1">
      <c r="A238" s="47"/>
      <c r="B238" s="47"/>
      <c r="C238" s="47"/>
      <c r="D238" s="173"/>
      <c r="E238" s="119"/>
      <c r="F238" s="119"/>
      <c r="G238" s="119"/>
      <c r="H238" s="119"/>
      <c r="I238" s="119"/>
      <c r="J238" s="119"/>
      <c r="K238" s="119"/>
      <c r="L238" s="119"/>
      <c r="M238" s="119"/>
      <c r="N238" s="71"/>
      <c r="O238" s="637" t="s">
        <v>880</v>
      </c>
      <c r="P238" s="637"/>
      <c r="Q238" s="637"/>
      <c r="R238" s="637"/>
      <c r="S238" s="636">
        <v>50000</v>
      </c>
      <c r="T238" s="463" t="s">
        <v>794</v>
      </c>
      <c r="U238" s="463" t="s">
        <v>26</v>
      </c>
      <c r="V238" s="636">
        <v>12</v>
      </c>
      <c r="W238" s="636" t="s">
        <v>796</v>
      </c>
      <c r="X238" s="463" t="s">
        <v>26</v>
      </c>
      <c r="Y238" s="636">
        <v>12</v>
      </c>
      <c r="Z238" s="636" t="s">
        <v>859</v>
      </c>
      <c r="AA238" s="455" t="s">
        <v>27</v>
      </c>
      <c r="AB238" s="636" t="s">
        <v>803</v>
      </c>
      <c r="AC238" s="636"/>
      <c r="AD238" s="636">
        <f>S238*V238*Y238</f>
        <v>7200000</v>
      </c>
      <c r="AE238" s="681" t="s">
        <v>794</v>
      </c>
      <c r="AF238" s="2"/>
    </row>
    <row r="239" spans="1:32" s="11" customFormat="1" ht="21" customHeight="1">
      <c r="A239" s="47"/>
      <c r="B239" s="47"/>
      <c r="C239" s="47"/>
      <c r="D239" s="173"/>
      <c r="E239" s="119"/>
      <c r="F239" s="119"/>
      <c r="G239" s="119"/>
      <c r="H239" s="119"/>
      <c r="I239" s="119"/>
      <c r="J239" s="119"/>
      <c r="K239" s="119"/>
      <c r="L239" s="119"/>
      <c r="M239" s="119"/>
      <c r="N239" s="71"/>
      <c r="O239" s="637" t="s">
        <v>881</v>
      </c>
      <c r="P239" s="637"/>
      <c r="Q239" s="637"/>
      <c r="R239" s="637"/>
      <c r="S239" s="636">
        <v>150000</v>
      </c>
      <c r="T239" s="463" t="s">
        <v>794</v>
      </c>
      <c r="U239" s="463" t="s">
        <v>26</v>
      </c>
      <c r="V239" s="636">
        <v>12</v>
      </c>
      <c r="W239" s="636" t="s">
        <v>859</v>
      </c>
      <c r="X239" s="455" t="s">
        <v>27</v>
      </c>
      <c r="Y239" s="636"/>
      <c r="Z239" s="636"/>
      <c r="AA239" s="455"/>
      <c r="AB239" s="636" t="s">
        <v>803</v>
      </c>
      <c r="AC239" s="636"/>
      <c r="AD239" s="636">
        <f>S239*V239</f>
        <v>1800000</v>
      </c>
      <c r="AE239" s="681" t="s">
        <v>794</v>
      </c>
      <c r="AF239" s="2"/>
    </row>
    <row r="240" spans="1:32" s="11" customFormat="1" ht="21" customHeight="1">
      <c r="A240" s="47"/>
      <c r="B240" s="47"/>
      <c r="C240" s="60"/>
      <c r="D240" s="174"/>
      <c r="E240" s="122"/>
      <c r="F240" s="122"/>
      <c r="G240" s="122"/>
      <c r="H240" s="122"/>
      <c r="I240" s="122"/>
      <c r="J240" s="122"/>
      <c r="K240" s="122"/>
      <c r="L240" s="122"/>
      <c r="M240" s="122"/>
      <c r="N240" s="91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45"/>
      <c r="AE240" s="137"/>
      <c r="AF240" s="2"/>
    </row>
    <row r="241" spans="1:32" s="11" customFormat="1" ht="21" customHeight="1">
      <c r="A241" s="47"/>
      <c r="B241" s="47"/>
      <c r="C241" s="47" t="s">
        <v>99</v>
      </c>
      <c r="D241" s="173">
        <v>8185</v>
      </c>
      <c r="E241" s="119">
        <f>ROUND(AD241/1000,0)</f>
        <v>9985</v>
      </c>
      <c r="F241" s="119">
        <f>SUM(AD242:AD243,AD247)/1000</f>
        <v>5200</v>
      </c>
      <c r="G241" s="119">
        <v>0</v>
      </c>
      <c r="H241" s="119">
        <v>0</v>
      </c>
      <c r="I241" s="119">
        <f>SUM(AD244:AD246,AD248)/1000</f>
        <v>4785</v>
      </c>
      <c r="J241" s="119">
        <v>0</v>
      </c>
      <c r="K241" s="119">
        <v>0</v>
      </c>
      <c r="L241" s="119">
        <v>0</v>
      </c>
      <c r="M241" s="119">
        <f>E241-D241</f>
        <v>1800</v>
      </c>
      <c r="N241" s="71">
        <f>IF(D241=0,0,M241/D241)</f>
        <v>0.21991447770311545</v>
      </c>
      <c r="O241" s="106" t="s">
        <v>100</v>
      </c>
      <c r="P241" s="102"/>
      <c r="Q241" s="102"/>
      <c r="R241" s="102"/>
      <c r="S241" s="102"/>
      <c r="T241" s="96"/>
      <c r="U241" s="96"/>
      <c r="V241" s="96"/>
      <c r="W241" s="96"/>
      <c r="X241" s="96"/>
      <c r="Y241" s="191" t="s">
        <v>164</v>
      </c>
      <c r="Z241" s="191"/>
      <c r="AA241" s="191"/>
      <c r="AB241" s="191"/>
      <c r="AC241" s="193"/>
      <c r="AD241" s="193">
        <f>SUM(AD242:AD249)</f>
        <v>9985000</v>
      </c>
      <c r="AE241" s="192" t="s">
        <v>25</v>
      </c>
      <c r="AF241" s="1"/>
    </row>
    <row r="242" spans="1:32" s="11" customFormat="1" ht="21" customHeight="1">
      <c r="A242" s="47"/>
      <c r="B242" s="47"/>
      <c r="C242" s="47" t="s">
        <v>174</v>
      </c>
      <c r="D242" s="173"/>
      <c r="E242" s="119"/>
      <c r="F242" s="119"/>
      <c r="G242" s="119"/>
      <c r="H242" s="119"/>
      <c r="I242" s="119"/>
      <c r="J242" s="119"/>
      <c r="K242" s="119"/>
      <c r="L242" s="119"/>
      <c r="M242" s="119"/>
      <c r="N242" s="71"/>
      <c r="O242" s="637" t="s">
        <v>882</v>
      </c>
      <c r="P242" s="637"/>
      <c r="Q242" s="637"/>
      <c r="R242" s="637"/>
      <c r="S242" s="636"/>
      <c r="T242" s="463"/>
      <c r="U242" s="463"/>
      <c r="V242" s="636"/>
      <c r="W242" s="636"/>
      <c r="X242" s="636"/>
      <c r="Y242" s="636"/>
      <c r="Z242" s="636"/>
      <c r="AA242" s="636"/>
      <c r="AB242" s="636" t="s">
        <v>809</v>
      </c>
      <c r="AC242" s="636"/>
      <c r="AD242" s="636">
        <v>3183000</v>
      </c>
      <c r="AE242" s="150" t="s">
        <v>794</v>
      </c>
      <c r="AF242" s="2"/>
    </row>
    <row r="243" spans="1:32" s="11" customFormat="1" ht="21" customHeight="1">
      <c r="A243" s="47"/>
      <c r="B243" s="47"/>
      <c r="C243" s="47"/>
      <c r="D243" s="173"/>
      <c r="E243" s="119"/>
      <c r="F243" s="119"/>
      <c r="G243" s="119"/>
      <c r="H243" s="119"/>
      <c r="I243" s="119"/>
      <c r="J243" s="119"/>
      <c r="K243" s="119"/>
      <c r="L243" s="119"/>
      <c r="M243" s="119"/>
      <c r="N243" s="71"/>
      <c r="O243" s="637"/>
      <c r="P243" s="637"/>
      <c r="Q243" s="637"/>
      <c r="R243" s="637"/>
      <c r="S243" s="636"/>
      <c r="T243" s="463"/>
      <c r="U243" s="463"/>
      <c r="V243" s="636"/>
      <c r="W243" s="636"/>
      <c r="X243" s="636"/>
      <c r="Y243" s="636"/>
      <c r="Z243" s="636"/>
      <c r="AA243" s="636"/>
      <c r="AB243" s="636" t="s">
        <v>809</v>
      </c>
      <c r="AC243" s="636"/>
      <c r="AD243" s="636">
        <v>1302000</v>
      </c>
      <c r="AE243" s="150" t="s">
        <v>794</v>
      </c>
      <c r="AF243" s="2"/>
    </row>
    <row r="244" spans="1:32" s="11" customFormat="1" ht="21" customHeight="1">
      <c r="A244" s="47"/>
      <c r="B244" s="47"/>
      <c r="C244" s="47"/>
      <c r="D244" s="173"/>
      <c r="E244" s="119"/>
      <c r="F244" s="119"/>
      <c r="G244" s="119"/>
      <c r="H244" s="119"/>
      <c r="I244" s="119"/>
      <c r="J244" s="119"/>
      <c r="K244" s="119"/>
      <c r="L244" s="119"/>
      <c r="M244" s="119"/>
      <c r="N244" s="71"/>
      <c r="O244" s="637" t="s">
        <v>883</v>
      </c>
      <c r="P244" s="637"/>
      <c r="Q244" s="637"/>
      <c r="R244" s="637"/>
      <c r="S244" s="636"/>
      <c r="T244" s="463"/>
      <c r="U244" s="463"/>
      <c r="V244" s="636"/>
      <c r="W244" s="636"/>
      <c r="X244" s="636"/>
      <c r="Y244" s="636"/>
      <c r="Z244" s="636"/>
      <c r="AA244" s="636"/>
      <c r="AB244" s="636" t="s">
        <v>807</v>
      </c>
      <c r="AC244" s="636"/>
      <c r="AD244" s="636">
        <v>500000</v>
      </c>
      <c r="AE244" s="150" t="s">
        <v>794</v>
      </c>
      <c r="AF244" s="2"/>
    </row>
    <row r="245" spans="1:32" s="11" customFormat="1" ht="21" customHeight="1">
      <c r="A245" s="47"/>
      <c r="B245" s="47"/>
      <c r="C245" s="47"/>
      <c r="D245" s="173"/>
      <c r="E245" s="119"/>
      <c r="F245" s="119"/>
      <c r="G245" s="119"/>
      <c r="H245" s="119"/>
      <c r="I245" s="119"/>
      <c r="J245" s="119"/>
      <c r="K245" s="119"/>
      <c r="L245" s="119"/>
      <c r="M245" s="119"/>
      <c r="N245" s="71"/>
      <c r="O245" s="637" t="s">
        <v>884</v>
      </c>
      <c r="P245" s="637"/>
      <c r="Q245" s="637"/>
      <c r="R245" s="637"/>
      <c r="S245" s="636">
        <v>100000</v>
      </c>
      <c r="T245" s="463" t="s">
        <v>794</v>
      </c>
      <c r="U245" s="463" t="s">
        <v>26</v>
      </c>
      <c r="V245" s="636">
        <v>6</v>
      </c>
      <c r="W245" s="636" t="s">
        <v>859</v>
      </c>
      <c r="X245" s="455" t="s">
        <v>27</v>
      </c>
      <c r="Y245" s="636"/>
      <c r="Z245" s="636"/>
      <c r="AA245" s="455"/>
      <c r="AB245" s="636" t="s">
        <v>807</v>
      </c>
      <c r="AC245" s="636"/>
      <c r="AD245" s="636">
        <f>S245*V245</f>
        <v>600000</v>
      </c>
      <c r="AE245" s="681" t="s">
        <v>794</v>
      </c>
      <c r="AF245" s="2"/>
    </row>
    <row r="246" spans="1:32" s="11" customFormat="1" ht="21" customHeight="1">
      <c r="A246" s="47"/>
      <c r="B246" s="47"/>
      <c r="C246" s="47"/>
      <c r="D246" s="173"/>
      <c r="E246" s="119"/>
      <c r="F246" s="119"/>
      <c r="G246" s="119"/>
      <c r="H246" s="119"/>
      <c r="I246" s="119"/>
      <c r="J246" s="119"/>
      <c r="K246" s="119"/>
      <c r="L246" s="119"/>
      <c r="M246" s="119"/>
      <c r="N246" s="71"/>
      <c r="O246" s="637" t="s">
        <v>885</v>
      </c>
      <c r="P246" s="637"/>
      <c r="Q246" s="637"/>
      <c r="R246" s="637"/>
      <c r="S246" s="636"/>
      <c r="T246" s="463"/>
      <c r="U246" s="463"/>
      <c r="V246" s="636"/>
      <c r="W246" s="636"/>
      <c r="X246" s="636"/>
      <c r="Y246" s="636"/>
      <c r="Z246" s="636"/>
      <c r="AA246" s="636"/>
      <c r="AB246" s="636" t="s">
        <v>807</v>
      </c>
      <c r="AC246" s="636"/>
      <c r="AD246" s="636">
        <v>985000</v>
      </c>
      <c r="AE246" s="150" t="s">
        <v>794</v>
      </c>
      <c r="AF246" s="2"/>
    </row>
    <row r="247" spans="1:32" s="11" customFormat="1" ht="21" customHeight="1">
      <c r="A247" s="47"/>
      <c r="B247" s="47"/>
      <c r="C247" s="47"/>
      <c r="D247" s="173"/>
      <c r="E247" s="119"/>
      <c r="F247" s="119"/>
      <c r="G247" s="119"/>
      <c r="H247" s="119"/>
      <c r="I247" s="119"/>
      <c r="J247" s="119"/>
      <c r="K247" s="119"/>
      <c r="L247" s="119"/>
      <c r="M247" s="119"/>
      <c r="N247" s="71"/>
      <c r="O247" s="637" t="s">
        <v>886</v>
      </c>
      <c r="P247" s="637"/>
      <c r="Q247" s="637"/>
      <c r="R247" s="637"/>
      <c r="S247" s="636"/>
      <c r="T247" s="463"/>
      <c r="U247" s="463"/>
      <c r="V247" s="636"/>
      <c r="W247" s="636"/>
      <c r="X247" s="636"/>
      <c r="Y247" s="636"/>
      <c r="Z247" s="636"/>
      <c r="AA247" s="636"/>
      <c r="AB247" s="658" t="s">
        <v>91</v>
      </c>
      <c r="AC247" s="636"/>
      <c r="AD247" s="636">
        <v>715000</v>
      </c>
      <c r="AE247" s="150" t="s">
        <v>794</v>
      </c>
      <c r="AF247" s="2"/>
    </row>
    <row r="248" spans="1:32" s="11" customFormat="1" ht="21" customHeight="1">
      <c r="A248" s="47"/>
      <c r="B248" s="47"/>
      <c r="C248" s="47"/>
      <c r="D248" s="173"/>
      <c r="E248" s="119"/>
      <c r="F248" s="119"/>
      <c r="G248" s="119"/>
      <c r="H248" s="119"/>
      <c r="I248" s="119"/>
      <c r="J248" s="119"/>
      <c r="K248" s="119"/>
      <c r="L248" s="119"/>
      <c r="M248" s="119"/>
      <c r="N248" s="71"/>
      <c r="O248" s="637" t="s">
        <v>887</v>
      </c>
      <c r="P248" s="637"/>
      <c r="Q248" s="637"/>
      <c r="R248" s="637"/>
      <c r="S248" s="636"/>
      <c r="T248" s="463"/>
      <c r="U248" s="463"/>
      <c r="V248" s="636"/>
      <c r="W248" s="636"/>
      <c r="X248" s="636"/>
      <c r="Y248" s="636"/>
      <c r="Z248" s="636"/>
      <c r="AA248" s="636"/>
      <c r="AB248" s="636" t="s">
        <v>807</v>
      </c>
      <c r="AC248" s="636"/>
      <c r="AD248" s="636">
        <v>2700000</v>
      </c>
      <c r="AE248" s="150" t="s">
        <v>794</v>
      </c>
      <c r="AF248" s="2"/>
    </row>
    <row r="249" spans="1:32" s="11" customFormat="1" ht="21" customHeight="1">
      <c r="A249" s="47"/>
      <c r="B249" s="47"/>
      <c r="C249" s="47"/>
      <c r="D249" s="173"/>
      <c r="E249" s="119"/>
      <c r="F249" s="119"/>
      <c r="G249" s="119"/>
      <c r="H249" s="119"/>
      <c r="I249" s="119"/>
      <c r="J249" s="119"/>
      <c r="K249" s="119"/>
      <c r="L249" s="119"/>
      <c r="M249" s="119"/>
      <c r="N249" s="71"/>
      <c r="O249" s="358"/>
      <c r="P249" s="358"/>
      <c r="Q249" s="358"/>
      <c r="R249" s="358"/>
      <c r="S249" s="465"/>
      <c r="T249" s="466"/>
      <c r="U249" s="443"/>
      <c r="V249" s="467"/>
      <c r="W249" s="465"/>
      <c r="X249" s="465"/>
      <c r="Y249" s="465"/>
      <c r="Z249" s="465"/>
      <c r="AA249" s="465"/>
      <c r="AB249" s="465"/>
      <c r="AC249" s="465"/>
      <c r="AD249" s="465"/>
      <c r="AE249" s="468"/>
      <c r="AF249" s="1"/>
    </row>
    <row r="250" spans="1:32" s="11" customFormat="1" ht="21" customHeight="1">
      <c r="A250" s="47"/>
      <c r="B250" s="47"/>
      <c r="C250" s="37" t="s">
        <v>94</v>
      </c>
      <c r="D250" s="175">
        <v>14040</v>
      </c>
      <c r="E250" s="124">
        <f>ROUND(AD250/1000,0)</f>
        <v>20040</v>
      </c>
      <c r="F250" s="124">
        <v>0</v>
      </c>
      <c r="G250" s="124">
        <v>0</v>
      </c>
      <c r="H250" s="124">
        <f>ROUND(SUM(AD252),-3)/1000</f>
        <v>4320</v>
      </c>
      <c r="I250" s="124">
        <f>AD253/1000</f>
        <v>6000</v>
      </c>
      <c r="J250" s="124">
        <f>AD251/1000</f>
        <v>9720</v>
      </c>
      <c r="K250" s="124">
        <v>0</v>
      </c>
      <c r="L250" s="124">
        <v>0</v>
      </c>
      <c r="M250" s="124">
        <f>E250-D250</f>
        <v>6000</v>
      </c>
      <c r="N250" s="132">
        <f>IF(D250=0,0,M250/D250)</f>
        <v>0.42735042735042733</v>
      </c>
      <c r="O250" s="106" t="s">
        <v>158</v>
      </c>
      <c r="P250" s="190"/>
      <c r="Q250" s="102"/>
      <c r="R250" s="102"/>
      <c r="S250" s="102"/>
      <c r="T250" s="96"/>
      <c r="U250" s="96"/>
      <c r="V250" s="96"/>
      <c r="W250" s="207"/>
      <c r="X250" s="207"/>
      <c r="Y250" s="191" t="s">
        <v>164</v>
      </c>
      <c r="Z250" s="191"/>
      <c r="AA250" s="191"/>
      <c r="AB250" s="191"/>
      <c r="AC250" s="193"/>
      <c r="AD250" s="193">
        <f>SUM(AD251:AD254)</f>
        <v>20040000</v>
      </c>
      <c r="AE250" s="192" t="s">
        <v>25</v>
      </c>
      <c r="AF250" s="1"/>
    </row>
    <row r="251" spans="1:32" s="11" customFormat="1" ht="21" customHeight="1">
      <c r="A251" s="47"/>
      <c r="B251" s="47"/>
      <c r="C251" s="47"/>
      <c r="D251" s="120"/>
      <c r="E251" s="119"/>
      <c r="F251" s="119"/>
      <c r="G251" s="119"/>
      <c r="H251" s="119"/>
      <c r="I251" s="119"/>
      <c r="J251" s="119"/>
      <c r="K251" s="119"/>
      <c r="L251" s="119"/>
      <c r="M251" s="119"/>
      <c r="N251" s="71"/>
      <c r="O251" s="637" t="s">
        <v>888</v>
      </c>
      <c r="P251" s="637"/>
      <c r="Q251" s="636"/>
      <c r="R251" s="636"/>
      <c r="S251" s="636">
        <v>15000</v>
      </c>
      <c r="T251" s="636" t="s">
        <v>821</v>
      </c>
      <c r="U251" s="637" t="s">
        <v>823</v>
      </c>
      <c r="V251" s="636">
        <v>12</v>
      </c>
      <c r="W251" s="636" t="s">
        <v>825</v>
      </c>
      <c r="X251" s="637" t="s">
        <v>823</v>
      </c>
      <c r="Y251" s="636">
        <v>54</v>
      </c>
      <c r="Z251" s="636" t="s">
        <v>824</v>
      </c>
      <c r="AA251" s="636" t="s">
        <v>826</v>
      </c>
      <c r="AB251" s="636" t="s">
        <v>889</v>
      </c>
      <c r="AC251" s="149"/>
      <c r="AD251" s="149">
        <f>ROUNDUP(S251*V251*Y251,-3)</f>
        <v>9720000</v>
      </c>
      <c r="AE251" s="150" t="s">
        <v>25</v>
      </c>
      <c r="AF251" s="1"/>
    </row>
    <row r="252" spans="1:32" s="11" customFormat="1" ht="21" customHeight="1">
      <c r="A252" s="47"/>
      <c r="B252" s="47"/>
      <c r="C252" s="47"/>
      <c r="D252" s="120"/>
      <c r="E252" s="119"/>
      <c r="F252" s="119"/>
      <c r="G252" s="119"/>
      <c r="H252" s="119"/>
      <c r="I252" s="119"/>
      <c r="J252" s="119"/>
      <c r="K252" s="119"/>
      <c r="L252" s="119"/>
      <c r="M252" s="119"/>
      <c r="N252" s="71"/>
      <c r="O252" s="637" t="s">
        <v>890</v>
      </c>
      <c r="P252" s="637"/>
      <c r="Q252" s="636"/>
      <c r="R252" s="636"/>
      <c r="S252" s="636">
        <v>20000</v>
      </c>
      <c r="T252" s="636" t="s">
        <v>821</v>
      </c>
      <c r="U252" s="637" t="s">
        <v>823</v>
      </c>
      <c r="V252" s="636">
        <v>4</v>
      </c>
      <c r="W252" s="636" t="s">
        <v>828</v>
      </c>
      <c r="X252" s="637" t="s">
        <v>823</v>
      </c>
      <c r="Y252" s="636">
        <v>54</v>
      </c>
      <c r="Z252" s="636" t="s">
        <v>824</v>
      </c>
      <c r="AA252" s="636" t="s">
        <v>826</v>
      </c>
      <c r="AB252" s="636" t="s">
        <v>832</v>
      </c>
      <c r="AC252" s="149"/>
      <c r="AD252" s="149">
        <f>ROUNDUP(S252*V252*Y252,-1)</f>
        <v>4320000</v>
      </c>
      <c r="AE252" s="150" t="s">
        <v>25</v>
      </c>
      <c r="AF252" s="1"/>
    </row>
    <row r="253" spans="1:32" s="11" customFormat="1" ht="21" customHeight="1">
      <c r="A253" s="47"/>
      <c r="B253" s="47"/>
      <c r="C253" s="47"/>
      <c r="D253" s="120"/>
      <c r="E253" s="119"/>
      <c r="F253" s="119"/>
      <c r="G253" s="119"/>
      <c r="H253" s="119"/>
      <c r="I253" s="119"/>
      <c r="J253" s="119"/>
      <c r="K253" s="119"/>
      <c r="L253" s="119"/>
      <c r="M253" s="119"/>
      <c r="N253" s="71"/>
      <c r="O253" s="698" t="s">
        <v>974</v>
      </c>
      <c r="P253" s="637"/>
      <c r="Q253" s="636"/>
      <c r="R253" s="636"/>
      <c r="S253" s="636"/>
      <c r="T253" s="636"/>
      <c r="U253" s="637"/>
      <c r="V253" s="636"/>
      <c r="W253" s="636"/>
      <c r="X253" s="637"/>
      <c r="Y253" s="636"/>
      <c r="Z253" s="636"/>
      <c r="AA253" s="636"/>
      <c r="AB253" s="636" t="s">
        <v>807</v>
      </c>
      <c r="AC253" s="149"/>
      <c r="AD253" s="149">
        <v>6000000</v>
      </c>
      <c r="AE253" s="150" t="s">
        <v>794</v>
      </c>
      <c r="AF253" s="1"/>
    </row>
    <row r="254" spans="1:32" s="11" customFormat="1" ht="21" customHeight="1">
      <c r="A254" s="47"/>
      <c r="B254" s="47"/>
      <c r="C254" s="47"/>
      <c r="D254" s="173"/>
      <c r="E254" s="119"/>
      <c r="F254" s="119"/>
      <c r="G254" s="119"/>
      <c r="H254" s="119"/>
      <c r="I254" s="119"/>
      <c r="J254" s="119"/>
      <c r="K254" s="119"/>
      <c r="L254" s="119"/>
      <c r="M254" s="119"/>
      <c r="N254" s="71"/>
      <c r="O254" s="637"/>
      <c r="P254" s="637"/>
      <c r="Q254" s="636"/>
      <c r="R254" s="636"/>
      <c r="S254" s="636"/>
      <c r="T254" s="636"/>
      <c r="U254" s="637"/>
      <c r="V254" s="636"/>
      <c r="W254" s="636"/>
      <c r="X254" s="637"/>
      <c r="Y254" s="636"/>
      <c r="Z254" s="636"/>
      <c r="AA254" s="636"/>
      <c r="AB254" s="636"/>
      <c r="AC254" s="149"/>
      <c r="AD254" s="149"/>
      <c r="AE254" s="150"/>
      <c r="AF254" s="1"/>
    </row>
    <row r="255" spans="1:32" s="11" customFormat="1" ht="21" customHeight="1">
      <c r="A255" s="47"/>
      <c r="B255" s="47"/>
      <c r="C255" s="37" t="s">
        <v>95</v>
      </c>
      <c r="D255" s="175">
        <v>13166</v>
      </c>
      <c r="E255" s="124">
        <f>ROUND(AD255/1000,0)</f>
        <v>19190</v>
      </c>
      <c r="F255" s="124">
        <v>0</v>
      </c>
      <c r="G255" s="124">
        <f>AD257/1000</f>
        <v>12600</v>
      </c>
      <c r="H255" s="124">
        <f>AD256/1000</f>
        <v>2160</v>
      </c>
      <c r="I255" s="124">
        <f>SUM(AD258:AD262)/1000</f>
        <v>4430</v>
      </c>
      <c r="J255" s="124">
        <v>0</v>
      </c>
      <c r="K255" s="124">
        <v>0</v>
      </c>
      <c r="L255" s="124">
        <v>0</v>
      </c>
      <c r="M255" s="124">
        <f>E255-D255</f>
        <v>6024</v>
      </c>
      <c r="N255" s="132">
        <f>IF(D255=0,0,M255/D255)</f>
        <v>0.4575421540331156</v>
      </c>
      <c r="O255" s="106" t="s">
        <v>159</v>
      </c>
      <c r="P255" s="190"/>
      <c r="Q255" s="197"/>
      <c r="R255" s="197"/>
      <c r="S255" s="197"/>
      <c r="T255" s="196"/>
      <c r="U255" s="196"/>
      <c r="V255" s="196"/>
      <c r="W255" s="207"/>
      <c r="X255" s="207"/>
      <c r="Y255" s="191" t="s">
        <v>164</v>
      </c>
      <c r="Z255" s="191"/>
      <c r="AA255" s="191"/>
      <c r="AB255" s="191"/>
      <c r="AC255" s="193"/>
      <c r="AD255" s="193">
        <f>SUM(AD256:AD262)</f>
        <v>19190000</v>
      </c>
      <c r="AE255" s="192" t="s">
        <v>25</v>
      </c>
      <c r="AF255" s="1"/>
    </row>
    <row r="256" spans="1:32" s="14" customFormat="1" ht="21" customHeight="1">
      <c r="A256" s="47"/>
      <c r="B256" s="47"/>
      <c r="C256" s="47"/>
      <c r="D256" s="173"/>
      <c r="E256" s="119"/>
      <c r="F256" s="119"/>
      <c r="G256" s="119"/>
      <c r="H256" s="119"/>
      <c r="I256" s="119"/>
      <c r="J256" s="119"/>
      <c r="K256" s="119"/>
      <c r="L256" s="119"/>
      <c r="M256" s="119"/>
      <c r="N256" s="71"/>
      <c r="O256" s="637" t="s">
        <v>891</v>
      </c>
      <c r="P256" s="637"/>
      <c r="Q256" s="636"/>
      <c r="R256" s="636"/>
      <c r="S256" s="636">
        <v>40000</v>
      </c>
      <c r="T256" s="636" t="s">
        <v>821</v>
      </c>
      <c r="U256" s="637" t="s">
        <v>823</v>
      </c>
      <c r="V256" s="636">
        <v>1</v>
      </c>
      <c r="W256" s="636" t="s">
        <v>828</v>
      </c>
      <c r="X256" s="637" t="s">
        <v>823</v>
      </c>
      <c r="Y256" s="636">
        <v>54</v>
      </c>
      <c r="Z256" s="636" t="s">
        <v>824</v>
      </c>
      <c r="AA256" s="636" t="s">
        <v>826</v>
      </c>
      <c r="AB256" s="636" t="s">
        <v>832</v>
      </c>
      <c r="AC256" s="149"/>
      <c r="AD256" s="149">
        <f>S256*V256*Y256</f>
        <v>2160000</v>
      </c>
      <c r="AE256" s="150" t="s">
        <v>25</v>
      </c>
      <c r="AF256" s="5"/>
    </row>
    <row r="257" spans="1:32" s="14" customFormat="1" ht="21" customHeight="1">
      <c r="A257" s="47"/>
      <c r="B257" s="47"/>
      <c r="C257" s="47"/>
      <c r="D257" s="173"/>
      <c r="E257" s="119"/>
      <c r="F257" s="119"/>
      <c r="G257" s="119"/>
      <c r="H257" s="119"/>
      <c r="I257" s="119"/>
      <c r="J257" s="119"/>
      <c r="K257" s="119"/>
      <c r="L257" s="119"/>
      <c r="M257" s="119"/>
      <c r="N257" s="354"/>
      <c r="O257" s="449" t="s">
        <v>892</v>
      </c>
      <c r="P257" s="637"/>
      <c r="Q257" s="637"/>
      <c r="R257" s="637"/>
      <c r="S257" s="636">
        <v>70000</v>
      </c>
      <c r="T257" s="636" t="s">
        <v>821</v>
      </c>
      <c r="U257" s="637" t="s">
        <v>823</v>
      </c>
      <c r="V257" s="636">
        <v>1</v>
      </c>
      <c r="W257" s="636" t="s">
        <v>824</v>
      </c>
      <c r="X257" s="637" t="s">
        <v>823</v>
      </c>
      <c r="Y257" s="464">
        <v>180</v>
      </c>
      <c r="Z257" s="455" t="s">
        <v>893</v>
      </c>
      <c r="AA257" s="455" t="s">
        <v>826</v>
      </c>
      <c r="AB257" s="636" t="s">
        <v>832</v>
      </c>
      <c r="AC257" s="149"/>
      <c r="AD257" s="636">
        <f>S257*V257*Y257</f>
        <v>12600000</v>
      </c>
      <c r="AE257" s="150" t="s">
        <v>821</v>
      </c>
      <c r="AF257" s="5"/>
    </row>
    <row r="258" spans="1:32" s="14" customFormat="1" ht="21" customHeight="1">
      <c r="A258" s="47"/>
      <c r="B258" s="47"/>
      <c r="C258" s="47"/>
      <c r="D258" s="173"/>
      <c r="E258" s="119"/>
      <c r="F258" s="119"/>
      <c r="G258" s="119"/>
      <c r="H258" s="119"/>
      <c r="I258" s="119"/>
      <c r="J258" s="119"/>
      <c r="K258" s="119"/>
      <c r="L258" s="119"/>
      <c r="M258" s="119"/>
      <c r="N258" s="71"/>
      <c r="O258" s="637" t="s">
        <v>894</v>
      </c>
      <c r="P258" s="637"/>
      <c r="Q258" s="637"/>
      <c r="R258" s="637"/>
      <c r="S258" s="636">
        <v>50000</v>
      </c>
      <c r="T258" s="463" t="s">
        <v>821</v>
      </c>
      <c r="U258" s="463" t="s">
        <v>26</v>
      </c>
      <c r="V258" s="636">
        <v>12</v>
      </c>
      <c r="W258" s="636" t="s">
        <v>825</v>
      </c>
      <c r="X258" s="455"/>
      <c r="Y258" s="682"/>
      <c r="Z258" s="660"/>
      <c r="AA258" s="683" t="s">
        <v>826</v>
      </c>
      <c r="AB258" s="636" t="s">
        <v>838</v>
      </c>
      <c r="AC258" s="636"/>
      <c r="AD258" s="636">
        <f>S258*V258</f>
        <v>600000</v>
      </c>
      <c r="AE258" s="150" t="s">
        <v>25</v>
      </c>
      <c r="AF258" s="5"/>
    </row>
    <row r="259" spans="1:32" s="14" customFormat="1" ht="21" customHeight="1">
      <c r="A259" s="47"/>
      <c r="B259" s="47"/>
      <c r="C259" s="47"/>
      <c r="D259" s="173"/>
      <c r="E259" s="119"/>
      <c r="F259" s="119"/>
      <c r="G259" s="119"/>
      <c r="H259" s="119"/>
      <c r="I259" s="119"/>
      <c r="J259" s="119"/>
      <c r="K259" s="119"/>
      <c r="L259" s="119"/>
      <c r="M259" s="119"/>
      <c r="N259" s="71"/>
      <c r="O259" s="637" t="s">
        <v>895</v>
      </c>
      <c r="P259" s="637"/>
      <c r="Q259" s="637"/>
      <c r="R259" s="637"/>
      <c r="S259" s="636">
        <v>200000</v>
      </c>
      <c r="T259" s="463" t="s">
        <v>794</v>
      </c>
      <c r="U259" s="463" t="s">
        <v>26</v>
      </c>
      <c r="V259" s="636">
        <v>12</v>
      </c>
      <c r="W259" s="636" t="s">
        <v>859</v>
      </c>
      <c r="X259" s="455"/>
      <c r="Y259" s="682"/>
      <c r="Z259" s="660"/>
      <c r="AA259" s="683" t="s">
        <v>797</v>
      </c>
      <c r="AB259" s="636" t="s">
        <v>807</v>
      </c>
      <c r="AC259" s="636"/>
      <c r="AD259" s="636">
        <f>S259*V259</f>
        <v>2400000</v>
      </c>
      <c r="AE259" s="150" t="s">
        <v>25</v>
      </c>
      <c r="AF259" s="5"/>
    </row>
    <row r="260" spans="1:32" s="14" customFormat="1" ht="21" customHeight="1">
      <c r="A260" s="47"/>
      <c r="B260" s="47"/>
      <c r="C260" s="47"/>
      <c r="D260" s="173"/>
      <c r="E260" s="119"/>
      <c r="F260" s="119"/>
      <c r="G260" s="119"/>
      <c r="H260" s="119"/>
      <c r="I260" s="119"/>
      <c r="J260" s="119"/>
      <c r="K260" s="119"/>
      <c r="L260" s="119"/>
      <c r="M260" s="119"/>
      <c r="N260" s="71"/>
      <c r="O260" s="637" t="s">
        <v>896</v>
      </c>
      <c r="P260" s="637"/>
      <c r="Q260" s="637"/>
      <c r="R260" s="637"/>
      <c r="S260" s="636">
        <v>20000</v>
      </c>
      <c r="T260" s="636" t="s">
        <v>794</v>
      </c>
      <c r="U260" s="637" t="s">
        <v>795</v>
      </c>
      <c r="V260" s="636">
        <v>54</v>
      </c>
      <c r="W260" s="636" t="s">
        <v>796</v>
      </c>
      <c r="X260" s="637" t="s">
        <v>795</v>
      </c>
      <c r="Y260" s="464">
        <v>1</v>
      </c>
      <c r="Z260" s="455" t="s">
        <v>801</v>
      </c>
      <c r="AA260" s="455" t="s">
        <v>797</v>
      </c>
      <c r="AB260" s="636" t="s">
        <v>807</v>
      </c>
      <c r="AC260" s="149"/>
      <c r="AD260" s="636">
        <f>S260*V260*Y260</f>
        <v>1080000</v>
      </c>
      <c r="AE260" s="150" t="s">
        <v>794</v>
      </c>
      <c r="AF260" s="5"/>
    </row>
    <row r="261" spans="1:32" s="14" customFormat="1" ht="21" customHeight="1">
      <c r="A261" s="47"/>
      <c r="B261" s="47"/>
      <c r="C261" s="47"/>
      <c r="D261" s="173"/>
      <c r="E261" s="119"/>
      <c r="F261" s="119"/>
      <c r="G261" s="119"/>
      <c r="H261" s="119"/>
      <c r="I261" s="119"/>
      <c r="J261" s="119"/>
      <c r="K261" s="119"/>
      <c r="L261" s="119"/>
      <c r="M261" s="119"/>
      <c r="N261" s="71"/>
      <c r="O261" s="637" t="s">
        <v>897</v>
      </c>
      <c r="P261" s="637"/>
      <c r="Q261" s="637"/>
      <c r="R261" s="637"/>
      <c r="S261" s="636">
        <v>500</v>
      </c>
      <c r="T261" s="636" t="s">
        <v>794</v>
      </c>
      <c r="U261" s="637" t="s">
        <v>795</v>
      </c>
      <c r="V261" s="636">
        <v>150</v>
      </c>
      <c r="W261" s="636" t="s">
        <v>796</v>
      </c>
      <c r="X261" s="637" t="s">
        <v>795</v>
      </c>
      <c r="Y261" s="464">
        <v>2</v>
      </c>
      <c r="Z261" s="455" t="s">
        <v>801</v>
      </c>
      <c r="AA261" s="455" t="s">
        <v>797</v>
      </c>
      <c r="AB261" s="636" t="s">
        <v>807</v>
      </c>
      <c r="AC261" s="149"/>
      <c r="AD261" s="636">
        <f>S261*V261*Y261</f>
        <v>150000</v>
      </c>
      <c r="AE261" s="150" t="s">
        <v>794</v>
      </c>
      <c r="AF261" s="5"/>
    </row>
    <row r="262" spans="1:32" s="14" customFormat="1" ht="21" customHeight="1">
      <c r="A262" s="47"/>
      <c r="B262" s="47"/>
      <c r="C262" s="47"/>
      <c r="D262" s="173"/>
      <c r="E262" s="119"/>
      <c r="F262" s="119"/>
      <c r="G262" s="119"/>
      <c r="H262" s="119"/>
      <c r="I262" s="119"/>
      <c r="J262" s="119"/>
      <c r="K262" s="119"/>
      <c r="L262" s="119"/>
      <c r="M262" s="119"/>
      <c r="N262" s="71"/>
      <c r="O262" s="637" t="s">
        <v>898</v>
      </c>
      <c r="P262" s="637"/>
      <c r="Q262" s="637"/>
      <c r="R262" s="637"/>
      <c r="S262" s="636"/>
      <c r="T262" s="636"/>
      <c r="U262" s="637"/>
      <c r="V262" s="636"/>
      <c r="W262" s="636"/>
      <c r="X262" s="637"/>
      <c r="Y262" s="682"/>
      <c r="Z262" s="660"/>
      <c r="AA262" s="684"/>
      <c r="AB262" s="636" t="s">
        <v>807</v>
      </c>
      <c r="AC262" s="636"/>
      <c r="AD262" s="636">
        <v>200000</v>
      </c>
      <c r="AE262" s="150" t="s">
        <v>794</v>
      </c>
      <c r="AF262" s="5"/>
    </row>
    <row r="263" spans="1:32" s="11" customFormat="1" ht="21" customHeight="1">
      <c r="A263" s="47"/>
      <c r="B263" s="47"/>
      <c r="C263" s="60"/>
      <c r="D263" s="174"/>
      <c r="E263" s="180"/>
      <c r="F263" s="180"/>
      <c r="G263" s="180"/>
      <c r="H263" s="180"/>
      <c r="I263" s="180"/>
      <c r="J263" s="180"/>
      <c r="K263" s="180"/>
      <c r="L263" s="180"/>
      <c r="M263" s="146"/>
      <c r="N263" s="91"/>
      <c r="O263" s="685"/>
      <c r="P263" s="685"/>
      <c r="Q263" s="685"/>
      <c r="R263" s="685"/>
      <c r="S263" s="685"/>
      <c r="T263" s="147"/>
      <c r="U263" s="636"/>
      <c r="V263" s="455"/>
      <c r="W263" s="636"/>
      <c r="X263" s="636"/>
      <c r="Y263" s="636"/>
      <c r="Z263" s="636"/>
      <c r="AA263" s="636"/>
      <c r="AB263" s="636"/>
      <c r="AC263" s="636"/>
      <c r="AD263" s="636"/>
      <c r="AE263" s="150"/>
      <c r="AF263" s="1"/>
    </row>
    <row r="264" spans="1:32" s="11" customFormat="1" ht="21" customHeight="1">
      <c r="A264" s="47"/>
      <c r="B264" s="47"/>
      <c r="C264" s="47" t="s">
        <v>96</v>
      </c>
      <c r="D264" s="143">
        <v>20132</v>
      </c>
      <c r="E264" s="119">
        <f>ROUND(AD264/1000,0)</f>
        <v>23132</v>
      </c>
      <c r="F264" s="119">
        <f>SUM(AD265:AD267)/1000</f>
        <v>18132</v>
      </c>
      <c r="G264" s="119">
        <v>0</v>
      </c>
      <c r="H264" s="119">
        <v>0</v>
      </c>
      <c r="I264" s="119">
        <f>SUM(AD268:AD269)/1000</f>
        <v>5000</v>
      </c>
      <c r="J264" s="119">
        <v>0</v>
      </c>
      <c r="K264" s="119">
        <v>0</v>
      </c>
      <c r="L264" s="119">
        <v>0</v>
      </c>
      <c r="M264" s="119">
        <f>E264-D264</f>
        <v>3000</v>
      </c>
      <c r="N264" s="71">
        <f>IF(D264=0,0,M264/D264)</f>
        <v>0.14901649115835486</v>
      </c>
      <c r="O264" s="106" t="s">
        <v>101</v>
      </c>
      <c r="P264" s="102"/>
      <c r="Q264" s="102"/>
      <c r="R264" s="102"/>
      <c r="S264" s="102"/>
      <c r="T264" s="96"/>
      <c r="U264" s="96"/>
      <c r="V264" s="96"/>
      <c r="W264" s="96"/>
      <c r="X264" s="96"/>
      <c r="Y264" s="191" t="s">
        <v>164</v>
      </c>
      <c r="Z264" s="191"/>
      <c r="AA264" s="191"/>
      <c r="AB264" s="191"/>
      <c r="AC264" s="193"/>
      <c r="AD264" s="193">
        <f>SUM(AD265:AD269)</f>
        <v>23132000</v>
      </c>
      <c r="AE264" s="192" t="s">
        <v>25</v>
      </c>
      <c r="AF264" s="1"/>
    </row>
    <row r="265" spans="1:32" s="11" customFormat="1" ht="21" customHeight="1">
      <c r="A265" s="47"/>
      <c r="B265" s="47"/>
      <c r="C265" s="47"/>
      <c r="D265" s="173"/>
      <c r="E265" s="119"/>
      <c r="F265" s="119"/>
      <c r="G265" s="119"/>
      <c r="H265" s="119"/>
      <c r="I265" s="119"/>
      <c r="J265" s="119"/>
      <c r="K265" s="119"/>
      <c r="L265" s="119"/>
      <c r="M265" s="119"/>
      <c r="N265" s="71"/>
      <c r="O265" s="637" t="s">
        <v>899</v>
      </c>
      <c r="P265" s="637"/>
      <c r="Q265" s="637"/>
      <c r="R265" s="637"/>
      <c r="S265" s="636">
        <v>1100000</v>
      </c>
      <c r="T265" s="463" t="s">
        <v>821</v>
      </c>
      <c r="U265" s="463" t="s">
        <v>26</v>
      </c>
      <c r="V265" s="636">
        <v>12</v>
      </c>
      <c r="W265" s="636" t="s">
        <v>825</v>
      </c>
      <c r="X265" s="455"/>
      <c r="Y265" s="682"/>
      <c r="Z265" s="660"/>
      <c r="AA265" s="683" t="s">
        <v>826</v>
      </c>
      <c r="AB265" s="636" t="s">
        <v>832</v>
      </c>
      <c r="AC265" s="636"/>
      <c r="AD265" s="636">
        <f>S265*V265</f>
        <v>13200000</v>
      </c>
      <c r="AE265" s="150" t="s">
        <v>25</v>
      </c>
      <c r="AF265" s="1"/>
    </row>
    <row r="266" spans="1:32" s="11" customFormat="1" ht="21" customHeight="1">
      <c r="A266" s="47"/>
      <c r="B266" s="47"/>
      <c r="C266" s="47"/>
      <c r="D266" s="173"/>
      <c r="E266" s="119"/>
      <c r="F266" s="119"/>
      <c r="G266" s="119"/>
      <c r="H266" s="119"/>
      <c r="I266" s="119"/>
      <c r="J266" s="119"/>
      <c r="K266" s="119"/>
      <c r="L266" s="119"/>
      <c r="M266" s="119"/>
      <c r="N266" s="71"/>
      <c r="O266" s="637" t="s">
        <v>900</v>
      </c>
      <c r="P266" s="637"/>
      <c r="Q266" s="637"/>
      <c r="R266" s="637"/>
      <c r="S266" s="636">
        <v>400000</v>
      </c>
      <c r="T266" s="463" t="s">
        <v>25</v>
      </c>
      <c r="U266" s="637" t="s">
        <v>26</v>
      </c>
      <c r="V266" s="636">
        <v>12</v>
      </c>
      <c r="W266" s="637" t="s">
        <v>29</v>
      </c>
      <c r="X266" s="636"/>
      <c r="Y266" s="636"/>
      <c r="Z266" s="636"/>
      <c r="AA266" s="636" t="s">
        <v>27</v>
      </c>
      <c r="AB266" s="636" t="s">
        <v>832</v>
      </c>
      <c r="AC266" s="636"/>
      <c r="AD266" s="636">
        <f>S266*V266</f>
        <v>4800000</v>
      </c>
      <c r="AE266" s="150" t="s">
        <v>821</v>
      </c>
      <c r="AF266" s="1"/>
    </row>
    <row r="267" spans="1:32" s="11" customFormat="1" ht="21" customHeight="1">
      <c r="A267" s="47"/>
      <c r="B267" s="47"/>
      <c r="C267" s="47"/>
      <c r="D267" s="173"/>
      <c r="E267" s="119"/>
      <c r="F267" s="119"/>
      <c r="G267" s="119"/>
      <c r="H267" s="119"/>
      <c r="I267" s="119"/>
      <c r="J267" s="119"/>
      <c r="K267" s="119"/>
      <c r="L267" s="119"/>
      <c r="M267" s="119"/>
      <c r="N267" s="71"/>
      <c r="O267" s="637" t="s">
        <v>901</v>
      </c>
      <c r="P267" s="637"/>
      <c r="Q267" s="637"/>
      <c r="R267" s="637"/>
      <c r="S267" s="636">
        <v>11000</v>
      </c>
      <c r="T267" s="463" t="s">
        <v>25</v>
      </c>
      <c r="U267" s="637" t="s">
        <v>26</v>
      </c>
      <c r="V267" s="636">
        <v>12</v>
      </c>
      <c r="W267" s="637" t="s">
        <v>29</v>
      </c>
      <c r="X267" s="636"/>
      <c r="Y267" s="636"/>
      <c r="Z267" s="636"/>
      <c r="AA267" s="636" t="s">
        <v>27</v>
      </c>
      <c r="AB267" s="636" t="s">
        <v>809</v>
      </c>
      <c r="AC267" s="636"/>
      <c r="AD267" s="636">
        <f>S267*V267</f>
        <v>132000</v>
      </c>
      <c r="AE267" s="150" t="s">
        <v>794</v>
      </c>
      <c r="AF267" s="1"/>
    </row>
    <row r="268" spans="1:32" s="11" customFormat="1" ht="21" customHeight="1">
      <c r="A268" s="47"/>
      <c r="B268" s="47"/>
      <c r="C268" s="47"/>
      <c r="D268" s="173"/>
      <c r="E268" s="119"/>
      <c r="F268" s="119"/>
      <c r="G268" s="119"/>
      <c r="H268" s="119"/>
      <c r="I268" s="119"/>
      <c r="J268" s="119"/>
      <c r="K268" s="119"/>
      <c r="L268" s="119"/>
      <c r="M268" s="119"/>
      <c r="N268" s="71"/>
      <c r="O268" s="637" t="s">
        <v>902</v>
      </c>
      <c r="P268" s="637"/>
      <c r="Q268" s="637"/>
      <c r="R268" s="637"/>
      <c r="S268" s="636"/>
      <c r="T268" s="463"/>
      <c r="U268" s="637"/>
      <c r="V268" s="636"/>
      <c r="W268" s="637"/>
      <c r="X268" s="636"/>
      <c r="Y268" s="636"/>
      <c r="Z268" s="636"/>
      <c r="AA268" s="636"/>
      <c r="AB268" s="636" t="s">
        <v>903</v>
      </c>
      <c r="AC268" s="636"/>
      <c r="AD268" s="636">
        <v>3000000</v>
      </c>
      <c r="AE268" s="150" t="s">
        <v>794</v>
      </c>
      <c r="AF268" s="1"/>
    </row>
    <row r="269" spans="1:32" s="11" customFormat="1" ht="21" customHeight="1">
      <c r="A269" s="47"/>
      <c r="B269" s="47"/>
      <c r="C269" s="47"/>
      <c r="D269" s="173"/>
      <c r="E269" s="119"/>
      <c r="F269" s="119"/>
      <c r="G269" s="119"/>
      <c r="H269" s="119"/>
      <c r="I269" s="119"/>
      <c r="J269" s="119"/>
      <c r="K269" s="119"/>
      <c r="L269" s="119"/>
      <c r="M269" s="119"/>
      <c r="N269" s="71"/>
      <c r="O269" s="637" t="s">
        <v>904</v>
      </c>
      <c r="P269" s="637"/>
      <c r="Q269" s="637"/>
      <c r="R269" s="637"/>
      <c r="S269" s="636"/>
      <c r="T269" s="463"/>
      <c r="U269" s="637"/>
      <c r="V269" s="636"/>
      <c r="W269" s="637"/>
      <c r="X269" s="636"/>
      <c r="Y269" s="636"/>
      <c r="Z269" s="636"/>
      <c r="AA269" s="636"/>
      <c r="AB269" s="636" t="s">
        <v>807</v>
      </c>
      <c r="AC269" s="636"/>
      <c r="AD269" s="636">
        <v>2000000</v>
      </c>
      <c r="AE269" s="150" t="s">
        <v>794</v>
      </c>
      <c r="AF269" s="1"/>
    </row>
    <row r="270" spans="1:32" s="11" customFormat="1" ht="21" customHeight="1">
      <c r="A270" s="47"/>
      <c r="B270" s="47"/>
      <c r="C270" s="47"/>
      <c r="D270" s="173"/>
      <c r="E270" s="119"/>
      <c r="F270" s="119"/>
      <c r="G270" s="119"/>
      <c r="H270" s="119"/>
      <c r="I270" s="119"/>
      <c r="J270" s="119"/>
      <c r="K270" s="119"/>
      <c r="L270" s="119"/>
      <c r="M270" s="119"/>
      <c r="N270" s="71"/>
      <c r="O270" s="637"/>
      <c r="P270" s="637"/>
      <c r="Q270" s="637"/>
      <c r="R270" s="637"/>
      <c r="S270" s="636"/>
      <c r="T270" s="463"/>
      <c r="U270" s="637"/>
      <c r="V270" s="636"/>
      <c r="W270" s="637"/>
      <c r="X270" s="636"/>
      <c r="Y270" s="636"/>
      <c r="Z270" s="636"/>
      <c r="AA270" s="636"/>
      <c r="AB270" s="636"/>
      <c r="AC270" s="636"/>
      <c r="AD270" s="636"/>
      <c r="AE270" s="150"/>
      <c r="AF270" s="1"/>
    </row>
    <row r="271" spans="1:32" s="11" customFormat="1" ht="21" customHeight="1">
      <c r="A271" s="47"/>
      <c r="B271" s="37" t="s">
        <v>102</v>
      </c>
      <c r="C271" s="187" t="s">
        <v>169</v>
      </c>
      <c r="D271" s="188">
        <f>D272</f>
        <v>96397</v>
      </c>
      <c r="E271" s="188">
        <f>E272</f>
        <v>115167.4</v>
      </c>
      <c r="F271" s="188">
        <f t="shared" ref="F271:L271" si="11">F272</f>
        <v>0</v>
      </c>
      <c r="G271" s="188">
        <f t="shared" si="11"/>
        <v>9640</v>
      </c>
      <c r="H271" s="188">
        <f t="shared" si="11"/>
        <v>0</v>
      </c>
      <c r="I271" s="188">
        <f t="shared" si="11"/>
        <v>36810.400000000001</v>
      </c>
      <c r="J271" s="188">
        <f t="shared" si="11"/>
        <v>53597</v>
      </c>
      <c r="K271" s="188">
        <f t="shared" si="11"/>
        <v>15000</v>
      </c>
      <c r="L271" s="188">
        <f t="shared" si="11"/>
        <v>120</v>
      </c>
      <c r="M271" s="188">
        <f>E271-D271</f>
        <v>18770.399999999994</v>
      </c>
      <c r="N271" s="189">
        <f>IF(D271=0,0,M271/D271)</f>
        <v>0.19471975268939898</v>
      </c>
      <c r="O271" s="190"/>
      <c r="P271" s="190"/>
      <c r="Q271" s="190"/>
      <c r="R271" s="190"/>
      <c r="S271" s="190"/>
      <c r="T271" s="191"/>
      <c r="U271" s="191"/>
      <c r="V271" s="191"/>
      <c r="W271" s="191"/>
      <c r="X271" s="191"/>
      <c r="Y271" s="191" t="s">
        <v>28</v>
      </c>
      <c r="Z271" s="191"/>
      <c r="AA271" s="191"/>
      <c r="AB271" s="191"/>
      <c r="AC271" s="193"/>
      <c r="AD271" s="193">
        <f>AD272</f>
        <v>115167400</v>
      </c>
      <c r="AE271" s="192" t="s">
        <v>25</v>
      </c>
      <c r="AF271" s="1"/>
    </row>
    <row r="272" spans="1:32" s="11" customFormat="1" ht="26.25" customHeight="1">
      <c r="A272" s="47"/>
      <c r="B272" s="47" t="s">
        <v>149</v>
      </c>
      <c r="C272" s="47" t="s">
        <v>148</v>
      </c>
      <c r="D272" s="173">
        <v>96397</v>
      </c>
      <c r="E272" s="124">
        <f>AD272/1000</f>
        <v>115167.4</v>
      </c>
      <c r="F272" s="124">
        <f>ROUND(SUM(AD273),-3)/1000</f>
        <v>0</v>
      </c>
      <c r="G272" s="124">
        <f>SUM(AD288,AD292,AD305,AD309)/1000</f>
        <v>9640</v>
      </c>
      <c r="H272" s="124">
        <v>0</v>
      </c>
      <c r="I272" s="124">
        <f>SUM(AD274,AD279,AD290:AD291,AD294:AD296,AD303:AD304,AD306:AD308,AD310,AD318,AD325,AD336,AD339:AD340,AD347,AD349:AD350,AD353:AD356,AD360)/1000</f>
        <v>36810.400000000001</v>
      </c>
      <c r="J272" s="124">
        <f>SUM(AD289,AD293,AD298,AD311:AD316,AD335,AD343,AD348,AD358)/1000</f>
        <v>53597</v>
      </c>
      <c r="K272" s="124">
        <v>15000</v>
      </c>
      <c r="L272" s="124">
        <v>120</v>
      </c>
      <c r="M272" s="124">
        <f>E272-D272</f>
        <v>18770.399999999994</v>
      </c>
      <c r="N272" s="132">
        <f>IF(D272=0,0,M272/D272)</f>
        <v>0.19471975268939898</v>
      </c>
      <c r="O272" s="108" t="s">
        <v>150</v>
      </c>
      <c r="P272" s="127"/>
      <c r="Q272" s="33"/>
      <c r="R272" s="31"/>
      <c r="S272" s="31"/>
      <c r="T272" s="31"/>
      <c r="U272" s="31"/>
      <c r="V272" s="31"/>
      <c r="W272" s="207"/>
      <c r="X272" s="207"/>
      <c r="Y272" s="191" t="s">
        <v>164</v>
      </c>
      <c r="Z272" s="109"/>
      <c r="AA272" s="109"/>
      <c r="AB272" s="109"/>
      <c r="AC272" s="129"/>
      <c r="AD272" s="129">
        <f>SUM(AD274,AD279,AD287,AD298,AD302,AD318,AD325,AD334,AD338,AD343,AD346,AD352,AD360)</f>
        <v>115167400</v>
      </c>
      <c r="AE272" s="130" t="s">
        <v>25</v>
      </c>
      <c r="AF272" s="1"/>
    </row>
    <row r="273" spans="1:33" s="15" customFormat="1" ht="24" customHeight="1">
      <c r="A273" s="47"/>
      <c r="B273" s="47"/>
      <c r="C273" s="47" t="s">
        <v>149</v>
      </c>
      <c r="D273" s="176"/>
      <c r="E273" s="119"/>
      <c r="F273" s="119"/>
      <c r="G273" s="119"/>
      <c r="H273" s="119"/>
      <c r="I273" s="119"/>
      <c r="J273" s="119"/>
      <c r="K273" s="119"/>
      <c r="L273" s="119"/>
      <c r="M273" s="119"/>
      <c r="N273" s="71"/>
      <c r="O273" s="199"/>
      <c r="P273" s="51"/>
      <c r="Q273" s="51"/>
      <c r="R273" s="51"/>
      <c r="S273" s="51"/>
      <c r="T273" s="52"/>
      <c r="U273" s="52"/>
      <c r="V273" s="52"/>
      <c r="W273" s="52"/>
      <c r="X273" s="52"/>
      <c r="Y273" s="148"/>
      <c r="Z273" s="148"/>
      <c r="AA273" s="148"/>
      <c r="AB273" s="148"/>
      <c r="AC273" s="149"/>
      <c r="AD273" s="149"/>
      <c r="AE273" s="58"/>
      <c r="AF273" s="16"/>
    </row>
    <row r="274" spans="1:33" s="15" customFormat="1" ht="24" customHeight="1">
      <c r="A274" s="47"/>
      <c r="B274" s="47"/>
      <c r="C274" s="47"/>
      <c r="D274" s="176"/>
      <c r="E274" s="119"/>
      <c r="F274" s="119"/>
      <c r="G274" s="119"/>
      <c r="H274" s="119"/>
      <c r="I274" s="119"/>
      <c r="J274" s="119"/>
      <c r="K274" s="119"/>
      <c r="L274" s="119"/>
      <c r="M274" s="119"/>
      <c r="N274" s="71"/>
      <c r="O274" s="72" t="s">
        <v>152</v>
      </c>
      <c r="P274" s="195"/>
      <c r="Q274" s="199"/>
      <c r="R274" s="199"/>
      <c r="S274" s="199"/>
      <c r="T274" s="198"/>
      <c r="U274" s="198"/>
      <c r="V274" s="198"/>
      <c r="W274" s="194" t="s">
        <v>157</v>
      </c>
      <c r="X274" s="194"/>
      <c r="Y274" s="194"/>
      <c r="Z274" s="194"/>
      <c r="AA274" s="194"/>
      <c r="AB274" s="194"/>
      <c r="AC274" s="73"/>
      <c r="AD274" s="73">
        <f>SUM(AD275:AD277)</f>
        <v>1000000</v>
      </c>
      <c r="AE274" s="74" t="s">
        <v>25</v>
      </c>
      <c r="AF274" s="16"/>
    </row>
    <row r="275" spans="1:33" s="15" customFormat="1" ht="24" customHeight="1">
      <c r="A275" s="47"/>
      <c r="B275" s="47"/>
      <c r="C275" s="47"/>
      <c r="D275" s="176"/>
      <c r="E275" s="119"/>
      <c r="F275" s="119"/>
      <c r="G275" s="119"/>
      <c r="H275" s="119"/>
      <c r="I275" s="119"/>
      <c r="J275" s="119"/>
      <c r="K275" s="119"/>
      <c r="L275" s="119"/>
      <c r="M275" s="119"/>
      <c r="N275" s="71"/>
      <c r="O275" s="637" t="s">
        <v>677</v>
      </c>
      <c r="P275" s="637"/>
      <c r="Q275" s="637"/>
      <c r="R275" s="637"/>
      <c r="S275" s="637"/>
      <c r="T275" s="636"/>
      <c r="U275" s="636"/>
      <c r="V275" s="636"/>
      <c r="W275" s="636"/>
      <c r="X275" s="636"/>
      <c r="Y275" s="636"/>
      <c r="Z275" s="636"/>
      <c r="AA275" s="636"/>
      <c r="AB275" s="636" t="s">
        <v>180</v>
      </c>
      <c r="AC275" s="149"/>
      <c r="AD275" s="149">
        <v>500000</v>
      </c>
      <c r="AE275" s="150" t="s">
        <v>57</v>
      </c>
      <c r="AF275" s="16"/>
    </row>
    <row r="276" spans="1:33" s="15" customFormat="1" ht="24" customHeight="1">
      <c r="A276" s="47"/>
      <c r="B276" s="47"/>
      <c r="C276" s="47"/>
      <c r="D276" s="173"/>
      <c r="E276" s="119"/>
      <c r="F276" s="119"/>
      <c r="G276" s="119"/>
      <c r="H276" s="119"/>
      <c r="I276" s="119"/>
      <c r="J276" s="119"/>
      <c r="K276" s="119"/>
      <c r="L276" s="119"/>
      <c r="M276" s="119"/>
      <c r="N276" s="71"/>
      <c r="O276" s="637" t="s">
        <v>678</v>
      </c>
      <c r="P276" s="637"/>
      <c r="Q276" s="637"/>
      <c r="R276" s="637"/>
      <c r="S276" s="636"/>
      <c r="T276" s="636"/>
      <c r="U276" s="637"/>
      <c r="V276" s="636"/>
      <c r="W276" s="636"/>
      <c r="X276" s="636"/>
      <c r="Y276" s="636"/>
      <c r="Z276" s="636"/>
      <c r="AA276" s="636"/>
      <c r="AB276" s="636" t="s">
        <v>180</v>
      </c>
      <c r="AC276" s="636"/>
      <c r="AD276" s="636">
        <v>400000</v>
      </c>
      <c r="AE276" s="150" t="s">
        <v>25</v>
      </c>
      <c r="AF276" s="16"/>
    </row>
    <row r="277" spans="1:33" s="15" customFormat="1" ht="24" customHeight="1">
      <c r="A277" s="47"/>
      <c r="B277" s="47"/>
      <c r="C277" s="47"/>
      <c r="D277" s="173"/>
      <c r="E277" s="119"/>
      <c r="F277" s="119"/>
      <c r="G277" s="119"/>
      <c r="H277" s="119"/>
      <c r="I277" s="119"/>
      <c r="J277" s="119"/>
      <c r="K277" s="119"/>
      <c r="L277" s="119"/>
      <c r="M277" s="119"/>
      <c r="N277" s="71"/>
      <c r="O277" s="637" t="s">
        <v>686</v>
      </c>
      <c r="P277" s="637"/>
      <c r="Q277" s="637"/>
      <c r="R277" s="637"/>
      <c r="S277" s="636">
        <v>20000</v>
      </c>
      <c r="T277" s="463" t="s">
        <v>57</v>
      </c>
      <c r="U277" s="463" t="s">
        <v>26</v>
      </c>
      <c r="V277" s="636">
        <v>5</v>
      </c>
      <c r="W277" s="637" t="s">
        <v>75</v>
      </c>
      <c r="X277" s="636" t="s">
        <v>27</v>
      </c>
      <c r="Y277" s="686"/>
      <c r="Z277" s="686"/>
      <c r="AA277" s="686"/>
      <c r="AB277" s="686" t="s">
        <v>180</v>
      </c>
      <c r="AC277" s="686"/>
      <c r="AD277" s="687">
        <f>S277*V277</f>
        <v>100000</v>
      </c>
      <c r="AE277" s="688" t="s">
        <v>57</v>
      </c>
      <c r="AF277" s="16"/>
    </row>
    <row r="278" spans="1:33" s="15" customFormat="1" ht="24" customHeight="1">
      <c r="A278" s="47"/>
      <c r="B278" s="47"/>
      <c r="C278" s="47"/>
      <c r="D278" s="173"/>
      <c r="E278" s="119"/>
      <c r="F278" s="119"/>
      <c r="G278" s="119"/>
      <c r="H278" s="119"/>
      <c r="I278" s="119"/>
      <c r="J278" s="119"/>
      <c r="K278" s="119"/>
      <c r="L278" s="119"/>
      <c r="M278" s="119"/>
      <c r="N278" s="71"/>
      <c r="O278" s="637"/>
      <c r="P278" s="637"/>
      <c r="Q278" s="637"/>
      <c r="R278" s="637"/>
      <c r="S278" s="636"/>
      <c r="T278" s="636"/>
      <c r="U278" s="637"/>
      <c r="V278" s="636"/>
      <c r="W278" s="636"/>
      <c r="X278" s="636"/>
      <c r="Y278" s="636"/>
      <c r="Z278" s="636"/>
      <c r="AA278" s="636"/>
      <c r="AB278" s="636"/>
      <c r="AC278" s="636"/>
      <c r="AD278" s="636"/>
      <c r="AE278" s="150"/>
      <c r="AF278" s="16"/>
    </row>
    <row r="279" spans="1:33" s="15" customFormat="1" ht="24" customHeight="1">
      <c r="A279" s="47"/>
      <c r="B279" s="47"/>
      <c r="C279" s="47"/>
      <c r="D279" s="173"/>
      <c r="E279" s="119"/>
      <c r="F279" s="119"/>
      <c r="G279" s="119"/>
      <c r="H279" s="119"/>
      <c r="I279" s="119"/>
      <c r="J279" s="119"/>
      <c r="K279" s="119"/>
      <c r="L279" s="119"/>
      <c r="M279" s="119"/>
      <c r="N279" s="71"/>
      <c r="O279" s="450" t="s">
        <v>154</v>
      </c>
      <c r="P279" s="456"/>
      <c r="Q279" s="675"/>
      <c r="R279" s="670"/>
      <c r="S279" s="670"/>
      <c r="T279" s="670"/>
      <c r="U279" s="670"/>
      <c r="V279" s="670"/>
      <c r="W279" s="666" t="s">
        <v>153</v>
      </c>
      <c r="X279" s="666"/>
      <c r="Y279" s="666"/>
      <c r="Z279" s="666"/>
      <c r="AA279" s="666"/>
      <c r="AB279" s="666"/>
      <c r="AC279" s="689"/>
      <c r="AD279" s="689">
        <f>SUM(AD280:AD285)</f>
        <v>9213400</v>
      </c>
      <c r="AE279" s="674" t="s">
        <v>25</v>
      </c>
      <c r="AF279" s="16"/>
    </row>
    <row r="280" spans="1:33" s="15" customFormat="1" ht="24" customHeight="1">
      <c r="A280" s="47"/>
      <c r="B280" s="47"/>
      <c r="C280" s="47"/>
      <c r="D280" s="176"/>
      <c r="E280" s="119"/>
      <c r="F280" s="119"/>
      <c r="G280" s="119"/>
      <c r="H280" s="119"/>
      <c r="I280" s="119"/>
      <c r="J280" s="119"/>
      <c r="K280" s="119"/>
      <c r="L280" s="119"/>
      <c r="M280" s="119"/>
      <c r="N280" s="71"/>
      <c r="O280" s="637" t="s">
        <v>689</v>
      </c>
      <c r="P280" s="637"/>
      <c r="Q280" s="637"/>
      <c r="R280" s="637"/>
      <c r="S280" s="637"/>
      <c r="T280" s="636"/>
      <c r="U280" s="636"/>
      <c r="V280" s="636"/>
      <c r="W280" s="636"/>
      <c r="X280" s="636"/>
      <c r="Y280" s="636"/>
      <c r="Z280" s="636"/>
      <c r="AA280" s="636"/>
      <c r="AB280" s="636" t="s">
        <v>180</v>
      </c>
      <c r="AC280" s="149"/>
      <c r="AD280" s="149">
        <v>610200</v>
      </c>
      <c r="AE280" s="150" t="s">
        <v>25</v>
      </c>
      <c r="AF280" s="16"/>
    </row>
    <row r="281" spans="1:33" s="15" customFormat="1" ht="24" customHeight="1">
      <c r="A281" s="47"/>
      <c r="B281" s="47"/>
      <c r="C281" s="47"/>
      <c r="D281" s="176"/>
      <c r="E281" s="119"/>
      <c r="F281" s="119"/>
      <c r="G281" s="119"/>
      <c r="H281" s="119"/>
      <c r="I281" s="119"/>
      <c r="J281" s="119"/>
      <c r="K281" s="119"/>
      <c r="L281" s="119"/>
      <c r="M281" s="119"/>
      <c r="N281" s="71"/>
      <c r="O281" s="637" t="s">
        <v>690</v>
      </c>
      <c r="P281" s="637"/>
      <c r="Q281" s="637"/>
      <c r="R281" s="637"/>
      <c r="S281" s="637"/>
      <c r="T281" s="636"/>
      <c r="U281" s="636"/>
      <c r="V281" s="636"/>
      <c r="W281" s="636"/>
      <c r="X281" s="636"/>
      <c r="Y281" s="636"/>
      <c r="Z281" s="636"/>
      <c r="AA281" s="636"/>
      <c r="AB281" s="636" t="s">
        <v>180</v>
      </c>
      <c r="AC281" s="149"/>
      <c r="AD281" s="149">
        <v>610200</v>
      </c>
      <c r="AE281" s="150" t="s">
        <v>57</v>
      </c>
      <c r="AF281" s="16"/>
      <c r="AG281" s="16"/>
    </row>
    <row r="282" spans="1:33" s="15" customFormat="1" ht="24" customHeight="1">
      <c r="A282" s="47"/>
      <c r="B282" s="47"/>
      <c r="C282" s="47"/>
      <c r="D282" s="176"/>
      <c r="E282" s="119"/>
      <c r="F282" s="119"/>
      <c r="G282" s="119"/>
      <c r="H282" s="119"/>
      <c r="I282" s="119"/>
      <c r="J282" s="119"/>
      <c r="K282" s="119"/>
      <c r="L282" s="119"/>
      <c r="M282" s="119"/>
      <c r="N282" s="71"/>
      <c r="O282" s="637" t="s">
        <v>691</v>
      </c>
      <c r="P282" s="637"/>
      <c r="Q282" s="637"/>
      <c r="R282" s="637"/>
      <c r="S282" s="637"/>
      <c r="T282" s="636"/>
      <c r="U282" s="636"/>
      <c r="V282" s="636"/>
      <c r="W282" s="636"/>
      <c r="X282" s="636"/>
      <c r="Y282" s="636"/>
      <c r="Z282" s="636"/>
      <c r="AA282" s="636"/>
      <c r="AB282" s="636" t="s">
        <v>180</v>
      </c>
      <c r="AC282" s="149"/>
      <c r="AD282" s="149">
        <v>1797000</v>
      </c>
      <c r="AE282" s="150" t="s">
        <v>57</v>
      </c>
      <c r="AF282" s="16"/>
      <c r="AG282" s="16"/>
    </row>
    <row r="283" spans="1:33" s="15" customFormat="1" ht="24" customHeight="1">
      <c r="A283" s="47"/>
      <c r="B283" s="47"/>
      <c r="C283" s="47"/>
      <c r="D283" s="176"/>
      <c r="E283" s="119"/>
      <c r="F283" s="119"/>
      <c r="G283" s="119"/>
      <c r="H283" s="119"/>
      <c r="I283" s="119"/>
      <c r="J283" s="119"/>
      <c r="K283" s="119"/>
      <c r="L283" s="119"/>
      <c r="M283" s="119"/>
      <c r="N283" s="71"/>
      <c r="O283" s="637" t="s">
        <v>692</v>
      </c>
      <c r="P283" s="637"/>
      <c r="Q283" s="637"/>
      <c r="R283" s="637"/>
      <c r="S283" s="637"/>
      <c r="T283" s="636"/>
      <c r="U283" s="636"/>
      <c r="V283" s="636"/>
      <c r="W283" s="636"/>
      <c r="X283" s="636"/>
      <c r="Y283" s="636"/>
      <c r="Z283" s="636"/>
      <c r="AA283" s="636"/>
      <c r="AB283" s="636" t="s">
        <v>180</v>
      </c>
      <c r="AC283" s="149"/>
      <c r="AD283" s="149">
        <v>3409000</v>
      </c>
      <c r="AE283" s="150" t="s">
        <v>57</v>
      </c>
      <c r="AF283" s="16"/>
      <c r="AG283" s="16"/>
    </row>
    <row r="284" spans="1:33" s="15" customFormat="1" ht="24" customHeight="1">
      <c r="A284" s="47"/>
      <c r="B284" s="47"/>
      <c r="C284" s="47"/>
      <c r="D284" s="176"/>
      <c r="E284" s="119"/>
      <c r="F284" s="119"/>
      <c r="G284" s="119"/>
      <c r="H284" s="119"/>
      <c r="I284" s="119"/>
      <c r="J284" s="119"/>
      <c r="K284" s="119"/>
      <c r="L284" s="119"/>
      <c r="M284" s="119"/>
      <c r="N284" s="71"/>
      <c r="O284" s="637" t="s">
        <v>693</v>
      </c>
      <c r="P284" s="637"/>
      <c r="Q284" s="637"/>
      <c r="R284" s="637"/>
      <c r="S284" s="637"/>
      <c r="T284" s="636"/>
      <c r="U284" s="636"/>
      <c r="V284" s="636"/>
      <c r="W284" s="636"/>
      <c r="X284" s="636"/>
      <c r="Y284" s="636"/>
      <c r="Z284" s="636"/>
      <c r="AA284" s="636"/>
      <c r="AB284" s="636" t="s">
        <v>180</v>
      </c>
      <c r="AC284" s="149"/>
      <c r="AD284" s="149">
        <v>1374000</v>
      </c>
      <c r="AE284" s="150" t="s">
        <v>57</v>
      </c>
      <c r="AF284" s="16"/>
      <c r="AG284" s="16"/>
    </row>
    <row r="285" spans="1:33" s="15" customFormat="1" ht="24" customHeight="1">
      <c r="A285" s="47"/>
      <c r="B285" s="47"/>
      <c r="C285" s="47"/>
      <c r="D285" s="176"/>
      <c r="E285" s="119"/>
      <c r="F285" s="119"/>
      <c r="G285" s="119"/>
      <c r="H285" s="119"/>
      <c r="I285" s="119"/>
      <c r="J285" s="119"/>
      <c r="K285" s="119"/>
      <c r="L285" s="119"/>
      <c r="M285" s="119"/>
      <c r="N285" s="71"/>
      <c r="O285" s="637" t="s">
        <v>694</v>
      </c>
      <c r="P285" s="637"/>
      <c r="Q285" s="637"/>
      <c r="R285" s="637"/>
      <c r="S285" s="637"/>
      <c r="T285" s="636"/>
      <c r="U285" s="636"/>
      <c r="V285" s="636"/>
      <c r="W285" s="636"/>
      <c r="X285" s="636"/>
      <c r="Y285" s="636"/>
      <c r="Z285" s="636"/>
      <c r="AA285" s="636"/>
      <c r="AB285" s="636" t="s">
        <v>180</v>
      </c>
      <c r="AC285" s="149"/>
      <c r="AD285" s="149">
        <v>1413000</v>
      </c>
      <c r="AE285" s="150" t="s">
        <v>57</v>
      </c>
      <c r="AF285" s="16"/>
      <c r="AG285" s="16"/>
    </row>
    <row r="286" spans="1:33" s="15" customFormat="1" ht="24" customHeight="1">
      <c r="A286" s="47"/>
      <c r="B286" s="47"/>
      <c r="C286" s="47"/>
      <c r="D286" s="176"/>
      <c r="E286" s="119"/>
      <c r="F286" s="119"/>
      <c r="G286" s="119"/>
      <c r="H286" s="119"/>
      <c r="I286" s="119"/>
      <c r="J286" s="119"/>
      <c r="K286" s="119"/>
      <c r="L286" s="119"/>
      <c r="M286" s="119"/>
      <c r="N286" s="71"/>
      <c r="O286" s="637"/>
      <c r="P286" s="637"/>
      <c r="Q286" s="637"/>
      <c r="R286" s="637"/>
      <c r="S286" s="637"/>
      <c r="T286" s="636"/>
      <c r="U286" s="636"/>
      <c r="V286" s="636"/>
      <c r="W286" s="636"/>
      <c r="X286" s="636"/>
      <c r="Y286" s="636"/>
      <c r="Z286" s="636"/>
      <c r="AA286" s="636"/>
      <c r="AB286" s="636"/>
      <c r="AC286" s="149"/>
      <c r="AD286" s="149"/>
      <c r="AE286" s="150"/>
      <c r="AF286" s="16"/>
      <c r="AG286" s="16"/>
    </row>
    <row r="287" spans="1:33" s="15" customFormat="1" ht="24" customHeight="1">
      <c r="A287" s="47"/>
      <c r="B287" s="47"/>
      <c r="C287" s="47"/>
      <c r="D287" s="176"/>
      <c r="E287" s="119"/>
      <c r="F287" s="119"/>
      <c r="G287" s="119"/>
      <c r="H287" s="119"/>
      <c r="I287" s="119"/>
      <c r="J287" s="119"/>
      <c r="K287" s="119"/>
      <c r="L287" s="119"/>
      <c r="M287" s="119"/>
      <c r="N287" s="71"/>
      <c r="O287" s="450" t="s">
        <v>665</v>
      </c>
      <c r="P287" s="456"/>
      <c r="Q287" s="675"/>
      <c r="R287" s="670"/>
      <c r="S287" s="670"/>
      <c r="T287" s="670"/>
      <c r="U287" s="670"/>
      <c r="V287" s="670"/>
      <c r="W287" s="666" t="s">
        <v>153</v>
      </c>
      <c r="X287" s="666"/>
      <c r="Y287" s="666"/>
      <c r="Z287" s="666"/>
      <c r="AA287" s="666"/>
      <c r="AB287" s="666"/>
      <c r="AC287" s="689"/>
      <c r="AD287" s="689">
        <f>SUM(AD288:AD296)</f>
        <v>19200000</v>
      </c>
      <c r="AE287" s="674" t="s">
        <v>25</v>
      </c>
      <c r="AF287" s="16"/>
      <c r="AG287" s="16"/>
    </row>
    <row r="288" spans="1:33" s="15" customFormat="1" ht="24" customHeight="1">
      <c r="A288" s="47"/>
      <c r="B288" s="47"/>
      <c r="C288" s="47"/>
      <c r="D288" s="176"/>
      <c r="E288" s="119"/>
      <c r="F288" s="119"/>
      <c r="G288" s="119"/>
      <c r="H288" s="119"/>
      <c r="I288" s="119"/>
      <c r="J288" s="119"/>
      <c r="K288" s="119"/>
      <c r="L288" s="119"/>
      <c r="M288" s="119"/>
      <c r="N288" s="71"/>
      <c r="O288" s="637" t="s">
        <v>660</v>
      </c>
      <c r="P288" s="675"/>
      <c r="Q288" s="675"/>
      <c r="R288" s="670"/>
      <c r="S288" s="670"/>
      <c r="T288" s="670"/>
      <c r="U288" s="670"/>
      <c r="V288" s="670"/>
      <c r="W288" s="636"/>
      <c r="X288" s="636"/>
      <c r="Y288" s="636"/>
      <c r="Z288" s="636"/>
      <c r="AA288" s="636"/>
      <c r="AB288" s="636" t="s">
        <v>91</v>
      </c>
      <c r="AC288" s="149"/>
      <c r="AD288" s="149">
        <v>2000000</v>
      </c>
      <c r="AE288" s="150" t="s">
        <v>57</v>
      </c>
      <c r="AF288" s="16"/>
      <c r="AG288" s="16"/>
    </row>
    <row r="289" spans="1:33" s="15" customFormat="1" ht="24" customHeight="1">
      <c r="A289" s="47"/>
      <c r="B289" s="47"/>
      <c r="C289" s="47"/>
      <c r="D289" s="176"/>
      <c r="E289" s="119"/>
      <c r="F289" s="119"/>
      <c r="G289" s="119"/>
      <c r="H289" s="119"/>
      <c r="I289" s="119"/>
      <c r="J289" s="119"/>
      <c r="K289" s="119"/>
      <c r="L289" s="119"/>
      <c r="M289" s="119"/>
      <c r="N289" s="71"/>
      <c r="O289" s="637"/>
      <c r="P289" s="675"/>
      <c r="Q289" s="675"/>
      <c r="R289" s="670"/>
      <c r="S289" s="670"/>
      <c r="T289" s="670"/>
      <c r="U289" s="670"/>
      <c r="V289" s="670"/>
      <c r="W289" s="636"/>
      <c r="X289" s="636"/>
      <c r="Y289" s="636"/>
      <c r="Z289" s="636"/>
      <c r="AA289" s="636"/>
      <c r="AB289" s="697" t="s">
        <v>990</v>
      </c>
      <c r="AC289" s="149"/>
      <c r="AD289" s="149">
        <v>6000000</v>
      </c>
      <c r="AE289" s="150" t="s">
        <v>57</v>
      </c>
      <c r="AF289" s="16"/>
      <c r="AG289" s="16"/>
    </row>
    <row r="290" spans="1:33" s="15" customFormat="1" ht="24" customHeight="1">
      <c r="A290" s="47"/>
      <c r="B290" s="47"/>
      <c r="C290" s="47"/>
      <c r="D290" s="176"/>
      <c r="E290" s="119"/>
      <c r="F290" s="119"/>
      <c r="G290" s="119"/>
      <c r="H290" s="119"/>
      <c r="I290" s="119"/>
      <c r="J290" s="119"/>
      <c r="K290" s="119"/>
      <c r="L290" s="119"/>
      <c r="M290" s="119"/>
      <c r="N290" s="71"/>
      <c r="O290" s="637" t="s">
        <v>698</v>
      </c>
      <c r="P290" s="675"/>
      <c r="Q290" s="675"/>
      <c r="R290" s="670"/>
      <c r="S290" s="670"/>
      <c r="T290" s="670"/>
      <c r="U290" s="670"/>
      <c r="V290" s="670"/>
      <c r="W290" s="636"/>
      <c r="X290" s="636"/>
      <c r="Y290" s="636"/>
      <c r="Z290" s="636"/>
      <c r="AA290" s="636"/>
      <c r="AB290" s="636" t="s">
        <v>180</v>
      </c>
      <c r="AC290" s="149"/>
      <c r="AD290" s="149">
        <v>300000</v>
      </c>
      <c r="AE290" s="150" t="s">
        <v>57</v>
      </c>
      <c r="AF290" s="16"/>
      <c r="AG290" s="16"/>
    </row>
    <row r="291" spans="1:33" s="15" customFormat="1" ht="24" customHeight="1">
      <c r="A291" s="47"/>
      <c r="B291" s="47"/>
      <c r="C291" s="47"/>
      <c r="D291" s="173"/>
      <c r="E291" s="119"/>
      <c r="F291" s="119"/>
      <c r="G291" s="119"/>
      <c r="H291" s="119"/>
      <c r="I291" s="119"/>
      <c r="J291" s="119"/>
      <c r="K291" s="119"/>
      <c r="L291" s="119"/>
      <c r="M291" s="119"/>
      <c r="N291" s="71"/>
      <c r="O291" s="637" t="s">
        <v>699</v>
      </c>
      <c r="P291" s="637"/>
      <c r="Q291" s="637"/>
      <c r="R291" s="637"/>
      <c r="S291" s="636"/>
      <c r="T291" s="636"/>
      <c r="U291" s="637"/>
      <c r="V291" s="636"/>
      <c r="W291" s="636"/>
      <c r="X291" s="636"/>
      <c r="Y291" s="636"/>
      <c r="Z291" s="636"/>
      <c r="AA291" s="636"/>
      <c r="AB291" s="636" t="s">
        <v>180</v>
      </c>
      <c r="AC291" s="636"/>
      <c r="AD291" s="636">
        <v>1200000</v>
      </c>
      <c r="AE291" s="150" t="s">
        <v>25</v>
      </c>
      <c r="AF291" s="16"/>
      <c r="AG291" s="16"/>
    </row>
    <row r="292" spans="1:33" s="15" customFormat="1" ht="24" customHeight="1">
      <c r="A292" s="47"/>
      <c r="B292" s="47"/>
      <c r="C292" s="47"/>
      <c r="D292" s="173"/>
      <c r="E292" s="119"/>
      <c r="F292" s="119"/>
      <c r="G292" s="119"/>
      <c r="H292" s="119"/>
      <c r="I292" s="119"/>
      <c r="J292" s="119"/>
      <c r="K292" s="119"/>
      <c r="L292" s="119"/>
      <c r="M292" s="119"/>
      <c r="N292" s="71"/>
      <c r="O292" s="637" t="s">
        <v>661</v>
      </c>
      <c r="P292" s="637"/>
      <c r="Q292" s="637"/>
      <c r="R292" s="637"/>
      <c r="S292" s="636"/>
      <c r="T292" s="636"/>
      <c r="U292" s="637"/>
      <c r="V292" s="636"/>
      <c r="W292" s="636"/>
      <c r="X292" s="636"/>
      <c r="Y292" s="636"/>
      <c r="Z292" s="636"/>
      <c r="AA292" s="636"/>
      <c r="AB292" s="636" t="s">
        <v>91</v>
      </c>
      <c r="AC292" s="636"/>
      <c r="AD292" s="636">
        <v>2000000</v>
      </c>
      <c r="AE292" s="150" t="s">
        <v>57</v>
      </c>
      <c r="AF292" s="16"/>
    </row>
    <row r="293" spans="1:33" s="15" customFormat="1" ht="24" customHeight="1">
      <c r="A293" s="47"/>
      <c r="B293" s="47"/>
      <c r="C293" s="47"/>
      <c r="D293" s="173"/>
      <c r="E293" s="119"/>
      <c r="F293" s="119"/>
      <c r="G293" s="119"/>
      <c r="H293" s="119"/>
      <c r="I293" s="119"/>
      <c r="J293" s="119"/>
      <c r="K293" s="119"/>
      <c r="L293" s="119"/>
      <c r="M293" s="119"/>
      <c r="N293" s="71"/>
      <c r="O293" s="637"/>
      <c r="P293" s="637"/>
      <c r="Q293" s="637"/>
      <c r="R293" s="637"/>
      <c r="S293" s="636"/>
      <c r="T293" s="636"/>
      <c r="U293" s="637"/>
      <c r="V293" s="636"/>
      <c r="W293" s="636"/>
      <c r="X293" s="636"/>
      <c r="Y293" s="636"/>
      <c r="Z293" s="636"/>
      <c r="AA293" s="636"/>
      <c r="AB293" s="697" t="s">
        <v>543</v>
      </c>
      <c r="AC293" s="636"/>
      <c r="AD293" s="636">
        <v>6000000</v>
      </c>
      <c r="AE293" s="150" t="s">
        <v>57</v>
      </c>
      <c r="AF293" s="16"/>
    </row>
    <row r="294" spans="1:33" s="15" customFormat="1" ht="24" customHeight="1">
      <c r="A294" s="47"/>
      <c r="B294" s="47"/>
      <c r="C294" s="47"/>
      <c r="D294" s="173"/>
      <c r="E294" s="119"/>
      <c r="F294" s="119"/>
      <c r="G294" s="119"/>
      <c r="H294" s="119"/>
      <c r="I294" s="119"/>
      <c r="J294" s="119"/>
      <c r="K294" s="119"/>
      <c r="L294" s="119"/>
      <c r="M294" s="119"/>
      <c r="N294" s="71"/>
      <c r="O294" s="637" t="s">
        <v>700</v>
      </c>
      <c r="P294" s="637"/>
      <c r="Q294" s="637"/>
      <c r="R294" s="637"/>
      <c r="S294" s="637"/>
      <c r="T294" s="636"/>
      <c r="U294" s="636"/>
      <c r="V294" s="636"/>
      <c r="W294" s="636"/>
      <c r="X294" s="636"/>
      <c r="Y294" s="636"/>
      <c r="Z294" s="636"/>
      <c r="AA294" s="636"/>
      <c r="AB294" s="636" t="s">
        <v>180</v>
      </c>
      <c r="AC294" s="149"/>
      <c r="AD294" s="636">
        <v>600000</v>
      </c>
      <c r="AE294" s="150" t="s">
        <v>25</v>
      </c>
      <c r="AF294" s="16"/>
    </row>
    <row r="295" spans="1:33" s="15" customFormat="1" ht="24" customHeight="1">
      <c r="A295" s="47"/>
      <c r="B295" s="47"/>
      <c r="C295" s="47"/>
      <c r="D295" s="173"/>
      <c r="E295" s="119"/>
      <c r="F295" s="119"/>
      <c r="G295" s="119"/>
      <c r="H295" s="119"/>
      <c r="I295" s="119"/>
      <c r="J295" s="119"/>
      <c r="K295" s="119"/>
      <c r="L295" s="119"/>
      <c r="M295" s="119"/>
      <c r="N295" s="71"/>
      <c r="O295" s="637" t="s">
        <v>701</v>
      </c>
      <c r="P295" s="637"/>
      <c r="Q295" s="637"/>
      <c r="R295" s="637"/>
      <c r="S295" s="637"/>
      <c r="T295" s="636"/>
      <c r="U295" s="636"/>
      <c r="V295" s="636"/>
      <c r="W295" s="636"/>
      <c r="X295" s="636"/>
      <c r="Y295" s="636"/>
      <c r="Z295" s="636"/>
      <c r="AA295" s="636"/>
      <c r="AB295" s="636" t="s">
        <v>180</v>
      </c>
      <c r="AC295" s="149"/>
      <c r="AD295" s="636">
        <v>600000</v>
      </c>
      <c r="AE295" s="150" t="s">
        <v>25</v>
      </c>
      <c r="AF295" s="16"/>
    </row>
    <row r="296" spans="1:33" s="15" customFormat="1" ht="24" customHeight="1">
      <c r="A296" s="47"/>
      <c r="B296" s="47"/>
      <c r="C296" s="47"/>
      <c r="D296" s="173"/>
      <c r="E296" s="119"/>
      <c r="F296" s="119"/>
      <c r="G296" s="119"/>
      <c r="H296" s="119"/>
      <c r="I296" s="119"/>
      <c r="J296" s="119"/>
      <c r="K296" s="119"/>
      <c r="L296" s="119"/>
      <c r="M296" s="119"/>
      <c r="N296" s="71"/>
      <c r="O296" s="637" t="s">
        <v>702</v>
      </c>
      <c r="P296" s="637"/>
      <c r="Q296" s="637"/>
      <c r="R296" s="637"/>
      <c r="S296" s="637"/>
      <c r="T296" s="636"/>
      <c r="U296" s="636"/>
      <c r="V296" s="636"/>
      <c r="W296" s="636"/>
      <c r="X296" s="636"/>
      <c r="Y296" s="636"/>
      <c r="Z296" s="636"/>
      <c r="AA296" s="636"/>
      <c r="AB296" s="636" t="s">
        <v>180</v>
      </c>
      <c r="AC296" s="149"/>
      <c r="AD296" s="690">
        <v>500000</v>
      </c>
      <c r="AE296" s="150" t="s">
        <v>25</v>
      </c>
      <c r="AF296" s="16"/>
    </row>
    <row r="297" spans="1:33" s="15" customFormat="1" ht="24" customHeight="1">
      <c r="A297" s="47"/>
      <c r="B297" s="47"/>
      <c r="C297" s="47"/>
      <c r="D297" s="173"/>
      <c r="E297" s="119"/>
      <c r="F297" s="119"/>
      <c r="G297" s="119"/>
      <c r="H297" s="119"/>
      <c r="I297" s="119"/>
      <c r="J297" s="119"/>
      <c r="K297" s="119"/>
      <c r="L297" s="119"/>
      <c r="M297" s="119"/>
      <c r="N297" s="71"/>
      <c r="O297" s="637"/>
      <c r="P297" s="637"/>
      <c r="Q297" s="637"/>
      <c r="R297" s="637"/>
      <c r="S297" s="637"/>
      <c r="T297" s="636"/>
      <c r="U297" s="636"/>
      <c r="V297" s="636"/>
      <c r="W297" s="636"/>
      <c r="X297" s="636"/>
      <c r="Y297" s="636"/>
      <c r="Z297" s="636"/>
      <c r="AA297" s="636"/>
      <c r="AB297" s="636"/>
      <c r="AC297" s="149"/>
      <c r="AD297" s="690"/>
      <c r="AE297" s="150"/>
      <c r="AF297" s="16"/>
    </row>
    <row r="298" spans="1:33" s="15" customFormat="1" ht="24" customHeight="1">
      <c r="A298" s="47"/>
      <c r="B298" s="47"/>
      <c r="C298" s="47"/>
      <c r="D298" s="173"/>
      <c r="E298" s="119"/>
      <c r="F298" s="119"/>
      <c r="G298" s="119"/>
      <c r="H298" s="119"/>
      <c r="I298" s="119"/>
      <c r="J298" s="119"/>
      <c r="K298" s="119"/>
      <c r="L298" s="119"/>
      <c r="M298" s="119"/>
      <c r="N298" s="71"/>
      <c r="O298" s="450" t="s">
        <v>155</v>
      </c>
      <c r="P298" s="456"/>
      <c r="Q298" s="675"/>
      <c r="R298" s="670"/>
      <c r="S298" s="670"/>
      <c r="T298" s="670"/>
      <c r="U298" s="670"/>
      <c r="V298" s="670"/>
      <c r="W298" s="666" t="s">
        <v>153</v>
      </c>
      <c r="X298" s="666"/>
      <c r="Y298" s="666"/>
      <c r="Z298" s="666"/>
      <c r="AA298" s="666"/>
      <c r="AB298" s="666"/>
      <c r="AC298" s="689"/>
      <c r="AD298" s="689">
        <f>SUM(AD299:AD300)</f>
        <v>4793000</v>
      </c>
      <c r="AE298" s="674" t="s">
        <v>25</v>
      </c>
      <c r="AF298" s="16"/>
    </row>
    <row r="299" spans="1:33" s="15" customFormat="1" ht="24" customHeight="1">
      <c r="A299" s="47"/>
      <c r="B299" s="47"/>
      <c r="C299" s="47"/>
      <c r="D299" s="173"/>
      <c r="E299" s="119"/>
      <c r="F299" s="119"/>
      <c r="G299" s="119"/>
      <c r="H299" s="119"/>
      <c r="I299" s="119"/>
      <c r="J299" s="119"/>
      <c r="K299" s="119"/>
      <c r="L299" s="119"/>
      <c r="M299" s="119"/>
      <c r="N299" s="71"/>
      <c r="O299" s="686" t="s">
        <v>684</v>
      </c>
      <c r="P299" s="686"/>
      <c r="Q299" s="686"/>
      <c r="R299" s="686"/>
      <c r="S299" s="636">
        <v>50000</v>
      </c>
      <c r="T299" s="463" t="s">
        <v>57</v>
      </c>
      <c r="U299" s="463" t="s">
        <v>26</v>
      </c>
      <c r="V299" s="636">
        <v>54</v>
      </c>
      <c r="W299" s="637" t="s">
        <v>56</v>
      </c>
      <c r="X299" s="636" t="s">
        <v>27</v>
      </c>
      <c r="Y299" s="686"/>
      <c r="Z299" s="686"/>
      <c r="AA299" s="686"/>
      <c r="AB299" s="686" t="s">
        <v>543</v>
      </c>
      <c r="AC299" s="686"/>
      <c r="AD299" s="687">
        <f>S299*V299</f>
        <v>2700000</v>
      </c>
      <c r="AE299" s="688" t="s">
        <v>57</v>
      </c>
      <c r="AF299" s="16"/>
    </row>
    <row r="300" spans="1:33" s="15" customFormat="1" ht="24" customHeight="1">
      <c r="A300" s="47"/>
      <c r="B300" s="47"/>
      <c r="C300" s="47"/>
      <c r="D300" s="173"/>
      <c r="E300" s="119"/>
      <c r="F300" s="119"/>
      <c r="G300" s="119"/>
      <c r="H300" s="119"/>
      <c r="I300" s="119"/>
      <c r="J300" s="119"/>
      <c r="K300" s="119"/>
      <c r="L300" s="119"/>
      <c r="M300" s="119"/>
      <c r="N300" s="71"/>
      <c r="O300" s="686" t="s">
        <v>703</v>
      </c>
      <c r="P300" s="686"/>
      <c r="Q300" s="686"/>
      <c r="R300" s="686"/>
      <c r="S300" s="636"/>
      <c r="T300" s="463"/>
      <c r="U300" s="463"/>
      <c r="V300" s="636"/>
      <c r="W300" s="637"/>
      <c r="X300" s="636"/>
      <c r="Y300" s="686"/>
      <c r="Z300" s="686"/>
      <c r="AA300" s="686"/>
      <c r="AB300" s="686" t="s">
        <v>543</v>
      </c>
      <c r="AC300" s="686"/>
      <c r="AD300" s="687">
        <v>2093000</v>
      </c>
      <c r="AE300" s="688" t="s">
        <v>57</v>
      </c>
      <c r="AF300" s="16"/>
    </row>
    <row r="301" spans="1:33" s="15" customFormat="1" ht="24" customHeight="1">
      <c r="A301" s="47"/>
      <c r="B301" s="47"/>
      <c r="C301" s="47"/>
      <c r="D301" s="173"/>
      <c r="E301" s="119"/>
      <c r="F301" s="119"/>
      <c r="G301" s="119"/>
      <c r="H301" s="119"/>
      <c r="I301" s="119"/>
      <c r="J301" s="119"/>
      <c r="K301" s="119"/>
      <c r="L301" s="119"/>
      <c r="M301" s="119"/>
      <c r="N301" s="71"/>
      <c r="O301" s="686"/>
      <c r="P301" s="686"/>
      <c r="Q301" s="686"/>
      <c r="R301" s="686"/>
      <c r="S301" s="636"/>
      <c r="T301" s="463"/>
      <c r="U301" s="463"/>
      <c r="V301" s="636"/>
      <c r="W301" s="637"/>
      <c r="X301" s="636"/>
      <c r="Y301" s="686"/>
      <c r="Z301" s="686"/>
      <c r="AA301" s="686"/>
      <c r="AB301" s="686"/>
      <c r="AC301" s="686"/>
      <c r="AD301" s="687"/>
      <c r="AE301" s="688"/>
      <c r="AF301" s="16"/>
    </row>
    <row r="302" spans="1:33" s="15" customFormat="1" ht="24" customHeight="1">
      <c r="A302" s="47"/>
      <c r="B302" s="47"/>
      <c r="C302" s="47"/>
      <c r="D302" s="173"/>
      <c r="E302" s="119"/>
      <c r="F302" s="119"/>
      <c r="G302" s="119"/>
      <c r="H302" s="119"/>
      <c r="I302" s="119"/>
      <c r="J302" s="119"/>
      <c r="K302" s="119"/>
      <c r="L302" s="119"/>
      <c r="M302" s="119"/>
      <c r="N302" s="71"/>
      <c r="O302" s="450" t="s">
        <v>420</v>
      </c>
      <c r="P302" s="456"/>
      <c r="Q302" s="675"/>
      <c r="R302" s="670"/>
      <c r="S302" s="670"/>
      <c r="T302" s="670"/>
      <c r="U302" s="670"/>
      <c r="V302" s="670"/>
      <c r="W302" s="666" t="s">
        <v>153</v>
      </c>
      <c r="X302" s="666"/>
      <c r="Y302" s="666"/>
      <c r="Z302" s="666"/>
      <c r="AA302" s="666"/>
      <c r="AB302" s="666"/>
      <c r="AC302" s="689"/>
      <c r="AD302" s="689">
        <f>SUM(AD303:AD316)</f>
        <v>27482000</v>
      </c>
      <c r="AE302" s="674" t="s">
        <v>25</v>
      </c>
      <c r="AF302" s="16"/>
    </row>
    <row r="303" spans="1:33" s="15" customFormat="1" ht="24" customHeight="1">
      <c r="A303" s="47"/>
      <c r="B303" s="47"/>
      <c r="C303" s="47"/>
      <c r="D303" s="173"/>
      <c r="E303" s="119"/>
      <c r="F303" s="119"/>
      <c r="G303" s="119"/>
      <c r="H303" s="119"/>
      <c r="I303" s="119"/>
      <c r="J303" s="119"/>
      <c r="K303" s="119"/>
      <c r="L303" s="119"/>
      <c r="M303" s="119"/>
      <c r="N303" s="71"/>
      <c r="O303" s="637" t="s">
        <v>722</v>
      </c>
      <c r="P303" s="686"/>
      <c r="Q303" s="686"/>
      <c r="R303" s="686"/>
      <c r="S303" s="686"/>
      <c r="T303" s="686"/>
      <c r="U303" s="686"/>
      <c r="V303" s="686"/>
      <c r="W303" s="686"/>
      <c r="X303" s="686"/>
      <c r="Y303" s="686"/>
      <c r="Z303" s="686"/>
      <c r="AA303" s="686"/>
      <c r="AB303" s="686" t="s">
        <v>407</v>
      </c>
      <c r="AC303" s="686"/>
      <c r="AD303" s="687">
        <v>2000000</v>
      </c>
      <c r="AE303" s="688" t="s">
        <v>57</v>
      </c>
      <c r="AF303" s="16"/>
    </row>
    <row r="304" spans="1:33" s="15" customFormat="1" ht="24" customHeight="1">
      <c r="A304" s="47"/>
      <c r="B304" s="47"/>
      <c r="C304" s="47"/>
      <c r="D304" s="173"/>
      <c r="E304" s="119"/>
      <c r="F304" s="119"/>
      <c r="G304" s="119"/>
      <c r="H304" s="119"/>
      <c r="I304" s="119"/>
      <c r="J304" s="119"/>
      <c r="K304" s="119"/>
      <c r="L304" s="119"/>
      <c r="M304" s="119"/>
      <c r="N304" s="71"/>
      <c r="O304" s="637"/>
      <c r="P304" s="686"/>
      <c r="Q304" s="686"/>
      <c r="R304" s="686"/>
      <c r="S304" s="686"/>
      <c r="T304" s="686"/>
      <c r="U304" s="686"/>
      <c r="V304" s="686"/>
      <c r="W304" s="686"/>
      <c r="X304" s="686"/>
      <c r="Y304" s="686"/>
      <c r="Z304" s="686"/>
      <c r="AA304" s="686"/>
      <c r="AB304" s="686" t="s">
        <v>180</v>
      </c>
      <c r="AC304" s="686"/>
      <c r="AD304" s="687">
        <v>600000</v>
      </c>
      <c r="AE304" s="688" t="s">
        <v>57</v>
      </c>
      <c r="AF304" s="16"/>
    </row>
    <row r="305" spans="1:32" s="15" customFormat="1" ht="24" customHeight="1">
      <c r="A305" s="47"/>
      <c r="B305" s="47"/>
      <c r="C305" s="47"/>
      <c r="D305" s="173"/>
      <c r="E305" s="119"/>
      <c r="F305" s="119"/>
      <c r="G305" s="119"/>
      <c r="H305" s="119"/>
      <c r="I305" s="119"/>
      <c r="J305" s="119"/>
      <c r="K305" s="119"/>
      <c r="L305" s="119"/>
      <c r="M305" s="119"/>
      <c r="N305" s="71"/>
      <c r="O305" s="637" t="s">
        <v>721</v>
      </c>
      <c r="P305" s="686"/>
      <c r="Q305" s="686"/>
      <c r="R305" s="686"/>
      <c r="S305" s="686"/>
      <c r="T305" s="686"/>
      <c r="U305" s="686"/>
      <c r="V305" s="686"/>
      <c r="W305" s="686"/>
      <c r="X305" s="686"/>
      <c r="Y305" s="686"/>
      <c r="Z305" s="686"/>
      <c r="AA305" s="686"/>
      <c r="AB305" s="686" t="s">
        <v>91</v>
      </c>
      <c r="AC305" s="686"/>
      <c r="AD305" s="687">
        <v>2000000</v>
      </c>
      <c r="AE305" s="688" t="s">
        <v>57</v>
      </c>
      <c r="AF305" s="16"/>
    </row>
    <row r="306" spans="1:32" s="15" customFormat="1" ht="24" customHeight="1">
      <c r="A306" s="47"/>
      <c r="B306" s="47"/>
      <c r="C306" s="47"/>
      <c r="D306" s="173"/>
      <c r="E306" s="119"/>
      <c r="F306" s="119"/>
      <c r="G306" s="119"/>
      <c r="H306" s="119"/>
      <c r="I306" s="119"/>
      <c r="J306" s="119"/>
      <c r="K306" s="119"/>
      <c r="L306" s="119"/>
      <c r="M306" s="119"/>
      <c r="N306" s="71"/>
      <c r="O306" s="637"/>
      <c r="P306" s="686"/>
      <c r="Q306" s="686"/>
      <c r="R306" s="686"/>
      <c r="S306" s="686"/>
      <c r="T306" s="686"/>
      <c r="U306" s="686"/>
      <c r="V306" s="686"/>
      <c r="W306" s="686"/>
      <c r="X306" s="686"/>
      <c r="Y306" s="686"/>
      <c r="Z306" s="686"/>
      <c r="AA306" s="686"/>
      <c r="AB306" s="686" t="s">
        <v>180</v>
      </c>
      <c r="AC306" s="686"/>
      <c r="AD306" s="687">
        <v>265000</v>
      </c>
      <c r="AE306" s="688" t="s">
        <v>57</v>
      </c>
      <c r="AF306" s="16"/>
    </row>
    <row r="307" spans="1:32" s="15" customFormat="1" ht="24" customHeight="1">
      <c r="A307" s="47"/>
      <c r="B307" s="47"/>
      <c r="C307" s="47"/>
      <c r="D307" s="173"/>
      <c r="E307" s="119"/>
      <c r="F307" s="119"/>
      <c r="G307" s="119"/>
      <c r="H307" s="119"/>
      <c r="I307" s="119"/>
      <c r="J307" s="119"/>
      <c r="K307" s="119"/>
      <c r="L307" s="119"/>
      <c r="M307" s="119"/>
      <c r="N307" s="71"/>
      <c r="O307" s="637" t="s">
        <v>704</v>
      </c>
      <c r="P307" s="686"/>
      <c r="Q307" s="686"/>
      <c r="R307" s="686"/>
      <c r="S307" s="686"/>
      <c r="T307" s="686"/>
      <c r="U307" s="686"/>
      <c r="V307" s="686"/>
      <c r="W307" s="686"/>
      <c r="X307" s="686"/>
      <c r="Y307" s="686"/>
      <c r="Z307" s="686"/>
      <c r="AA307" s="686"/>
      <c r="AB307" s="686" t="s">
        <v>180</v>
      </c>
      <c r="AC307" s="686"/>
      <c r="AD307" s="687">
        <v>1298000</v>
      </c>
      <c r="AE307" s="688" t="s">
        <v>57</v>
      </c>
      <c r="AF307" s="16"/>
    </row>
    <row r="308" spans="1:32" s="15" customFormat="1" ht="24" customHeight="1">
      <c r="A308" s="47"/>
      <c r="B308" s="47"/>
      <c r="C308" s="47"/>
      <c r="D308" s="173"/>
      <c r="E308" s="119"/>
      <c r="F308" s="119"/>
      <c r="G308" s="119"/>
      <c r="H308" s="119"/>
      <c r="I308" s="119"/>
      <c r="J308" s="119"/>
      <c r="K308" s="119"/>
      <c r="L308" s="119"/>
      <c r="M308" s="119"/>
      <c r="N308" s="71"/>
      <c r="O308" s="637" t="s">
        <v>705</v>
      </c>
      <c r="P308" s="686"/>
      <c r="Q308" s="686"/>
      <c r="R308" s="686"/>
      <c r="S308" s="686"/>
      <c r="T308" s="686"/>
      <c r="U308" s="686"/>
      <c r="V308" s="686"/>
      <c r="W308" s="686"/>
      <c r="X308" s="686"/>
      <c r="Y308" s="686"/>
      <c r="Z308" s="686"/>
      <c r="AA308" s="686"/>
      <c r="AB308" s="686" t="s">
        <v>180</v>
      </c>
      <c r="AC308" s="686"/>
      <c r="AD308" s="687">
        <v>144000</v>
      </c>
      <c r="AE308" s="688" t="s">
        <v>57</v>
      </c>
      <c r="AF308" s="16"/>
    </row>
    <row r="309" spans="1:32" s="15" customFormat="1" ht="24" customHeight="1">
      <c r="A309" s="47"/>
      <c r="B309" s="47"/>
      <c r="C309" s="47"/>
      <c r="D309" s="173"/>
      <c r="E309" s="119"/>
      <c r="F309" s="119"/>
      <c r="G309" s="119"/>
      <c r="H309" s="119"/>
      <c r="I309" s="119"/>
      <c r="J309" s="119"/>
      <c r="K309" s="119"/>
      <c r="L309" s="119"/>
      <c r="M309" s="119"/>
      <c r="N309" s="71"/>
      <c r="O309" s="637" t="s">
        <v>706</v>
      </c>
      <c r="P309" s="637"/>
      <c r="Q309" s="637"/>
      <c r="R309" s="637"/>
      <c r="S309" s="637"/>
      <c r="T309" s="636"/>
      <c r="U309" s="636"/>
      <c r="V309" s="636"/>
      <c r="W309" s="636"/>
      <c r="X309" s="636"/>
      <c r="Y309" s="636"/>
      <c r="Z309" s="636"/>
      <c r="AA309" s="636"/>
      <c r="AB309" s="636" t="s">
        <v>91</v>
      </c>
      <c r="AC309" s="149"/>
      <c r="AD309" s="690">
        <v>3640000</v>
      </c>
      <c r="AE309" s="150" t="s">
        <v>57</v>
      </c>
      <c r="AF309" s="16"/>
    </row>
    <row r="310" spans="1:32" s="15" customFormat="1" ht="24" customHeight="1">
      <c r="A310" s="47"/>
      <c r="B310" s="47"/>
      <c r="C310" s="47"/>
      <c r="D310" s="173"/>
      <c r="E310" s="119"/>
      <c r="F310" s="119"/>
      <c r="G310" s="119"/>
      <c r="H310" s="119"/>
      <c r="I310" s="119"/>
      <c r="J310" s="119"/>
      <c r="K310" s="119"/>
      <c r="L310" s="119"/>
      <c r="M310" s="119"/>
      <c r="N310" s="71"/>
      <c r="O310" s="637"/>
      <c r="P310" s="637"/>
      <c r="Q310" s="637"/>
      <c r="R310" s="637"/>
      <c r="S310" s="637"/>
      <c r="T310" s="636"/>
      <c r="U310" s="636"/>
      <c r="V310" s="636"/>
      <c r="W310" s="636"/>
      <c r="X310" s="636"/>
      <c r="Y310" s="636"/>
      <c r="Z310" s="636"/>
      <c r="AA310" s="636"/>
      <c r="AB310" s="636" t="s">
        <v>180</v>
      </c>
      <c r="AC310" s="149"/>
      <c r="AD310" s="690">
        <v>840000</v>
      </c>
      <c r="AE310" s="150" t="s">
        <v>57</v>
      </c>
      <c r="AF310" s="16"/>
    </row>
    <row r="311" spans="1:32" s="15" customFormat="1" ht="24" customHeight="1">
      <c r="A311" s="47"/>
      <c r="B311" s="47"/>
      <c r="C311" s="47"/>
      <c r="D311" s="173"/>
      <c r="E311" s="119"/>
      <c r="F311" s="119"/>
      <c r="G311" s="119"/>
      <c r="H311" s="119"/>
      <c r="I311" s="119"/>
      <c r="J311" s="119"/>
      <c r="K311" s="119"/>
      <c r="L311" s="119"/>
      <c r="M311" s="119"/>
      <c r="N311" s="71"/>
      <c r="O311" s="637" t="s">
        <v>707</v>
      </c>
      <c r="P311" s="637"/>
      <c r="Q311" s="637"/>
      <c r="R311" s="637"/>
      <c r="S311" s="637"/>
      <c r="T311" s="636"/>
      <c r="U311" s="636"/>
      <c r="V311" s="636"/>
      <c r="W311" s="636"/>
      <c r="X311" s="636"/>
      <c r="Y311" s="636"/>
      <c r="Z311" s="636"/>
      <c r="AA311" s="636"/>
      <c r="AB311" s="636" t="s">
        <v>543</v>
      </c>
      <c r="AC311" s="149"/>
      <c r="AD311" s="690">
        <v>5972000</v>
      </c>
      <c r="AE311" s="150" t="s">
        <v>57</v>
      </c>
      <c r="AF311" s="16"/>
    </row>
    <row r="312" spans="1:32" s="15" customFormat="1" ht="24" customHeight="1">
      <c r="A312" s="47"/>
      <c r="B312" s="47"/>
      <c r="C312" s="47"/>
      <c r="D312" s="173"/>
      <c r="E312" s="119"/>
      <c r="F312" s="119"/>
      <c r="G312" s="119"/>
      <c r="H312" s="119"/>
      <c r="I312" s="119"/>
      <c r="J312" s="119"/>
      <c r="K312" s="119"/>
      <c r="L312" s="119"/>
      <c r="M312" s="119"/>
      <c r="N312" s="71"/>
      <c r="O312" s="686" t="s">
        <v>708</v>
      </c>
      <c r="P312" s="675"/>
      <c r="Q312" s="675"/>
      <c r="R312" s="670"/>
      <c r="S312" s="670"/>
      <c r="T312" s="670"/>
      <c r="U312" s="670"/>
      <c r="V312" s="670"/>
      <c r="W312" s="636"/>
      <c r="X312" s="636"/>
      <c r="Y312" s="636"/>
      <c r="Z312" s="636"/>
      <c r="AA312" s="636"/>
      <c r="AB312" s="636" t="s">
        <v>543</v>
      </c>
      <c r="AC312" s="149"/>
      <c r="AD312" s="149">
        <v>290000</v>
      </c>
      <c r="AE312" s="150" t="s">
        <v>57</v>
      </c>
      <c r="AF312" s="16"/>
    </row>
    <row r="313" spans="1:32" s="15" customFormat="1" ht="24" customHeight="1">
      <c r="A313" s="47"/>
      <c r="B313" s="47"/>
      <c r="C313" s="47"/>
      <c r="D313" s="173"/>
      <c r="E313" s="119"/>
      <c r="F313" s="119"/>
      <c r="G313" s="119"/>
      <c r="H313" s="119"/>
      <c r="I313" s="119"/>
      <c r="J313" s="119"/>
      <c r="K313" s="119"/>
      <c r="L313" s="119"/>
      <c r="M313" s="119"/>
      <c r="N313" s="71"/>
      <c r="O313" s="686" t="s">
        <v>709</v>
      </c>
      <c r="P313" s="686"/>
      <c r="Q313" s="686"/>
      <c r="R313" s="686"/>
      <c r="S313" s="686"/>
      <c r="T313" s="686"/>
      <c r="U313" s="686"/>
      <c r="V313" s="686"/>
      <c r="W313" s="686"/>
      <c r="X313" s="686"/>
      <c r="Y313" s="686"/>
      <c r="Z313" s="686"/>
      <c r="AA313" s="686"/>
      <c r="AB313" s="686" t="s">
        <v>543</v>
      </c>
      <c r="AC313" s="686"/>
      <c r="AD313" s="687">
        <v>3300000</v>
      </c>
      <c r="AE313" s="688" t="s">
        <v>57</v>
      </c>
      <c r="AF313" s="16"/>
    </row>
    <row r="314" spans="1:32" s="15" customFormat="1" ht="24" customHeight="1">
      <c r="A314" s="47"/>
      <c r="B314" s="47"/>
      <c r="C314" s="47"/>
      <c r="D314" s="173"/>
      <c r="E314" s="119"/>
      <c r="F314" s="119"/>
      <c r="G314" s="119"/>
      <c r="H314" s="119"/>
      <c r="I314" s="119"/>
      <c r="J314" s="119"/>
      <c r="K314" s="119"/>
      <c r="L314" s="119"/>
      <c r="M314" s="119"/>
      <c r="N314" s="71"/>
      <c r="O314" s="686" t="s">
        <v>710</v>
      </c>
      <c r="P314" s="686"/>
      <c r="Q314" s="686"/>
      <c r="R314" s="686"/>
      <c r="S314" s="686"/>
      <c r="T314" s="686"/>
      <c r="U314" s="686"/>
      <c r="V314" s="686"/>
      <c r="W314" s="686"/>
      <c r="X314" s="686"/>
      <c r="Y314" s="686"/>
      <c r="Z314" s="686"/>
      <c r="AA314" s="686"/>
      <c r="AB314" s="686" t="s">
        <v>543</v>
      </c>
      <c r="AC314" s="686"/>
      <c r="AD314" s="687">
        <v>4050000</v>
      </c>
      <c r="AE314" s="688" t="s">
        <v>57</v>
      </c>
      <c r="AF314" s="16"/>
    </row>
    <row r="315" spans="1:32" s="15" customFormat="1" ht="24" customHeight="1">
      <c r="A315" s="47"/>
      <c r="B315" s="47"/>
      <c r="C315" s="47"/>
      <c r="D315" s="173"/>
      <c r="E315" s="119"/>
      <c r="F315" s="119"/>
      <c r="G315" s="119"/>
      <c r="H315" s="119"/>
      <c r="I315" s="119"/>
      <c r="J315" s="119"/>
      <c r="K315" s="119"/>
      <c r="L315" s="119"/>
      <c r="M315" s="119"/>
      <c r="N315" s="71"/>
      <c r="O315" s="686" t="s">
        <v>711</v>
      </c>
      <c r="P315" s="686"/>
      <c r="Q315" s="686"/>
      <c r="R315" s="686"/>
      <c r="S315" s="686"/>
      <c r="T315" s="686"/>
      <c r="U315" s="686"/>
      <c r="V315" s="686"/>
      <c r="W315" s="686"/>
      <c r="X315" s="686"/>
      <c r="Y315" s="686"/>
      <c r="Z315" s="686"/>
      <c r="AA315" s="686"/>
      <c r="AB315" s="686" t="s">
        <v>543</v>
      </c>
      <c r="AC315" s="686"/>
      <c r="AD315" s="687">
        <v>620000</v>
      </c>
      <c r="AE315" s="688" t="s">
        <v>57</v>
      </c>
      <c r="AF315" s="16"/>
    </row>
    <row r="316" spans="1:32" s="15" customFormat="1" ht="24" customHeight="1">
      <c r="A316" s="47"/>
      <c r="B316" s="47"/>
      <c r="C316" s="47"/>
      <c r="D316" s="173"/>
      <c r="E316" s="119"/>
      <c r="F316" s="119"/>
      <c r="G316" s="119"/>
      <c r="H316" s="119"/>
      <c r="I316" s="119"/>
      <c r="J316" s="119"/>
      <c r="K316" s="119"/>
      <c r="L316" s="119"/>
      <c r="M316" s="119"/>
      <c r="N316" s="71"/>
      <c r="O316" s="686" t="s">
        <v>712</v>
      </c>
      <c r="P316" s="686"/>
      <c r="Q316" s="686"/>
      <c r="R316" s="686"/>
      <c r="S316" s="686"/>
      <c r="T316" s="686"/>
      <c r="U316" s="686"/>
      <c r="V316" s="686"/>
      <c r="W316" s="686"/>
      <c r="X316" s="686"/>
      <c r="Y316" s="686"/>
      <c r="Z316" s="686"/>
      <c r="AA316" s="686"/>
      <c r="AB316" s="686" t="s">
        <v>543</v>
      </c>
      <c r="AC316" s="686"/>
      <c r="AD316" s="687">
        <v>2463000</v>
      </c>
      <c r="AE316" s="688" t="s">
        <v>57</v>
      </c>
      <c r="AF316" s="16"/>
    </row>
    <row r="317" spans="1:32" s="15" customFormat="1" ht="24" customHeight="1">
      <c r="A317" s="47"/>
      <c r="B317" s="47"/>
      <c r="C317" s="47"/>
      <c r="D317" s="173"/>
      <c r="E317" s="119"/>
      <c r="F317" s="119"/>
      <c r="G317" s="119"/>
      <c r="H317" s="119"/>
      <c r="I317" s="119"/>
      <c r="J317" s="119"/>
      <c r="K317" s="119"/>
      <c r="L317" s="119"/>
      <c r="M317" s="119"/>
      <c r="N317" s="71"/>
      <c r="O317" s="686"/>
      <c r="P317" s="686"/>
      <c r="Q317" s="686"/>
      <c r="R317" s="686"/>
      <c r="S317" s="636"/>
      <c r="T317" s="463"/>
      <c r="U317" s="463"/>
      <c r="V317" s="636"/>
      <c r="W317" s="637"/>
      <c r="X317" s="636"/>
      <c r="Y317" s="686"/>
      <c r="Z317" s="686"/>
      <c r="AA317" s="686"/>
      <c r="AB317" s="686"/>
      <c r="AC317" s="686"/>
      <c r="AD317" s="687"/>
      <c r="AE317" s="688"/>
      <c r="AF317" s="16"/>
    </row>
    <row r="318" spans="1:32" s="15" customFormat="1" ht="24" customHeight="1">
      <c r="A318" s="47"/>
      <c r="B318" s="47"/>
      <c r="C318" s="47"/>
      <c r="D318" s="173"/>
      <c r="E318" s="119"/>
      <c r="F318" s="119"/>
      <c r="G318" s="119"/>
      <c r="H318" s="119"/>
      <c r="I318" s="119"/>
      <c r="J318" s="119"/>
      <c r="K318" s="119"/>
      <c r="L318" s="119"/>
      <c r="M318" s="119"/>
      <c r="N318" s="71"/>
      <c r="O318" s="450" t="s">
        <v>156</v>
      </c>
      <c r="P318" s="456"/>
      <c r="Q318" s="675"/>
      <c r="R318" s="670"/>
      <c r="S318" s="670"/>
      <c r="T318" s="670"/>
      <c r="U318" s="670"/>
      <c r="V318" s="670"/>
      <c r="W318" s="666" t="s">
        <v>153</v>
      </c>
      <c r="X318" s="666"/>
      <c r="Y318" s="666"/>
      <c r="Z318" s="666"/>
      <c r="AA318" s="666"/>
      <c r="AB318" s="666"/>
      <c r="AC318" s="689"/>
      <c r="AD318" s="689">
        <f>SUM(AD319:AD323)</f>
        <v>3200000</v>
      </c>
      <c r="AE318" s="674" t="s">
        <v>25</v>
      </c>
      <c r="AF318" s="16"/>
    </row>
    <row r="319" spans="1:32" s="15" customFormat="1" ht="24" customHeight="1">
      <c r="A319" s="47"/>
      <c r="B319" s="47"/>
      <c r="C319" s="47"/>
      <c r="D319" s="173"/>
      <c r="E319" s="119"/>
      <c r="F319" s="119"/>
      <c r="G319" s="119"/>
      <c r="H319" s="119"/>
      <c r="I319" s="119"/>
      <c r="J319" s="119"/>
      <c r="K319" s="119"/>
      <c r="L319" s="119"/>
      <c r="M319" s="119"/>
      <c r="N319" s="71"/>
      <c r="O319" s="686" t="s">
        <v>679</v>
      </c>
      <c r="P319" s="686"/>
      <c r="Q319" s="686"/>
      <c r="R319" s="686"/>
      <c r="S319" s="686"/>
      <c r="T319" s="686"/>
      <c r="U319" s="686"/>
      <c r="V319" s="686"/>
      <c r="W319" s="686"/>
      <c r="X319" s="686"/>
      <c r="Y319" s="686"/>
      <c r="Z319" s="686"/>
      <c r="AA319" s="686"/>
      <c r="AB319" s="686" t="s">
        <v>180</v>
      </c>
      <c r="AC319" s="686"/>
      <c r="AD319" s="687">
        <v>800000</v>
      </c>
      <c r="AE319" s="688" t="s">
        <v>57</v>
      </c>
      <c r="AF319" s="16"/>
    </row>
    <row r="320" spans="1:32" s="15" customFormat="1" ht="24" customHeight="1">
      <c r="A320" s="47"/>
      <c r="B320" s="47"/>
      <c r="C320" s="47"/>
      <c r="D320" s="173"/>
      <c r="E320" s="119"/>
      <c r="F320" s="119"/>
      <c r="G320" s="119"/>
      <c r="H320" s="119"/>
      <c r="I320" s="119"/>
      <c r="J320" s="119"/>
      <c r="K320" s="119"/>
      <c r="L320" s="119"/>
      <c r="M320" s="119"/>
      <c r="N320" s="71"/>
      <c r="O320" s="686" t="s">
        <v>680</v>
      </c>
      <c r="P320" s="686"/>
      <c r="Q320" s="686"/>
      <c r="R320" s="686"/>
      <c r="S320" s="686"/>
      <c r="T320" s="686"/>
      <c r="U320" s="686"/>
      <c r="V320" s="686"/>
      <c r="W320" s="686"/>
      <c r="X320" s="686"/>
      <c r="Y320" s="686"/>
      <c r="Z320" s="686"/>
      <c r="AA320" s="686"/>
      <c r="AB320" s="686" t="s">
        <v>180</v>
      </c>
      <c r="AC320" s="686"/>
      <c r="AD320" s="687">
        <v>300000</v>
      </c>
      <c r="AE320" s="688" t="s">
        <v>57</v>
      </c>
      <c r="AF320" s="16"/>
    </row>
    <row r="321" spans="1:32" s="15" customFormat="1" ht="24" customHeight="1">
      <c r="A321" s="47"/>
      <c r="B321" s="47"/>
      <c r="C321" s="47"/>
      <c r="D321" s="173"/>
      <c r="E321" s="119"/>
      <c r="F321" s="119"/>
      <c r="G321" s="119"/>
      <c r="H321" s="119"/>
      <c r="I321" s="119"/>
      <c r="J321" s="119"/>
      <c r="K321" s="119"/>
      <c r="L321" s="119"/>
      <c r="M321" s="119"/>
      <c r="N321" s="71"/>
      <c r="O321" s="686" t="s">
        <v>681</v>
      </c>
      <c r="P321" s="686"/>
      <c r="Q321" s="686"/>
      <c r="R321" s="686"/>
      <c r="S321" s="686"/>
      <c r="T321" s="686"/>
      <c r="U321" s="686"/>
      <c r="V321" s="686"/>
      <c r="W321" s="686"/>
      <c r="X321" s="686"/>
      <c r="Y321" s="686"/>
      <c r="Z321" s="686"/>
      <c r="AA321" s="686"/>
      <c r="AB321" s="686" t="s">
        <v>180</v>
      </c>
      <c r="AC321" s="686"/>
      <c r="AD321" s="687">
        <v>300000</v>
      </c>
      <c r="AE321" s="688" t="s">
        <v>57</v>
      </c>
      <c r="AF321" s="16"/>
    </row>
    <row r="322" spans="1:32" s="15" customFormat="1" ht="24" customHeight="1">
      <c r="A322" s="47"/>
      <c r="B322" s="47"/>
      <c r="C322" s="47"/>
      <c r="D322" s="173"/>
      <c r="E322" s="119"/>
      <c r="F322" s="119"/>
      <c r="G322" s="119"/>
      <c r="H322" s="119"/>
      <c r="I322" s="119"/>
      <c r="J322" s="119"/>
      <c r="K322" s="119"/>
      <c r="L322" s="119"/>
      <c r="M322" s="119"/>
      <c r="N322" s="71"/>
      <c r="O322" s="686" t="s">
        <v>682</v>
      </c>
      <c r="P322" s="686"/>
      <c r="Q322" s="686"/>
      <c r="R322" s="686"/>
      <c r="S322" s="686"/>
      <c r="T322" s="686"/>
      <c r="U322" s="686"/>
      <c r="V322" s="686"/>
      <c r="W322" s="686"/>
      <c r="X322" s="686"/>
      <c r="Y322" s="686"/>
      <c r="Z322" s="686"/>
      <c r="AA322" s="686"/>
      <c r="AB322" s="686" t="s">
        <v>180</v>
      </c>
      <c r="AC322" s="686"/>
      <c r="AD322" s="687">
        <v>1500000</v>
      </c>
      <c r="AE322" s="688" t="s">
        <v>57</v>
      </c>
      <c r="AF322" s="16"/>
    </row>
    <row r="323" spans="1:32" s="15" customFormat="1" ht="24" customHeight="1">
      <c r="A323" s="47"/>
      <c r="B323" s="47"/>
      <c r="C323" s="47"/>
      <c r="D323" s="173"/>
      <c r="E323" s="119"/>
      <c r="F323" s="119"/>
      <c r="G323" s="119"/>
      <c r="H323" s="119"/>
      <c r="I323" s="119"/>
      <c r="J323" s="119"/>
      <c r="K323" s="119"/>
      <c r="L323" s="119"/>
      <c r="M323" s="119"/>
      <c r="N323" s="71"/>
      <c r="O323" s="686" t="s">
        <v>683</v>
      </c>
      <c r="P323" s="686"/>
      <c r="Q323" s="686"/>
      <c r="R323" s="686"/>
      <c r="S323" s="686"/>
      <c r="T323" s="686"/>
      <c r="U323" s="686"/>
      <c r="V323" s="686"/>
      <c r="W323" s="686"/>
      <c r="X323" s="686"/>
      <c r="Y323" s="686"/>
      <c r="Z323" s="686"/>
      <c r="AA323" s="686"/>
      <c r="AB323" s="686" t="s">
        <v>180</v>
      </c>
      <c r="AC323" s="686"/>
      <c r="AD323" s="687">
        <v>300000</v>
      </c>
      <c r="AE323" s="688" t="s">
        <v>57</v>
      </c>
      <c r="AF323" s="16"/>
    </row>
    <row r="324" spans="1:32" s="15" customFormat="1" ht="24" customHeight="1">
      <c r="A324" s="47"/>
      <c r="B324" s="47"/>
      <c r="C324" s="47"/>
      <c r="D324" s="173"/>
      <c r="E324" s="119"/>
      <c r="F324" s="119"/>
      <c r="G324" s="119"/>
      <c r="H324" s="119"/>
      <c r="I324" s="119"/>
      <c r="J324" s="119"/>
      <c r="K324" s="119"/>
      <c r="L324" s="119"/>
      <c r="M324" s="119"/>
      <c r="N324" s="71"/>
      <c r="O324" s="686"/>
      <c r="P324" s="686"/>
      <c r="Q324" s="686"/>
      <c r="R324" s="686"/>
      <c r="S324" s="686"/>
      <c r="T324" s="686"/>
      <c r="U324" s="686"/>
      <c r="V324" s="686"/>
      <c r="W324" s="686"/>
      <c r="X324" s="686"/>
      <c r="Y324" s="686"/>
      <c r="Z324" s="686"/>
      <c r="AA324" s="686"/>
      <c r="AB324" s="686"/>
      <c r="AC324" s="686"/>
      <c r="AD324" s="687"/>
      <c r="AE324" s="688"/>
      <c r="AF324" s="16"/>
    </row>
    <row r="325" spans="1:32" s="15" customFormat="1" ht="24" customHeight="1">
      <c r="A325" s="47"/>
      <c r="B325" s="47"/>
      <c r="C325" s="47"/>
      <c r="D325" s="173"/>
      <c r="E325" s="119"/>
      <c r="F325" s="119"/>
      <c r="G325" s="119"/>
      <c r="H325" s="119"/>
      <c r="I325" s="119"/>
      <c r="J325" s="119"/>
      <c r="K325" s="119"/>
      <c r="L325" s="119"/>
      <c r="M325" s="119"/>
      <c r="N325" s="71"/>
      <c r="O325" s="450" t="s">
        <v>666</v>
      </c>
      <c r="P325" s="456"/>
      <c r="Q325" s="675"/>
      <c r="R325" s="670"/>
      <c r="S325" s="670"/>
      <c r="T325" s="670"/>
      <c r="U325" s="670"/>
      <c r="V325" s="670"/>
      <c r="W325" s="666" t="s">
        <v>153</v>
      </c>
      <c r="X325" s="666"/>
      <c r="Y325" s="666"/>
      <c r="Z325" s="666"/>
      <c r="AA325" s="666"/>
      <c r="AB325" s="666"/>
      <c r="AC325" s="689"/>
      <c r="AD325" s="689">
        <f>SUM(AD326:AD332)</f>
        <v>4700000</v>
      </c>
      <c r="AE325" s="674" t="s">
        <v>25</v>
      </c>
      <c r="AF325" s="16"/>
    </row>
    <row r="326" spans="1:32" s="15" customFormat="1" ht="24" customHeight="1">
      <c r="A326" s="47"/>
      <c r="B326" s="47"/>
      <c r="C326" s="47"/>
      <c r="D326" s="173"/>
      <c r="E326" s="119"/>
      <c r="F326" s="119"/>
      <c r="G326" s="119"/>
      <c r="H326" s="119"/>
      <c r="I326" s="119"/>
      <c r="J326" s="119"/>
      <c r="K326" s="119"/>
      <c r="L326" s="119"/>
      <c r="M326" s="119"/>
      <c r="N326" s="71"/>
      <c r="O326" s="637" t="s">
        <v>667</v>
      </c>
      <c r="P326" s="675"/>
      <c r="Q326" s="675"/>
      <c r="R326" s="670"/>
      <c r="S326" s="670"/>
      <c r="T326" s="670"/>
      <c r="U326" s="670"/>
      <c r="V326" s="670"/>
      <c r="W326" s="676"/>
      <c r="X326" s="676"/>
      <c r="Y326" s="676"/>
      <c r="Z326" s="676"/>
      <c r="AA326" s="676"/>
      <c r="AB326" s="636"/>
      <c r="AC326" s="677"/>
      <c r="AD326" s="149"/>
      <c r="AE326" s="150"/>
      <c r="AF326" s="16"/>
    </row>
    <row r="327" spans="1:32" s="15" customFormat="1" ht="24" customHeight="1">
      <c r="A327" s="47"/>
      <c r="B327" s="47"/>
      <c r="C327" s="47"/>
      <c r="D327" s="173"/>
      <c r="E327" s="119"/>
      <c r="F327" s="119"/>
      <c r="G327" s="119"/>
      <c r="H327" s="119"/>
      <c r="I327" s="119"/>
      <c r="J327" s="119"/>
      <c r="K327" s="119"/>
      <c r="L327" s="119"/>
      <c r="M327" s="119"/>
      <c r="N327" s="71"/>
      <c r="O327" s="637" t="s">
        <v>668</v>
      </c>
      <c r="P327" s="675"/>
      <c r="Q327" s="675"/>
      <c r="R327" s="670"/>
      <c r="S327" s="670"/>
      <c r="T327" s="670"/>
      <c r="U327" s="670"/>
      <c r="V327" s="670"/>
      <c r="W327" s="676"/>
      <c r="X327" s="676"/>
      <c r="Y327" s="676"/>
      <c r="Z327" s="676"/>
      <c r="AA327" s="676"/>
      <c r="AB327" s="636" t="s">
        <v>180</v>
      </c>
      <c r="AC327" s="677"/>
      <c r="AD327" s="149">
        <v>1000000</v>
      </c>
      <c r="AE327" s="150" t="s">
        <v>57</v>
      </c>
      <c r="AF327" s="16"/>
    </row>
    <row r="328" spans="1:32" s="15" customFormat="1" ht="24" customHeight="1">
      <c r="A328" s="47"/>
      <c r="B328" s="47"/>
      <c r="C328" s="47"/>
      <c r="D328" s="173"/>
      <c r="E328" s="119"/>
      <c r="F328" s="119"/>
      <c r="G328" s="119"/>
      <c r="H328" s="119"/>
      <c r="I328" s="119"/>
      <c r="J328" s="119"/>
      <c r="K328" s="119"/>
      <c r="L328" s="119"/>
      <c r="M328" s="119"/>
      <c r="N328" s="71"/>
      <c r="O328" s="637" t="s">
        <v>670</v>
      </c>
      <c r="P328" s="675"/>
      <c r="Q328" s="675"/>
      <c r="R328" s="670"/>
      <c r="S328" s="636">
        <v>20000</v>
      </c>
      <c r="T328" s="463" t="s">
        <v>57</v>
      </c>
      <c r="U328" s="463" t="s">
        <v>26</v>
      </c>
      <c r="V328" s="636">
        <v>12</v>
      </c>
      <c r="W328" s="637" t="s">
        <v>0</v>
      </c>
      <c r="X328" s="636"/>
      <c r="Y328" s="686"/>
      <c r="Z328" s="686" t="s">
        <v>53</v>
      </c>
      <c r="AA328" s="686"/>
      <c r="AB328" s="686" t="s">
        <v>180</v>
      </c>
      <c r="AC328" s="686"/>
      <c r="AD328" s="687">
        <f>S328*V328</f>
        <v>240000</v>
      </c>
      <c r="AE328" s="688" t="s">
        <v>57</v>
      </c>
      <c r="AF328" s="16"/>
    </row>
    <row r="329" spans="1:32" s="15" customFormat="1" ht="24" customHeight="1">
      <c r="A329" s="47"/>
      <c r="B329" s="47"/>
      <c r="C329" s="47"/>
      <c r="D329" s="173"/>
      <c r="E329" s="119"/>
      <c r="F329" s="119"/>
      <c r="G329" s="119"/>
      <c r="H329" s="119"/>
      <c r="I329" s="119"/>
      <c r="J329" s="119"/>
      <c r="K329" s="119"/>
      <c r="L329" s="119"/>
      <c r="M329" s="119"/>
      <c r="N329" s="71"/>
      <c r="O329" s="637" t="s">
        <v>673</v>
      </c>
      <c r="P329" s="675"/>
      <c r="Q329" s="675"/>
      <c r="R329" s="670"/>
      <c r="S329" s="636">
        <v>100000</v>
      </c>
      <c r="T329" s="463" t="s">
        <v>57</v>
      </c>
      <c r="U329" s="463" t="s">
        <v>26</v>
      </c>
      <c r="V329" s="691">
        <v>4</v>
      </c>
      <c r="W329" s="463" t="s">
        <v>26</v>
      </c>
      <c r="X329" s="463">
        <v>2</v>
      </c>
      <c r="Y329" s="686" t="s">
        <v>75</v>
      </c>
      <c r="Z329" s="686" t="s">
        <v>53</v>
      </c>
      <c r="AA329" s="686"/>
      <c r="AB329" s="636" t="s">
        <v>180</v>
      </c>
      <c r="AC329" s="686"/>
      <c r="AD329" s="687">
        <f>S329*V329*X329</f>
        <v>800000</v>
      </c>
      <c r="AE329" s="688" t="s">
        <v>57</v>
      </c>
      <c r="AF329" s="16"/>
    </row>
    <row r="330" spans="1:32" s="15" customFormat="1" ht="24" customHeight="1">
      <c r="A330" s="47"/>
      <c r="B330" s="47"/>
      <c r="C330" s="47"/>
      <c r="D330" s="173"/>
      <c r="E330" s="119"/>
      <c r="F330" s="119"/>
      <c r="G330" s="119"/>
      <c r="H330" s="119"/>
      <c r="I330" s="119"/>
      <c r="J330" s="119"/>
      <c r="K330" s="119"/>
      <c r="L330" s="119"/>
      <c r="M330" s="119"/>
      <c r="N330" s="71"/>
      <c r="O330" s="637" t="s">
        <v>674</v>
      </c>
      <c r="P330" s="675"/>
      <c r="Q330" s="675"/>
      <c r="R330" s="670"/>
      <c r="S330" s="670"/>
      <c r="T330" s="670"/>
      <c r="U330" s="670"/>
      <c r="V330" s="670"/>
      <c r="W330" s="676"/>
      <c r="X330" s="676"/>
      <c r="Y330" s="676"/>
      <c r="Z330" s="676"/>
      <c r="AA330" s="676"/>
      <c r="AB330" s="686" t="s">
        <v>180</v>
      </c>
      <c r="AC330" s="677"/>
      <c r="AD330" s="149">
        <v>60000</v>
      </c>
      <c r="AE330" s="150" t="s">
        <v>57</v>
      </c>
      <c r="AF330" s="16"/>
    </row>
    <row r="331" spans="1:32" s="15" customFormat="1" ht="24" customHeight="1">
      <c r="A331" s="47"/>
      <c r="B331" s="47"/>
      <c r="C331" s="47"/>
      <c r="D331" s="173"/>
      <c r="E331" s="119"/>
      <c r="F331" s="119"/>
      <c r="G331" s="119"/>
      <c r="H331" s="119"/>
      <c r="I331" s="119"/>
      <c r="J331" s="119"/>
      <c r="K331" s="119"/>
      <c r="L331" s="119"/>
      <c r="M331" s="119"/>
      <c r="N331" s="71"/>
      <c r="O331" s="637" t="s">
        <v>675</v>
      </c>
      <c r="P331" s="675"/>
      <c r="Q331" s="675"/>
      <c r="R331" s="670"/>
      <c r="S331" s="636">
        <v>100000</v>
      </c>
      <c r="T331" s="463" t="s">
        <v>57</v>
      </c>
      <c r="U331" s="463" t="s">
        <v>26</v>
      </c>
      <c r="V331" s="692">
        <v>4</v>
      </c>
      <c r="W331" s="463" t="s">
        <v>26</v>
      </c>
      <c r="X331" s="463">
        <v>4</v>
      </c>
      <c r="Y331" s="686" t="s">
        <v>75</v>
      </c>
      <c r="Z331" s="686" t="s">
        <v>53</v>
      </c>
      <c r="AA331" s="686"/>
      <c r="AB331" s="636" t="s">
        <v>180</v>
      </c>
      <c r="AC331" s="686"/>
      <c r="AD331" s="687">
        <f>S331*V331*X331</f>
        <v>1600000</v>
      </c>
      <c r="AE331" s="688" t="s">
        <v>57</v>
      </c>
      <c r="AF331" s="16"/>
    </row>
    <row r="332" spans="1:32" s="15" customFormat="1" ht="24" customHeight="1">
      <c r="A332" s="47"/>
      <c r="B332" s="47"/>
      <c r="C332" s="47"/>
      <c r="D332" s="173"/>
      <c r="E332" s="119"/>
      <c r="F332" s="119"/>
      <c r="G332" s="119"/>
      <c r="H332" s="119"/>
      <c r="I332" s="119"/>
      <c r="J332" s="119"/>
      <c r="K332" s="119"/>
      <c r="L332" s="119"/>
      <c r="M332" s="119"/>
      <c r="N332" s="71"/>
      <c r="O332" s="637" t="s">
        <v>676</v>
      </c>
      <c r="P332" s="675"/>
      <c r="Q332" s="675"/>
      <c r="R332" s="670"/>
      <c r="S332" s="670"/>
      <c r="T332" s="670"/>
      <c r="U332" s="670"/>
      <c r="V332" s="670"/>
      <c r="W332" s="676"/>
      <c r="X332" s="676"/>
      <c r="Y332" s="676"/>
      <c r="Z332" s="676"/>
      <c r="AA332" s="676"/>
      <c r="AB332" s="686" t="s">
        <v>180</v>
      </c>
      <c r="AC332" s="677"/>
      <c r="AD332" s="149">
        <v>1000000</v>
      </c>
      <c r="AE332" s="150" t="s">
        <v>57</v>
      </c>
      <c r="AF332" s="16"/>
    </row>
    <row r="333" spans="1:32" s="15" customFormat="1" ht="24" customHeight="1">
      <c r="A333" s="47"/>
      <c r="B333" s="47"/>
      <c r="C333" s="47"/>
      <c r="D333" s="173"/>
      <c r="E333" s="119"/>
      <c r="F333" s="119"/>
      <c r="G333" s="119"/>
      <c r="H333" s="119"/>
      <c r="I333" s="119"/>
      <c r="J333" s="119"/>
      <c r="K333" s="119"/>
      <c r="L333" s="119"/>
      <c r="M333" s="119"/>
      <c r="N333" s="71"/>
      <c r="O333" s="637"/>
      <c r="P333" s="675"/>
      <c r="Q333" s="675"/>
      <c r="R333" s="670"/>
      <c r="S333" s="670"/>
      <c r="T333" s="670"/>
      <c r="U333" s="670"/>
      <c r="V333" s="670"/>
      <c r="W333" s="676"/>
      <c r="X333" s="676"/>
      <c r="Y333" s="676"/>
      <c r="Z333" s="676"/>
      <c r="AA333" s="676"/>
      <c r="AB333" s="676"/>
      <c r="AC333" s="677"/>
      <c r="AD333" s="677"/>
      <c r="AE333" s="693"/>
      <c r="AF333" s="16"/>
    </row>
    <row r="334" spans="1:32" s="15" customFormat="1" ht="24" customHeight="1">
      <c r="A334" s="47"/>
      <c r="B334" s="47"/>
      <c r="C334" s="47"/>
      <c r="D334" s="173"/>
      <c r="E334" s="119"/>
      <c r="F334" s="119"/>
      <c r="G334" s="119"/>
      <c r="H334" s="119"/>
      <c r="I334" s="119"/>
      <c r="J334" s="119"/>
      <c r="K334" s="119"/>
      <c r="L334" s="119"/>
      <c r="M334" s="119"/>
      <c r="N334" s="71"/>
      <c r="O334" s="450" t="s">
        <v>695</v>
      </c>
      <c r="P334" s="456"/>
      <c r="Q334" s="675"/>
      <c r="R334" s="670"/>
      <c r="S334" s="670"/>
      <c r="T334" s="670"/>
      <c r="U334" s="670"/>
      <c r="V334" s="670"/>
      <c r="W334" s="666" t="s">
        <v>153</v>
      </c>
      <c r="X334" s="666"/>
      <c r="Y334" s="666"/>
      <c r="Z334" s="666"/>
      <c r="AA334" s="666"/>
      <c r="AB334" s="666"/>
      <c r="AC334" s="689"/>
      <c r="AD334" s="689">
        <f>SUM(AD335:AD336)</f>
        <v>5818000</v>
      </c>
      <c r="AE334" s="674" t="s">
        <v>25</v>
      </c>
      <c r="AF334" s="16"/>
    </row>
    <row r="335" spans="1:32" s="15" customFormat="1" ht="24" customHeight="1">
      <c r="A335" s="47"/>
      <c r="B335" s="47"/>
      <c r="C335" s="47"/>
      <c r="D335" s="173"/>
      <c r="E335" s="119"/>
      <c r="F335" s="119"/>
      <c r="G335" s="119"/>
      <c r="H335" s="119"/>
      <c r="I335" s="119"/>
      <c r="J335" s="119"/>
      <c r="K335" s="119"/>
      <c r="L335" s="119"/>
      <c r="M335" s="119"/>
      <c r="N335" s="71"/>
      <c r="O335" s="637" t="s">
        <v>696</v>
      </c>
      <c r="P335" s="675"/>
      <c r="Q335" s="675"/>
      <c r="R335" s="670"/>
      <c r="S335" s="670"/>
      <c r="T335" s="670"/>
      <c r="U335" s="670"/>
      <c r="V335" s="670"/>
      <c r="W335" s="636"/>
      <c r="X335" s="636"/>
      <c r="Y335" s="636"/>
      <c r="Z335" s="636"/>
      <c r="AA335" s="636"/>
      <c r="AB335" s="636" t="s">
        <v>543</v>
      </c>
      <c r="AC335" s="149"/>
      <c r="AD335" s="149">
        <v>3400000</v>
      </c>
      <c r="AE335" s="150" t="s">
        <v>57</v>
      </c>
      <c r="AF335" s="16"/>
    </row>
    <row r="336" spans="1:32" s="15" customFormat="1" ht="24" customHeight="1">
      <c r="A336" s="47"/>
      <c r="B336" s="47"/>
      <c r="C336" s="47"/>
      <c r="D336" s="173"/>
      <c r="E336" s="119"/>
      <c r="F336" s="119"/>
      <c r="G336" s="119"/>
      <c r="H336" s="119"/>
      <c r="I336" s="119"/>
      <c r="J336" s="119"/>
      <c r="K336" s="119"/>
      <c r="L336" s="119"/>
      <c r="M336" s="119"/>
      <c r="N336" s="71"/>
      <c r="O336" s="637" t="s">
        <v>697</v>
      </c>
      <c r="P336" s="675"/>
      <c r="Q336" s="675"/>
      <c r="R336" s="670"/>
      <c r="S336" s="670"/>
      <c r="T336" s="670"/>
      <c r="U336" s="670"/>
      <c r="V336" s="670"/>
      <c r="W336" s="676"/>
      <c r="X336" s="676"/>
      <c r="Y336" s="676"/>
      <c r="Z336" s="676"/>
      <c r="AA336" s="676"/>
      <c r="AB336" s="636" t="s">
        <v>180</v>
      </c>
      <c r="AC336" s="677"/>
      <c r="AD336" s="149">
        <v>2418000</v>
      </c>
      <c r="AE336" s="150" t="s">
        <v>57</v>
      </c>
      <c r="AF336" s="16"/>
    </row>
    <row r="337" spans="1:32" s="15" customFormat="1" ht="24" customHeight="1">
      <c r="A337" s="47"/>
      <c r="B337" s="47"/>
      <c r="C337" s="47"/>
      <c r="D337" s="173"/>
      <c r="E337" s="119"/>
      <c r="F337" s="119"/>
      <c r="G337" s="119"/>
      <c r="H337" s="119"/>
      <c r="I337" s="119"/>
      <c r="J337" s="119"/>
      <c r="K337" s="119"/>
      <c r="L337" s="119"/>
      <c r="M337" s="119"/>
      <c r="N337" s="71"/>
      <c r="O337" s="637"/>
      <c r="P337" s="675"/>
      <c r="Q337" s="675"/>
      <c r="R337" s="670"/>
      <c r="S337" s="670"/>
      <c r="T337" s="670"/>
      <c r="U337" s="670"/>
      <c r="V337" s="670"/>
      <c r="W337" s="676"/>
      <c r="X337" s="676"/>
      <c r="Y337" s="676"/>
      <c r="Z337" s="676"/>
      <c r="AA337" s="676"/>
      <c r="AB337" s="676"/>
      <c r="AC337" s="677"/>
      <c r="AD337" s="149"/>
      <c r="AE337" s="150"/>
      <c r="AF337" s="16"/>
    </row>
    <row r="338" spans="1:32" s="15" customFormat="1" ht="24" customHeight="1">
      <c r="A338" s="47"/>
      <c r="B338" s="47"/>
      <c r="C338" s="47"/>
      <c r="D338" s="173"/>
      <c r="E338" s="119"/>
      <c r="F338" s="119"/>
      <c r="G338" s="119"/>
      <c r="H338" s="119"/>
      <c r="I338" s="119"/>
      <c r="J338" s="119"/>
      <c r="K338" s="119"/>
      <c r="L338" s="119"/>
      <c r="M338" s="119"/>
      <c r="N338" s="71"/>
      <c r="O338" s="450" t="s">
        <v>720</v>
      </c>
      <c r="P338" s="456"/>
      <c r="Q338" s="675"/>
      <c r="R338" s="670"/>
      <c r="S338" s="670"/>
      <c r="T338" s="670"/>
      <c r="U338" s="670"/>
      <c r="V338" s="670"/>
      <c r="W338" s="666" t="s">
        <v>153</v>
      </c>
      <c r="X338" s="666"/>
      <c r="Y338" s="666"/>
      <c r="Z338" s="666"/>
      <c r="AA338" s="666"/>
      <c r="AB338" s="666"/>
      <c r="AC338" s="689"/>
      <c r="AD338" s="689">
        <f>SUM(AD339:AD341)</f>
        <v>1852000</v>
      </c>
      <c r="AE338" s="674" t="s">
        <v>25</v>
      </c>
      <c r="AF338" s="16"/>
    </row>
    <row r="339" spans="1:32" s="15" customFormat="1" ht="24" customHeight="1">
      <c r="A339" s="47"/>
      <c r="B339" s="47"/>
      <c r="C339" s="47"/>
      <c r="D339" s="173"/>
      <c r="E339" s="119"/>
      <c r="F339" s="119"/>
      <c r="G339" s="119"/>
      <c r="H339" s="119"/>
      <c r="I339" s="119"/>
      <c r="J339" s="119"/>
      <c r="K339" s="119"/>
      <c r="L339" s="119"/>
      <c r="M339" s="119"/>
      <c r="N339" s="71"/>
      <c r="O339" s="637" t="s">
        <v>733</v>
      </c>
      <c r="P339" s="686"/>
      <c r="Q339" s="686"/>
      <c r="R339" s="686"/>
      <c r="S339" s="686"/>
      <c r="T339" s="686"/>
      <c r="U339" s="686"/>
      <c r="V339" s="686"/>
      <c r="W339" s="686"/>
      <c r="X339" s="686"/>
      <c r="Y339" s="686"/>
      <c r="Z339" s="686"/>
      <c r="AA339" s="686"/>
      <c r="AB339" s="686" t="s">
        <v>180</v>
      </c>
      <c r="AC339" s="686"/>
      <c r="AD339" s="687">
        <v>270000</v>
      </c>
      <c r="AE339" s="688" t="s">
        <v>57</v>
      </c>
      <c r="AF339" s="16"/>
    </row>
    <row r="340" spans="1:32" s="15" customFormat="1" ht="24" customHeight="1">
      <c r="A340" s="47"/>
      <c r="B340" s="47"/>
      <c r="C340" s="47"/>
      <c r="D340" s="173"/>
      <c r="E340" s="119"/>
      <c r="F340" s="119"/>
      <c r="G340" s="119"/>
      <c r="H340" s="119"/>
      <c r="I340" s="119"/>
      <c r="J340" s="119"/>
      <c r="K340" s="119"/>
      <c r="L340" s="119"/>
      <c r="M340" s="119"/>
      <c r="N340" s="71"/>
      <c r="O340" s="637" t="s">
        <v>734</v>
      </c>
      <c r="P340" s="686"/>
      <c r="Q340" s="686"/>
      <c r="R340" s="686"/>
      <c r="S340" s="686"/>
      <c r="T340" s="686"/>
      <c r="U340" s="686"/>
      <c r="V340" s="686"/>
      <c r="W340" s="686"/>
      <c r="X340" s="686"/>
      <c r="Y340" s="686"/>
      <c r="Z340" s="686"/>
      <c r="AA340" s="686"/>
      <c r="AB340" s="686" t="s">
        <v>180</v>
      </c>
      <c r="AC340" s="686"/>
      <c r="AD340" s="687">
        <v>1462000</v>
      </c>
      <c r="AE340" s="688" t="s">
        <v>57</v>
      </c>
      <c r="AF340" s="16"/>
    </row>
    <row r="341" spans="1:32" s="15" customFormat="1" ht="24" customHeight="1">
      <c r="A341" s="47"/>
      <c r="B341" s="47"/>
      <c r="C341" s="47"/>
      <c r="D341" s="173"/>
      <c r="E341" s="119"/>
      <c r="F341" s="119"/>
      <c r="G341" s="119"/>
      <c r="H341" s="119"/>
      <c r="I341" s="119"/>
      <c r="J341" s="119"/>
      <c r="K341" s="119"/>
      <c r="L341" s="119"/>
      <c r="M341" s="119"/>
      <c r="N341" s="71"/>
      <c r="O341" s="637"/>
      <c r="P341" s="686"/>
      <c r="Q341" s="686"/>
      <c r="R341" s="686"/>
      <c r="S341" s="686"/>
      <c r="T341" s="686"/>
      <c r="U341" s="686"/>
      <c r="V341" s="686"/>
      <c r="W341" s="686"/>
      <c r="X341" s="686"/>
      <c r="Y341" s="686"/>
      <c r="Z341" s="686"/>
      <c r="AA341" s="686"/>
      <c r="AB341" s="686" t="s">
        <v>106</v>
      </c>
      <c r="AC341" s="686"/>
      <c r="AD341" s="687">
        <v>120000</v>
      </c>
      <c r="AE341" s="688" t="s">
        <v>57</v>
      </c>
      <c r="AF341" s="16"/>
    </row>
    <row r="342" spans="1:32" s="15" customFormat="1" ht="24" customHeight="1">
      <c r="A342" s="47"/>
      <c r="B342" s="47"/>
      <c r="C342" s="47"/>
      <c r="D342" s="173"/>
      <c r="E342" s="119"/>
      <c r="F342" s="119"/>
      <c r="G342" s="119"/>
      <c r="H342" s="119"/>
      <c r="I342" s="119"/>
      <c r="J342" s="119"/>
      <c r="K342" s="119"/>
      <c r="L342" s="119"/>
      <c r="M342" s="119"/>
      <c r="N342" s="71"/>
      <c r="O342" s="637"/>
      <c r="P342" s="686"/>
      <c r="Q342" s="686"/>
      <c r="R342" s="686"/>
      <c r="S342" s="686"/>
      <c r="T342" s="686"/>
      <c r="U342" s="686"/>
      <c r="V342" s="686"/>
      <c r="W342" s="686"/>
      <c r="X342" s="686"/>
      <c r="Y342" s="686"/>
      <c r="Z342" s="686"/>
      <c r="AA342" s="686"/>
      <c r="AB342" s="686"/>
      <c r="AC342" s="686"/>
      <c r="AD342" s="687"/>
      <c r="AE342" s="688"/>
      <c r="AF342" s="16"/>
    </row>
    <row r="343" spans="1:32" s="15" customFormat="1" ht="24" customHeight="1">
      <c r="A343" s="47"/>
      <c r="B343" s="47"/>
      <c r="C343" s="47"/>
      <c r="D343" s="173"/>
      <c r="E343" s="119"/>
      <c r="F343" s="119"/>
      <c r="G343" s="119"/>
      <c r="H343" s="119"/>
      <c r="I343" s="119"/>
      <c r="J343" s="119"/>
      <c r="K343" s="119"/>
      <c r="L343" s="119"/>
      <c r="M343" s="119"/>
      <c r="N343" s="71"/>
      <c r="O343" s="450" t="s">
        <v>716</v>
      </c>
      <c r="P343" s="456"/>
      <c r="Q343" s="675"/>
      <c r="R343" s="670"/>
      <c r="S343" s="670"/>
      <c r="T343" s="670"/>
      <c r="U343" s="670"/>
      <c r="V343" s="670"/>
      <c r="W343" s="666" t="s">
        <v>153</v>
      </c>
      <c r="X343" s="666"/>
      <c r="Y343" s="666"/>
      <c r="Z343" s="666"/>
      <c r="AA343" s="666"/>
      <c r="AB343" s="666"/>
      <c r="AC343" s="689"/>
      <c r="AD343" s="689">
        <f>SUM(AD344:AD344)</f>
        <v>1499000</v>
      </c>
      <c r="AE343" s="674" t="s">
        <v>25</v>
      </c>
      <c r="AF343" s="16"/>
    </row>
    <row r="344" spans="1:32" s="15" customFormat="1" ht="24" customHeight="1">
      <c r="A344" s="47"/>
      <c r="B344" s="47"/>
      <c r="C344" s="48"/>
      <c r="D344" s="173"/>
      <c r="E344" s="119"/>
      <c r="F344" s="119"/>
      <c r="G344" s="119"/>
      <c r="H344" s="119"/>
      <c r="I344" s="119"/>
      <c r="J344" s="119"/>
      <c r="K344" s="119"/>
      <c r="L344" s="119"/>
      <c r="M344" s="119"/>
      <c r="N344" s="71"/>
      <c r="O344" s="637" t="s">
        <v>717</v>
      </c>
      <c r="P344" s="675"/>
      <c r="Q344" s="675"/>
      <c r="R344" s="670"/>
      <c r="S344" s="670"/>
      <c r="T344" s="670"/>
      <c r="U344" s="670"/>
      <c r="V344" s="670"/>
      <c r="W344" s="636"/>
      <c r="X344" s="636"/>
      <c r="Y344" s="636"/>
      <c r="Z344" s="636"/>
      <c r="AA344" s="636"/>
      <c r="AB344" s="636" t="s">
        <v>543</v>
      </c>
      <c r="AC344" s="149"/>
      <c r="AD344" s="149">
        <v>1499000</v>
      </c>
      <c r="AE344" s="150" t="s">
        <v>57</v>
      </c>
      <c r="AF344" s="16"/>
    </row>
    <row r="345" spans="1:32" s="15" customFormat="1" ht="24" customHeight="1">
      <c r="A345" s="47"/>
      <c r="B345" s="47"/>
      <c r="C345" s="48"/>
      <c r="D345" s="173"/>
      <c r="E345" s="119"/>
      <c r="F345" s="119"/>
      <c r="G345" s="119"/>
      <c r="H345" s="119"/>
      <c r="I345" s="119"/>
      <c r="J345" s="119"/>
      <c r="K345" s="119"/>
      <c r="L345" s="119"/>
      <c r="M345" s="119"/>
      <c r="N345" s="71"/>
      <c r="O345" s="637"/>
      <c r="P345" s="675"/>
      <c r="Q345" s="675"/>
      <c r="R345" s="670"/>
      <c r="S345" s="670"/>
      <c r="T345" s="670"/>
      <c r="U345" s="670"/>
      <c r="V345" s="670"/>
      <c r="W345" s="636"/>
      <c r="X345" s="636"/>
      <c r="Y345" s="636"/>
      <c r="Z345" s="636"/>
      <c r="AA345" s="636"/>
      <c r="AB345" s="636"/>
      <c r="AC345" s="149"/>
      <c r="AD345" s="149"/>
      <c r="AE345" s="150"/>
      <c r="AF345" s="16"/>
    </row>
    <row r="346" spans="1:32" s="15" customFormat="1" ht="24" customHeight="1">
      <c r="A346" s="47"/>
      <c r="B346" s="47"/>
      <c r="C346" s="48"/>
      <c r="D346" s="173"/>
      <c r="E346" s="119"/>
      <c r="F346" s="119"/>
      <c r="G346" s="119"/>
      <c r="H346" s="119"/>
      <c r="I346" s="119"/>
      <c r="J346" s="119"/>
      <c r="K346" s="119"/>
      <c r="L346" s="119"/>
      <c r="M346" s="119"/>
      <c r="N346" s="71"/>
      <c r="O346" s="450" t="s">
        <v>421</v>
      </c>
      <c r="P346" s="456"/>
      <c r="Q346" s="675"/>
      <c r="R346" s="670"/>
      <c r="S346" s="670"/>
      <c r="T346" s="670"/>
      <c r="U346" s="670"/>
      <c r="V346" s="670"/>
      <c r="W346" s="666" t="s">
        <v>153</v>
      </c>
      <c r="X346" s="666"/>
      <c r="Y346" s="666"/>
      <c r="Z346" s="666"/>
      <c r="AA346" s="666"/>
      <c r="AB346" s="666"/>
      <c r="AC346" s="689"/>
      <c r="AD346" s="689">
        <f>SUM(AD347:AD350)</f>
        <v>4250000</v>
      </c>
      <c r="AE346" s="674" t="s">
        <v>25</v>
      </c>
      <c r="AF346" s="16"/>
    </row>
    <row r="347" spans="1:32" s="15" customFormat="1" ht="24" customHeight="1">
      <c r="A347" s="47"/>
      <c r="B347" s="47"/>
      <c r="C347" s="48"/>
      <c r="D347" s="173"/>
      <c r="E347" s="119"/>
      <c r="F347" s="119"/>
      <c r="G347" s="119"/>
      <c r="H347" s="119"/>
      <c r="I347" s="119"/>
      <c r="J347" s="119"/>
      <c r="K347" s="119"/>
      <c r="L347" s="119"/>
      <c r="M347" s="119"/>
      <c r="N347" s="71"/>
      <c r="O347" s="637" t="s">
        <v>713</v>
      </c>
      <c r="P347" s="675"/>
      <c r="Q347" s="675"/>
      <c r="R347" s="670"/>
      <c r="S347" s="670"/>
      <c r="T347" s="670"/>
      <c r="U347" s="670"/>
      <c r="V347" s="670"/>
      <c r="W347" s="636"/>
      <c r="X347" s="636"/>
      <c r="Y347" s="636"/>
      <c r="Z347" s="636"/>
      <c r="AA347" s="636"/>
      <c r="AB347" s="636" t="s">
        <v>180</v>
      </c>
      <c r="AC347" s="149"/>
      <c r="AD347" s="149">
        <v>850000</v>
      </c>
      <c r="AE347" s="150" t="s">
        <v>57</v>
      </c>
      <c r="AF347" s="16"/>
    </row>
    <row r="348" spans="1:32" s="15" customFormat="1" ht="24" customHeight="1">
      <c r="A348" s="47"/>
      <c r="B348" s="47"/>
      <c r="C348" s="48"/>
      <c r="D348" s="173"/>
      <c r="E348" s="119"/>
      <c r="F348" s="119"/>
      <c r="G348" s="119"/>
      <c r="H348" s="119"/>
      <c r="I348" s="119"/>
      <c r="J348" s="119"/>
      <c r="K348" s="119"/>
      <c r="L348" s="119"/>
      <c r="M348" s="119"/>
      <c r="N348" s="71"/>
      <c r="O348" s="637" t="s">
        <v>785</v>
      </c>
      <c r="P348" s="675"/>
      <c r="Q348" s="675"/>
      <c r="R348" s="670"/>
      <c r="S348" s="670"/>
      <c r="T348" s="670"/>
      <c r="U348" s="670"/>
      <c r="V348" s="670"/>
      <c r="W348" s="636"/>
      <c r="X348" s="636"/>
      <c r="Y348" s="636"/>
      <c r="Z348" s="636"/>
      <c r="AA348" s="636"/>
      <c r="AB348" s="636" t="s">
        <v>543</v>
      </c>
      <c r="AC348" s="149"/>
      <c r="AD348" s="149">
        <v>210000</v>
      </c>
      <c r="AE348" s="150" t="s">
        <v>57</v>
      </c>
      <c r="AF348" s="16"/>
    </row>
    <row r="349" spans="1:32" s="15" customFormat="1" ht="24" customHeight="1">
      <c r="A349" s="47"/>
      <c r="B349" s="47"/>
      <c r="C349" s="48"/>
      <c r="D349" s="173"/>
      <c r="E349" s="119"/>
      <c r="F349" s="119"/>
      <c r="G349" s="119"/>
      <c r="H349" s="119"/>
      <c r="I349" s="119"/>
      <c r="J349" s="119"/>
      <c r="K349" s="119"/>
      <c r="L349" s="119"/>
      <c r="M349" s="119"/>
      <c r="N349" s="71"/>
      <c r="O349" s="637" t="s">
        <v>714</v>
      </c>
      <c r="P349" s="675"/>
      <c r="Q349" s="675"/>
      <c r="R349" s="670"/>
      <c r="S349" s="670"/>
      <c r="T349" s="670"/>
      <c r="U349" s="670"/>
      <c r="V349" s="670"/>
      <c r="W349" s="636"/>
      <c r="X349" s="636"/>
      <c r="Y349" s="636"/>
      <c r="Z349" s="636"/>
      <c r="AA349" s="636"/>
      <c r="AB349" s="636" t="s">
        <v>180</v>
      </c>
      <c r="AC349" s="149"/>
      <c r="AD349" s="149">
        <v>2200000</v>
      </c>
      <c r="AE349" s="150" t="s">
        <v>57</v>
      </c>
      <c r="AF349" s="16"/>
    </row>
    <row r="350" spans="1:32" s="15" customFormat="1" ht="24" customHeight="1">
      <c r="A350" s="47"/>
      <c r="B350" s="47"/>
      <c r="C350" s="48"/>
      <c r="D350" s="173"/>
      <c r="E350" s="119"/>
      <c r="F350" s="119"/>
      <c r="G350" s="119"/>
      <c r="H350" s="119"/>
      <c r="I350" s="119"/>
      <c r="J350" s="119"/>
      <c r="K350" s="119"/>
      <c r="L350" s="119"/>
      <c r="M350" s="119"/>
      <c r="N350" s="71"/>
      <c r="O350" s="637" t="s">
        <v>715</v>
      </c>
      <c r="P350" s="675"/>
      <c r="Q350" s="675"/>
      <c r="R350" s="670"/>
      <c r="S350" s="670"/>
      <c r="T350" s="670"/>
      <c r="U350" s="670"/>
      <c r="V350" s="670"/>
      <c r="W350" s="636"/>
      <c r="X350" s="636"/>
      <c r="Y350" s="636"/>
      <c r="Z350" s="636"/>
      <c r="AA350" s="636"/>
      <c r="AB350" s="636" t="s">
        <v>180</v>
      </c>
      <c r="AC350" s="149"/>
      <c r="AD350" s="149">
        <v>990000</v>
      </c>
      <c r="AE350" s="150" t="s">
        <v>57</v>
      </c>
      <c r="AF350" s="16"/>
    </row>
    <row r="351" spans="1:32" s="15" customFormat="1" ht="24" customHeight="1">
      <c r="A351" s="47"/>
      <c r="B351" s="47"/>
      <c r="C351" s="48"/>
      <c r="D351" s="173"/>
      <c r="E351" s="119"/>
      <c r="F351" s="119"/>
      <c r="G351" s="119"/>
      <c r="H351" s="119"/>
      <c r="I351" s="119"/>
      <c r="J351" s="119"/>
      <c r="K351" s="119"/>
      <c r="L351" s="119"/>
      <c r="M351" s="119"/>
      <c r="N351" s="71"/>
      <c r="O351" s="637"/>
      <c r="P351" s="675"/>
      <c r="Q351" s="675"/>
      <c r="R351" s="670"/>
      <c r="S351" s="670"/>
      <c r="T351" s="670"/>
      <c r="U351" s="670"/>
      <c r="V351" s="670"/>
      <c r="W351" s="636"/>
      <c r="X351" s="636"/>
      <c r="Y351" s="636"/>
      <c r="Z351" s="636"/>
      <c r="AA351" s="636"/>
      <c r="AB351" s="636"/>
      <c r="AC351" s="149"/>
      <c r="AD351" s="149"/>
      <c r="AE351" s="150"/>
      <c r="AF351" s="16"/>
    </row>
    <row r="352" spans="1:32" s="15" customFormat="1" ht="24" customHeight="1">
      <c r="A352" s="47"/>
      <c r="B352" s="47"/>
      <c r="C352" s="48"/>
      <c r="D352" s="173"/>
      <c r="E352" s="119"/>
      <c r="F352" s="119"/>
      <c r="G352" s="119"/>
      <c r="H352" s="119"/>
      <c r="I352" s="119"/>
      <c r="J352" s="119"/>
      <c r="K352" s="119"/>
      <c r="L352" s="119"/>
      <c r="M352" s="119"/>
      <c r="N352" s="71"/>
      <c r="O352" s="450" t="s">
        <v>718</v>
      </c>
      <c r="P352" s="456"/>
      <c r="Q352" s="675"/>
      <c r="R352" s="670"/>
      <c r="S352" s="670"/>
      <c r="T352" s="670"/>
      <c r="U352" s="670"/>
      <c r="V352" s="670"/>
      <c r="W352" s="666" t="s">
        <v>153</v>
      </c>
      <c r="X352" s="666"/>
      <c r="Y352" s="666"/>
      <c r="Z352" s="666"/>
      <c r="AA352" s="666"/>
      <c r="AB352" s="666"/>
      <c r="AC352" s="689"/>
      <c r="AD352" s="689">
        <f>SUM(AD353:AD358)</f>
        <v>31560000</v>
      </c>
      <c r="AE352" s="674" t="s">
        <v>25</v>
      </c>
      <c r="AF352" s="16"/>
    </row>
    <row r="353" spans="1:32" s="15" customFormat="1" ht="24" customHeight="1">
      <c r="A353" s="47"/>
      <c r="B353" s="47"/>
      <c r="C353" s="48"/>
      <c r="D353" s="173"/>
      <c r="E353" s="119"/>
      <c r="F353" s="119"/>
      <c r="G353" s="119"/>
      <c r="H353" s="119"/>
      <c r="I353" s="119"/>
      <c r="J353" s="119"/>
      <c r="K353" s="119"/>
      <c r="L353" s="119"/>
      <c r="M353" s="119"/>
      <c r="N353" s="71"/>
      <c r="O353" s="637" t="s">
        <v>719</v>
      </c>
      <c r="P353" s="675"/>
      <c r="Q353" s="675"/>
      <c r="R353" s="670"/>
      <c r="S353" s="670"/>
      <c r="T353" s="670"/>
      <c r="U353" s="670"/>
      <c r="V353" s="670"/>
      <c r="W353" s="636"/>
      <c r="X353" s="636"/>
      <c r="Y353" s="636"/>
      <c r="Z353" s="636"/>
      <c r="AA353" s="636"/>
      <c r="AB353" s="697" t="s">
        <v>991</v>
      </c>
      <c r="AC353" s="149"/>
      <c r="AD353" s="149">
        <v>800000</v>
      </c>
      <c r="AE353" s="150" t="s">
        <v>57</v>
      </c>
      <c r="AF353" s="16"/>
    </row>
    <row r="354" spans="1:32" s="15" customFormat="1" ht="24" customHeight="1">
      <c r="A354" s="47"/>
      <c r="B354" s="47"/>
      <c r="C354" s="48"/>
      <c r="D354" s="173"/>
      <c r="E354" s="119"/>
      <c r="F354" s="119"/>
      <c r="G354" s="119"/>
      <c r="H354" s="119"/>
      <c r="I354" s="119"/>
      <c r="J354" s="119"/>
      <c r="K354" s="119"/>
      <c r="L354" s="119"/>
      <c r="M354" s="119"/>
      <c r="N354" s="71"/>
      <c r="O354" s="637" t="s">
        <v>728</v>
      </c>
      <c r="P354" s="675"/>
      <c r="Q354" s="675"/>
      <c r="R354" s="670"/>
      <c r="S354" s="636">
        <v>60000</v>
      </c>
      <c r="T354" s="463" t="s">
        <v>57</v>
      </c>
      <c r="U354" s="463" t="s">
        <v>26</v>
      </c>
      <c r="V354" s="636">
        <v>2</v>
      </c>
      <c r="W354" s="637" t="s">
        <v>75</v>
      </c>
      <c r="X354" s="636"/>
      <c r="Y354" s="686"/>
      <c r="Z354" s="686" t="s">
        <v>53</v>
      </c>
      <c r="AA354" s="686"/>
      <c r="AB354" s="686" t="s">
        <v>991</v>
      </c>
      <c r="AC354" s="686"/>
      <c r="AD354" s="687">
        <f>S354*V354</f>
        <v>120000</v>
      </c>
      <c r="AE354" s="688" t="s">
        <v>57</v>
      </c>
      <c r="AF354" s="16"/>
    </row>
    <row r="355" spans="1:32" s="15" customFormat="1" ht="24" customHeight="1">
      <c r="A355" s="47"/>
      <c r="B355" s="47"/>
      <c r="C355" s="48"/>
      <c r="D355" s="173"/>
      <c r="E355" s="119"/>
      <c r="F355" s="119"/>
      <c r="G355" s="119"/>
      <c r="H355" s="119"/>
      <c r="I355" s="119"/>
      <c r="J355" s="119"/>
      <c r="K355" s="119"/>
      <c r="L355" s="119"/>
      <c r="M355" s="119"/>
      <c r="N355" s="71"/>
      <c r="O355" s="637" t="s">
        <v>777</v>
      </c>
      <c r="P355" s="675"/>
      <c r="Q355" s="675"/>
      <c r="R355" s="670"/>
      <c r="S355" s="636"/>
      <c r="T355" s="463"/>
      <c r="U355" s="463"/>
      <c r="V355" s="636"/>
      <c r="W355" s="637"/>
      <c r="X355" s="636"/>
      <c r="Y355" s="686"/>
      <c r="Z355" s="686"/>
      <c r="AA355" s="686"/>
      <c r="AB355" s="686" t="s">
        <v>991</v>
      </c>
      <c r="AC355" s="686"/>
      <c r="AD355" s="687">
        <v>600000</v>
      </c>
      <c r="AE355" s="688" t="s">
        <v>57</v>
      </c>
      <c r="AF355" s="16"/>
    </row>
    <row r="356" spans="1:32" s="15" customFormat="1" ht="24" customHeight="1">
      <c r="A356" s="47"/>
      <c r="B356" s="47"/>
      <c r="C356" s="48"/>
      <c r="D356" s="173"/>
      <c r="E356" s="119"/>
      <c r="F356" s="119"/>
      <c r="G356" s="119"/>
      <c r="H356" s="119"/>
      <c r="I356" s="119"/>
      <c r="J356" s="119"/>
      <c r="K356" s="119"/>
      <c r="L356" s="119"/>
      <c r="M356" s="119"/>
      <c r="N356" s="71"/>
      <c r="O356" s="637" t="s">
        <v>778</v>
      </c>
      <c r="P356" s="675"/>
      <c r="Q356" s="675"/>
      <c r="R356" s="670"/>
      <c r="S356" s="636"/>
      <c r="T356" s="463"/>
      <c r="U356" s="463"/>
      <c r="V356" s="636"/>
      <c r="W356" s="637"/>
      <c r="X356" s="636"/>
      <c r="Y356" s="686"/>
      <c r="Z356" s="686"/>
      <c r="AA356" s="686"/>
      <c r="AB356" s="686" t="s">
        <v>180</v>
      </c>
      <c r="AC356" s="686"/>
      <c r="AD356" s="687">
        <v>40000</v>
      </c>
      <c r="AE356" s="688" t="s">
        <v>57</v>
      </c>
      <c r="AF356" s="16"/>
    </row>
    <row r="357" spans="1:32" s="15" customFormat="1" ht="24" customHeight="1">
      <c r="A357" s="47"/>
      <c r="B357" s="47"/>
      <c r="C357" s="48"/>
      <c r="D357" s="173"/>
      <c r="E357" s="119"/>
      <c r="F357" s="119"/>
      <c r="G357" s="119"/>
      <c r="H357" s="119"/>
      <c r="I357" s="119"/>
      <c r="J357" s="119"/>
      <c r="K357" s="119"/>
      <c r="L357" s="119"/>
      <c r="M357" s="119"/>
      <c r="N357" s="71"/>
      <c r="O357" s="637" t="s">
        <v>779</v>
      </c>
      <c r="P357" s="675"/>
      <c r="Q357" s="675"/>
      <c r="R357" s="670"/>
      <c r="S357" s="670"/>
      <c r="T357" s="670"/>
      <c r="U357" s="670"/>
      <c r="V357" s="670"/>
      <c r="W357" s="636"/>
      <c r="X357" s="636"/>
      <c r="Y357" s="636"/>
      <c r="Z357" s="636"/>
      <c r="AA357" s="636"/>
      <c r="AB357" s="636" t="s">
        <v>246</v>
      </c>
      <c r="AC357" s="149"/>
      <c r="AD357" s="149">
        <v>15000000</v>
      </c>
      <c r="AE357" s="150" t="s">
        <v>57</v>
      </c>
      <c r="AF357" s="16"/>
    </row>
    <row r="358" spans="1:32" s="15" customFormat="1" ht="24" customHeight="1">
      <c r="A358" s="47"/>
      <c r="B358" s="47"/>
      <c r="C358" s="48"/>
      <c r="D358" s="173"/>
      <c r="E358" s="119"/>
      <c r="F358" s="119"/>
      <c r="G358" s="119"/>
      <c r="H358" s="119"/>
      <c r="I358" s="119"/>
      <c r="J358" s="119"/>
      <c r="K358" s="119"/>
      <c r="L358" s="119"/>
      <c r="M358" s="119"/>
      <c r="N358" s="71"/>
      <c r="O358" s="637"/>
      <c r="P358" s="675"/>
      <c r="Q358" s="675"/>
      <c r="R358" s="670"/>
      <c r="S358" s="670"/>
      <c r="T358" s="670"/>
      <c r="U358" s="670"/>
      <c r="V358" s="670"/>
      <c r="W358" s="636"/>
      <c r="X358" s="636"/>
      <c r="Y358" s="636"/>
      <c r="Z358" s="636"/>
      <c r="AA358" s="636"/>
      <c r="AB358" s="636" t="s">
        <v>543</v>
      </c>
      <c r="AC358" s="149"/>
      <c r="AD358" s="149">
        <v>15000000</v>
      </c>
      <c r="AE358" s="150" t="s">
        <v>57</v>
      </c>
      <c r="AF358" s="16"/>
    </row>
    <row r="359" spans="1:32" s="15" customFormat="1" ht="24" customHeight="1">
      <c r="A359" s="47"/>
      <c r="B359" s="47"/>
      <c r="C359" s="48"/>
      <c r="D359" s="173"/>
      <c r="E359" s="119"/>
      <c r="F359" s="119"/>
      <c r="G359" s="119"/>
      <c r="H359" s="119"/>
      <c r="I359" s="119"/>
      <c r="J359" s="119"/>
      <c r="K359" s="119"/>
      <c r="L359" s="119"/>
      <c r="M359" s="119"/>
      <c r="N359" s="71"/>
      <c r="O359" s="637"/>
      <c r="P359" s="675"/>
      <c r="Q359" s="675"/>
      <c r="R359" s="670"/>
      <c r="S359" s="670"/>
      <c r="T359" s="670"/>
      <c r="U359" s="670"/>
      <c r="V359" s="670"/>
      <c r="W359" s="636"/>
      <c r="X359" s="636"/>
      <c r="Y359" s="636"/>
      <c r="Z359" s="636"/>
      <c r="AA359" s="636"/>
      <c r="AB359" s="636"/>
      <c r="AC359" s="149"/>
      <c r="AD359" s="149"/>
      <c r="AE359" s="150"/>
      <c r="AF359" s="16"/>
    </row>
    <row r="360" spans="1:32" s="15" customFormat="1" ht="24" customHeight="1">
      <c r="A360" s="47"/>
      <c r="B360" s="47"/>
      <c r="C360" s="48"/>
      <c r="D360" s="173"/>
      <c r="E360" s="119"/>
      <c r="F360" s="119"/>
      <c r="G360" s="119"/>
      <c r="H360" s="119"/>
      <c r="I360" s="119"/>
      <c r="J360" s="119"/>
      <c r="K360" s="119"/>
      <c r="L360" s="119"/>
      <c r="M360" s="119"/>
      <c r="N360" s="71"/>
      <c r="O360" s="450" t="s">
        <v>662</v>
      </c>
      <c r="P360" s="456"/>
      <c r="Q360" s="675"/>
      <c r="R360" s="670"/>
      <c r="S360" s="670"/>
      <c r="T360" s="670"/>
      <c r="U360" s="670"/>
      <c r="V360" s="670"/>
      <c r="W360" s="666" t="s">
        <v>153</v>
      </c>
      <c r="X360" s="666"/>
      <c r="Y360" s="666"/>
      <c r="Z360" s="666"/>
      <c r="AA360" s="666"/>
      <c r="AB360" s="666"/>
      <c r="AC360" s="689"/>
      <c r="AD360" s="689">
        <f>AD361</f>
        <v>600000</v>
      </c>
      <c r="AE360" s="674" t="s">
        <v>25</v>
      </c>
      <c r="AF360" s="16"/>
    </row>
    <row r="361" spans="1:32" s="15" customFormat="1" ht="24" customHeight="1">
      <c r="A361" s="47"/>
      <c r="B361" s="47"/>
      <c r="C361" s="48"/>
      <c r="D361" s="173"/>
      <c r="E361" s="119"/>
      <c r="F361" s="119"/>
      <c r="G361" s="119"/>
      <c r="H361" s="119"/>
      <c r="I361" s="119"/>
      <c r="J361" s="119"/>
      <c r="K361" s="119"/>
      <c r="L361" s="119"/>
      <c r="M361" s="119"/>
      <c r="N361" s="71"/>
      <c r="O361" s="637" t="s">
        <v>663</v>
      </c>
      <c r="P361" s="675"/>
      <c r="Q361" s="675"/>
      <c r="R361" s="670"/>
      <c r="S361" s="670"/>
      <c r="T361" s="670"/>
      <c r="U361" s="670"/>
      <c r="V361" s="670"/>
      <c r="W361" s="636"/>
      <c r="X361" s="636"/>
      <c r="Y361" s="636"/>
      <c r="Z361" s="636"/>
      <c r="AA361" s="636"/>
      <c r="AB361" s="636" t="s">
        <v>407</v>
      </c>
      <c r="AC361" s="149"/>
      <c r="AD361" s="149">
        <v>600000</v>
      </c>
      <c r="AE361" s="150" t="s">
        <v>57</v>
      </c>
      <c r="AF361" s="16"/>
    </row>
    <row r="362" spans="1:32" s="15" customFormat="1" ht="24" customHeight="1">
      <c r="A362" s="60"/>
      <c r="B362" s="60"/>
      <c r="C362" s="121"/>
      <c r="D362" s="174"/>
      <c r="E362" s="122"/>
      <c r="F362" s="122"/>
      <c r="G362" s="122"/>
      <c r="H362" s="122"/>
      <c r="I362" s="122"/>
      <c r="J362" s="122"/>
      <c r="K362" s="122"/>
      <c r="L362" s="122"/>
      <c r="M362" s="119"/>
      <c r="N362" s="71"/>
      <c r="O362" s="51"/>
      <c r="P362" s="51"/>
      <c r="Q362" s="51"/>
      <c r="R362" s="51"/>
      <c r="S362" s="51"/>
      <c r="T362" s="52"/>
      <c r="U362" s="52"/>
      <c r="V362" s="52"/>
      <c r="W362" s="52"/>
      <c r="X362" s="52"/>
      <c r="Y362" s="148"/>
      <c r="Z362" s="148"/>
      <c r="AA362" s="148"/>
      <c r="AB362" s="148"/>
      <c r="AC362" s="149"/>
      <c r="AD362" s="52"/>
      <c r="AE362" s="58"/>
      <c r="AF362" s="16"/>
    </row>
    <row r="363" spans="1:32" s="11" customFormat="1" ht="21" customHeight="1">
      <c r="A363" s="123" t="s">
        <v>176</v>
      </c>
      <c r="B363" s="787" t="s">
        <v>20</v>
      </c>
      <c r="C363" s="788"/>
      <c r="D363" s="188">
        <f>SUM(D364)</f>
        <v>2700</v>
      </c>
      <c r="E363" s="188">
        <f>SUM(E364)</f>
        <v>4929</v>
      </c>
      <c r="F363" s="188">
        <f t="shared" ref="F363:L363" si="12">SUM(F364)</f>
        <v>3840.6439999999998</v>
      </c>
      <c r="G363" s="188">
        <f t="shared" si="12"/>
        <v>864</v>
      </c>
      <c r="H363" s="188">
        <f t="shared" si="12"/>
        <v>224.68199999999999</v>
      </c>
      <c r="I363" s="188">
        <f t="shared" si="12"/>
        <v>0</v>
      </c>
      <c r="J363" s="188">
        <f t="shared" si="12"/>
        <v>0</v>
      </c>
      <c r="K363" s="188">
        <f t="shared" si="12"/>
        <v>0</v>
      </c>
      <c r="L363" s="188">
        <f t="shared" si="12"/>
        <v>0</v>
      </c>
      <c r="M363" s="188">
        <f>E363-D363</f>
        <v>2229</v>
      </c>
      <c r="N363" s="189">
        <f>IF(D363=0,0,M363/D363)</f>
        <v>0.8255555555555556</v>
      </c>
      <c r="O363" s="106" t="s">
        <v>179</v>
      </c>
      <c r="P363" s="190"/>
      <c r="Q363" s="190"/>
      <c r="R363" s="190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>
        <f>SUM(AD364)</f>
        <v>4929000</v>
      </c>
      <c r="AE363" s="192" t="s">
        <v>25</v>
      </c>
      <c r="AF363" s="1"/>
    </row>
    <row r="364" spans="1:32" s="11" customFormat="1" ht="21" customHeight="1">
      <c r="A364" s="212" t="s">
        <v>178</v>
      </c>
      <c r="B364" s="47" t="s">
        <v>176</v>
      </c>
      <c r="C364" s="47" t="s">
        <v>176</v>
      </c>
      <c r="D364" s="173">
        <v>2700</v>
      </c>
      <c r="E364" s="119">
        <f>AD364/1000</f>
        <v>4929</v>
      </c>
      <c r="F364" s="119">
        <f>SUM(AD365:AD368)/1000</f>
        <v>3840.6439999999998</v>
      </c>
      <c r="G364" s="119">
        <f>ROUND(SUM(AD371:AD374)/1000,0)</f>
        <v>864</v>
      </c>
      <c r="H364" s="119">
        <f>SUM(AD369:AD370)/1000</f>
        <v>224.68199999999999</v>
      </c>
      <c r="I364" s="119">
        <v>0</v>
      </c>
      <c r="J364" s="119">
        <v>0</v>
      </c>
      <c r="K364" s="119">
        <v>0</v>
      </c>
      <c r="L364" s="119">
        <v>0</v>
      </c>
      <c r="M364" s="119">
        <f>E364-D364</f>
        <v>2229</v>
      </c>
      <c r="N364" s="71">
        <f>IF(D364=0,0,M364/D364)</f>
        <v>0.8255555555555556</v>
      </c>
      <c r="O364" s="456" t="s">
        <v>505</v>
      </c>
      <c r="P364" s="33"/>
      <c r="Q364" s="33"/>
      <c r="R364" s="33"/>
      <c r="S364" s="33"/>
      <c r="T364" s="34"/>
      <c r="U364" s="34"/>
      <c r="V364" s="34"/>
      <c r="W364" s="34"/>
      <c r="X364" s="34"/>
      <c r="Y364" s="191" t="s">
        <v>164</v>
      </c>
      <c r="Z364" s="109"/>
      <c r="AA364" s="109"/>
      <c r="AB364" s="109"/>
      <c r="AC364" s="129"/>
      <c r="AD364" s="129">
        <f>ROUND(SUM(AD365:AD375),-3)</f>
        <v>4929000</v>
      </c>
      <c r="AE364" s="130" t="s">
        <v>25</v>
      </c>
      <c r="AF364" s="1"/>
    </row>
    <row r="365" spans="1:32" ht="21" customHeight="1">
      <c r="A365" s="46"/>
      <c r="B365" s="47" t="s">
        <v>177</v>
      </c>
      <c r="C365" s="47" t="s">
        <v>177</v>
      </c>
      <c r="D365" s="173"/>
      <c r="E365" s="119"/>
      <c r="F365" s="119"/>
      <c r="G365" s="119"/>
      <c r="H365" s="119"/>
      <c r="I365" s="119"/>
      <c r="J365" s="119"/>
      <c r="K365" s="119"/>
      <c r="L365" s="119"/>
      <c r="M365" s="119"/>
      <c r="N365" s="71"/>
      <c r="O365" s="637" t="s">
        <v>905</v>
      </c>
      <c r="P365" s="637"/>
      <c r="Q365" s="637"/>
      <c r="R365" s="637"/>
      <c r="S365" s="636"/>
      <c r="T365" s="636"/>
      <c r="U365" s="636"/>
      <c r="V365" s="636"/>
      <c r="W365" s="636"/>
      <c r="X365" s="636"/>
      <c r="Y365" s="636"/>
      <c r="Z365" s="636"/>
      <c r="AA365" s="636"/>
      <c r="AB365" s="636"/>
      <c r="AC365" s="636"/>
      <c r="AD365" s="149">
        <v>3669520</v>
      </c>
      <c r="AE365" s="150" t="s">
        <v>25</v>
      </c>
    </row>
    <row r="366" spans="1:32" ht="21" customHeight="1">
      <c r="A366" s="46"/>
      <c r="B366" s="47"/>
      <c r="C366" s="47"/>
      <c r="D366" s="173"/>
      <c r="E366" s="119"/>
      <c r="F366" s="119"/>
      <c r="G366" s="119"/>
      <c r="H366" s="119"/>
      <c r="I366" s="119"/>
      <c r="J366" s="119"/>
      <c r="K366" s="119"/>
      <c r="L366" s="119"/>
      <c r="M366" s="119"/>
      <c r="N366" s="71"/>
      <c r="O366" s="637" t="s">
        <v>906</v>
      </c>
      <c r="P366" s="637"/>
      <c r="Q366" s="637"/>
      <c r="R366" s="637"/>
      <c r="S366" s="636"/>
      <c r="T366" s="636"/>
      <c r="U366" s="636"/>
      <c r="V366" s="636"/>
      <c r="W366" s="636"/>
      <c r="X366" s="636"/>
      <c r="Y366" s="636"/>
      <c r="Z366" s="636"/>
      <c r="AA366" s="636"/>
      <c r="AB366" s="636"/>
      <c r="AC366" s="636"/>
      <c r="AD366" s="149">
        <v>127230</v>
      </c>
      <c r="AE366" s="150" t="s">
        <v>821</v>
      </c>
    </row>
    <row r="367" spans="1:32" ht="21" customHeight="1">
      <c r="A367" s="46"/>
      <c r="B367" s="47"/>
      <c r="C367" s="47"/>
      <c r="D367" s="173"/>
      <c r="E367" s="119"/>
      <c r="F367" s="119"/>
      <c r="G367" s="119"/>
      <c r="H367" s="119"/>
      <c r="I367" s="119"/>
      <c r="J367" s="119"/>
      <c r="K367" s="119"/>
      <c r="L367" s="119"/>
      <c r="M367" s="119"/>
      <c r="N367" s="71"/>
      <c r="O367" s="637" t="s">
        <v>907</v>
      </c>
      <c r="P367" s="637"/>
      <c r="Q367" s="637"/>
      <c r="R367" s="637"/>
      <c r="S367" s="636"/>
      <c r="T367" s="636"/>
      <c r="U367" s="636"/>
      <c r="V367" s="636"/>
      <c r="W367" s="636"/>
      <c r="X367" s="636"/>
      <c r="Y367" s="636"/>
      <c r="Z367" s="636"/>
      <c r="AA367" s="636"/>
      <c r="AB367" s="636"/>
      <c r="AC367" s="636"/>
      <c r="AD367" s="149">
        <v>40470</v>
      </c>
      <c r="AE367" s="150" t="s">
        <v>821</v>
      </c>
    </row>
    <row r="368" spans="1:32" ht="21" customHeight="1">
      <c r="A368" s="46"/>
      <c r="B368" s="47"/>
      <c r="C368" s="47"/>
      <c r="D368" s="173"/>
      <c r="E368" s="119"/>
      <c r="F368" s="119"/>
      <c r="G368" s="119"/>
      <c r="H368" s="119"/>
      <c r="I368" s="119"/>
      <c r="J368" s="119"/>
      <c r="K368" s="119"/>
      <c r="L368" s="119"/>
      <c r="M368" s="119"/>
      <c r="N368" s="71"/>
      <c r="O368" s="637" t="s">
        <v>908</v>
      </c>
      <c r="P368" s="637"/>
      <c r="Q368" s="637"/>
      <c r="R368" s="637"/>
      <c r="S368" s="636"/>
      <c r="T368" s="636"/>
      <c r="U368" s="636"/>
      <c r="V368" s="636"/>
      <c r="W368" s="636"/>
      <c r="X368" s="636"/>
      <c r="Y368" s="636"/>
      <c r="Z368" s="636"/>
      <c r="AA368" s="636"/>
      <c r="AB368" s="636"/>
      <c r="AC368" s="636"/>
      <c r="AD368" s="149">
        <v>3424</v>
      </c>
      <c r="AE368" s="150" t="s">
        <v>821</v>
      </c>
    </row>
    <row r="369" spans="1:32" ht="21" customHeight="1">
      <c r="A369" s="46"/>
      <c r="B369" s="47"/>
      <c r="C369" s="47"/>
      <c r="D369" s="173"/>
      <c r="E369" s="119"/>
      <c r="F369" s="119"/>
      <c r="G369" s="119"/>
      <c r="H369" s="119"/>
      <c r="I369" s="119"/>
      <c r="J369" s="119"/>
      <c r="K369" s="119"/>
      <c r="L369" s="119"/>
      <c r="M369" s="119"/>
      <c r="N369" s="71"/>
      <c r="O369" s="637" t="s">
        <v>909</v>
      </c>
      <c r="P369" s="637"/>
      <c r="Q369" s="637"/>
      <c r="R369" s="637"/>
      <c r="S369" s="636"/>
      <c r="T369" s="636"/>
      <c r="U369" s="636"/>
      <c r="V369" s="636"/>
      <c r="W369" s="636"/>
      <c r="X369" s="636"/>
      <c r="Y369" s="636"/>
      <c r="Z369" s="636"/>
      <c r="AA369" s="636"/>
      <c r="AB369" s="636"/>
      <c r="AC369" s="636"/>
      <c r="AD369" s="149">
        <v>220600</v>
      </c>
      <c r="AE369" s="150" t="s">
        <v>25</v>
      </c>
    </row>
    <row r="370" spans="1:32" ht="21" customHeight="1">
      <c r="A370" s="46"/>
      <c r="B370" s="47"/>
      <c r="C370" s="47"/>
      <c r="D370" s="173"/>
      <c r="E370" s="119"/>
      <c r="F370" s="119"/>
      <c r="G370" s="119"/>
      <c r="H370" s="119"/>
      <c r="I370" s="119"/>
      <c r="J370" s="119"/>
      <c r="K370" s="119"/>
      <c r="L370" s="119"/>
      <c r="M370" s="119"/>
      <c r="N370" s="71"/>
      <c r="O370" s="637" t="s">
        <v>910</v>
      </c>
      <c r="P370" s="637"/>
      <c r="Q370" s="637"/>
      <c r="R370" s="637"/>
      <c r="S370" s="636"/>
      <c r="T370" s="636"/>
      <c r="U370" s="636"/>
      <c r="V370" s="636"/>
      <c r="W370" s="636"/>
      <c r="X370" s="636"/>
      <c r="Y370" s="636"/>
      <c r="Z370" s="636"/>
      <c r="AA370" s="636"/>
      <c r="AB370" s="636"/>
      <c r="AC370" s="636"/>
      <c r="AD370" s="149">
        <v>4082</v>
      </c>
      <c r="AE370" s="150" t="s">
        <v>821</v>
      </c>
    </row>
    <row r="371" spans="1:32" ht="21" customHeight="1">
      <c r="A371" s="46"/>
      <c r="B371" s="47"/>
      <c r="C371" s="47"/>
      <c r="D371" s="173"/>
      <c r="E371" s="119"/>
      <c r="F371" s="119"/>
      <c r="G371" s="119"/>
      <c r="H371" s="119"/>
      <c r="I371" s="119"/>
      <c r="J371" s="119"/>
      <c r="K371" s="119"/>
      <c r="L371" s="119"/>
      <c r="M371" s="119"/>
      <c r="N371" s="71"/>
      <c r="O371" s="637" t="s">
        <v>911</v>
      </c>
      <c r="P371" s="637"/>
      <c r="Q371" s="637"/>
      <c r="R371" s="637"/>
      <c r="S371" s="636"/>
      <c r="T371" s="636"/>
      <c r="U371" s="636"/>
      <c r="V371" s="636"/>
      <c r="W371" s="636"/>
      <c r="X371" s="636"/>
      <c r="Y371" s="636"/>
      <c r="Z371" s="636"/>
      <c r="AA371" s="636"/>
      <c r="AB371" s="636"/>
      <c r="AC371" s="636"/>
      <c r="AD371" s="149">
        <v>757570</v>
      </c>
      <c r="AE371" s="150" t="s">
        <v>25</v>
      </c>
    </row>
    <row r="372" spans="1:32" ht="21" customHeight="1">
      <c r="A372" s="46"/>
      <c r="B372" s="47"/>
      <c r="C372" s="47"/>
      <c r="D372" s="173"/>
      <c r="E372" s="119"/>
      <c r="F372" s="119"/>
      <c r="G372" s="119"/>
      <c r="H372" s="119"/>
      <c r="I372" s="119"/>
      <c r="J372" s="119"/>
      <c r="K372" s="119"/>
      <c r="L372" s="119"/>
      <c r="M372" s="119"/>
      <c r="N372" s="71"/>
      <c r="O372" s="637" t="s">
        <v>912</v>
      </c>
      <c r="P372" s="637"/>
      <c r="Q372" s="637"/>
      <c r="R372" s="637"/>
      <c r="S372" s="636"/>
      <c r="T372" s="636"/>
      <c r="U372" s="636"/>
      <c r="V372" s="636"/>
      <c r="W372" s="636"/>
      <c r="X372" s="636"/>
      <c r="Y372" s="636"/>
      <c r="Z372" s="636"/>
      <c r="AA372" s="636"/>
      <c r="AB372" s="636"/>
      <c r="AC372" s="636"/>
      <c r="AD372" s="149">
        <v>22346</v>
      </c>
      <c r="AE372" s="150" t="s">
        <v>821</v>
      </c>
    </row>
    <row r="373" spans="1:32" ht="21" customHeight="1">
      <c r="A373" s="46"/>
      <c r="B373" s="47"/>
      <c r="C373" s="47"/>
      <c r="D373" s="173"/>
      <c r="E373" s="119"/>
      <c r="F373" s="119"/>
      <c r="G373" s="119"/>
      <c r="H373" s="119"/>
      <c r="I373" s="119"/>
      <c r="J373" s="119"/>
      <c r="K373" s="119"/>
      <c r="L373" s="119"/>
      <c r="M373" s="119"/>
      <c r="N373" s="71"/>
      <c r="O373" s="637" t="s">
        <v>913</v>
      </c>
      <c r="P373" s="637"/>
      <c r="Q373" s="637"/>
      <c r="R373" s="637"/>
      <c r="S373" s="636"/>
      <c r="T373" s="636"/>
      <c r="U373" s="636"/>
      <c r="V373" s="636"/>
      <c r="W373" s="636"/>
      <c r="X373" s="636"/>
      <c r="Y373" s="636"/>
      <c r="Z373" s="636"/>
      <c r="AA373" s="636"/>
      <c r="AB373" s="636"/>
      <c r="AC373" s="636"/>
      <c r="AD373" s="149">
        <v>80900</v>
      </c>
      <c r="AE373" s="150" t="s">
        <v>25</v>
      </c>
    </row>
    <row r="374" spans="1:32" ht="21" customHeight="1">
      <c r="A374" s="46"/>
      <c r="B374" s="47"/>
      <c r="C374" s="47"/>
      <c r="D374" s="173"/>
      <c r="E374" s="119"/>
      <c r="F374" s="119"/>
      <c r="G374" s="119"/>
      <c r="H374" s="119"/>
      <c r="I374" s="119"/>
      <c r="J374" s="119"/>
      <c r="K374" s="119"/>
      <c r="L374" s="119"/>
      <c r="M374" s="119"/>
      <c r="N374" s="71"/>
      <c r="O374" s="637" t="s">
        <v>914</v>
      </c>
      <c r="P374" s="637"/>
      <c r="Q374" s="637"/>
      <c r="R374" s="637"/>
      <c r="S374" s="636"/>
      <c r="T374" s="636"/>
      <c r="U374" s="636"/>
      <c r="V374" s="636"/>
      <c r="W374" s="636"/>
      <c r="X374" s="636"/>
      <c r="Y374" s="636"/>
      <c r="Z374" s="636"/>
      <c r="AA374" s="636"/>
      <c r="AB374" s="636"/>
      <c r="AC374" s="636"/>
      <c r="AD374" s="149">
        <v>2910</v>
      </c>
      <c r="AE374" s="150" t="s">
        <v>25</v>
      </c>
    </row>
    <row r="375" spans="1:32" ht="21" customHeight="1">
      <c r="A375" s="46"/>
      <c r="B375" s="47"/>
      <c r="C375" s="48"/>
      <c r="D375" s="173"/>
      <c r="E375" s="119"/>
      <c r="F375" s="119"/>
      <c r="G375" s="119"/>
      <c r="H375" s="119"/>
      <c r="I375" s="119"/>
      <c r="J375" s="119"/>
      <c r="K375" s="119"/>
      <c r="L375" s="119"/>
      <c r="M375" s="119"/>
      <c r="N375" s="71"/>
      <c r="O375" s="637" t="s">
        <v>915</v>
      </c>
      <c r="P375" s="637"/>
      <c r="Q375" s="637"/>
      <c r="R375" s="637"/>
      <c r="S375" s="636"/>
      <c r="T375" s="636"/>
      <c r="U375" s="636"/>
      <c r="V375" s="636"/>
      <c r="W375" s="636"/>
      <c r="X375" s="636"/>
      <c r="Y375" s="636"/>
      <c r="Z375" s="636"/>
      <c r="AA375" s="636"/>
      <c r="AB375" s="636"/>
      <c r="AC375" s="636"/>
      <c r="AD375" s="149">
        <v>0</v>
      </c>
      <c r="AE375" s="150" t="s">
        <v>821</v>
      </c>
    </row>
    <row r="376" spans="1:32" s="14" customFormat="1" ht="21" customHeight="1">
      <c r="A376" s="46"/>
      <c r="B376" s="60"/>
      <c r="C376" s="48"/>
      <c r="D376" s="173"/>
      <c r="E376" s="119"/>
      <c r="F376" s="119"/>
      <c r="G376" s="119"/>
      <c r="H376" s="119"/>
      <c r="I376" s="119"/>
      <c r="J376" s="119"/>
      <c r="K376" s="119"/>
      <c r="L376" s="119"/>
      <c r="M376" s="119"/>
      <c r="N376" s="7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2"/>
      <c r="AE376" s="58"/>
      <c r="AF376" s="4"/>
    </row>
    <row r="377" spans="1:32" s="11" customFormat="1" ht="21" customHeight="1">
      <c r="A377" s="36" t="s">
        <v>103</v>
      </c>
      <c r="B377" s="787" t="s">
        <v>20</v>
      </c>
      <c r="C377" s="788"/>
      <c r="D377" s="188">
        <f>D378</f>
        <v>0</v>
      </c>
      <c r="E377" s="188">
        <f>E378</f>
        <v>0</v>
      </c>
      <c r="F377" s="188">
        <f t="shared" ref="F377:L377" si="13">F378</f>
        <v>0</v>
      </c>
      <c r="G377" s="188">
        <f t="shared" si="13"/>
        <v>0</v>
      </c>
      <c r="H377" s="188">
        <f t="shared" si="13"/>
        <v>0</v>
      </c>
      <c r="I377" s="188">
        <f t="shared" si="13"/>
        <v>0</v>
      </c>
      <c r="J377" s="188">
        <f t="shared" si="13"/>
        <v>0</v>
      </c>
      <c r="K377" s="188">
        <f t="shared" si="13"/>
        <v>0</v>
      </c>
      <c r="L377" s="188">
        <f t="shared" si="13"/>
        <v>0</v>
      </c>
      <c r="M377" s="188">
        <f>E377-D377</f>
        <v>0</v>
      </c>
      <c r="N377" s="189">
        <f>IF(D377=0,0,M377/D377)</f>
        <v>0</v>
      </c>
      <c r="O377" s="190" t="s">
        <v>103</v>
      </c>
      <c r="P377" s="190"/>
      <c r="Q377" s="190"/>
      <c r="R377" s="190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>
        <f>SUM(AD378)</f>
        <v>0</v>
      </c>
      <c r="AE377" s="192" t="s">
        <v>25</v>
      </c>
      <c r="AF377" s="1"/>
    </row>
    <row r="378" spans="1:32" s="11" customFormat="1" ht="21" customHeight="1">
      <c r="A378" s="46"/>
      <c r="B378" s="47" t="s">
        <v>103</v>
      </c>
      <c r="C378" s="47" t="s">
        <v>103</v>
      </c>
      <c r="D378" s="173">
        <v>0</v>
      </c>
      <c r="E378" s="119">
        <f>AD378/1000</f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f>E378-D378</f>
        <v>0</v>
      </c>
      <c r="N378" s="71">
        <f>IF(D378=0,0,M378/D378)</f>
        <v>0</v>
      </c>
      <c r="O378" s="127" t="s">
        <v>104</v>
      </c>
      <c r="P378" s="33"/>
      <c r="Q378" s="33"/>
      <c r="R378" s="33"/>
      <c r="S378" s="33"/>
      <c r="T378" s="34"/>
      <c r="U378" s="34"/>
      <c r="V378" s="34"/>
      <c r="W378" s="34"/>
      <c r="X378" s="34"/>
      <c r="Y378" s="191" t="s">
        <v>164</v>
      </c>
      <c r="Z378" s="109"/>
      <c r="AA378" s="109"/>
      <c r="AB378" s="109"/>
      <c r="AC378" s="129"/>
      <c r="AD378" s="129">
        <v>0</v>
      </c>
      <c r="AE378" s="130" t="s">
        <v>25</v>
      </c>
      <c r="AF378" s="1"/>
    </row>
    <row r="379" spans="1:32" s="1" customFormat="1" ht="21" customHeight="1" thickBot="1">
      <c r="A379" s="151"/>
      <c r="B379" s="47"/>
      <c r="C379" s="47"/>
      <c r="D379" s="173"/>
      <c r="E379" s="119"/>
      <c r="F379" s="119"/>
      <c r="G379" s="119"/>
      <c r="H379" s="119"/>
      <c r="I379" s="119"/>
      <c r="J379" s="119"/>
      <c r="K379" s="119"/>
      <c r="L379" s="119"/>
      <c r="M379" s="119"/>
      <c r="N379" s="71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154"/>
    </row>
    <row r="380" spans="1:32" s="11" customFormat="1" ht="21" customHeight="1">
      <c r="A380" s="36" t="s">
        <v>21</v>
      </c>
      <c r="B380" s="785" t="s">
        <v>20</v>
      </c>
      <c r="C380" s="786"/>
      <c r="D380" s="217">
        <f>SUM(D381)</f>
        <v>250</v>
      </c>
      <c r="E380" s="217">
        <f>SUM(E381)</f>
        <v>250</v>
      </c>
      <c r="F380" s="217">
        <f t="shared" ref="F380:L380" si="14">SUM(F381)</f>
        <v>155</v>
      </c>
      <c r="G380" s="217">
        <f t="shared" si="14"/>
        <v>25</v>
      </c>
      <c r="H380" s="217">
        <f t="shared" si="14"/>
        <v>5</v>
      </c>
      <c r="I380" s="217">
        <f t="shared" si="14"/>
        <v>30</v>
      </c>
      <c r="J380" s="217">
        <f t="shared" si="14"/>
        <v>20</v>
      </c>
      <c r="K380" s="217">
        <f t="shared" si="14"/>
        <v>5</v>
      </c>
      <c r="L380" s="217">
        <f t="shared" si="14"/>
        <v>10</v>
      </c>
      <c r="M380" s="217">
        <f>E380-D380</f>
        <v>0</v>
      </c>
      <c r="N380" s="218">
        <f>IF(D380=0,0,M380/D380)</f>
        <v>0</v>
      </c>
      <c r="O380" s="181" t="s">
        <v>21</v>
      </c>
      <c r="P380" s="182"/>
      <c r="Q380" s="182"/>
      <c r="R380" s="182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>
        <f>AD381</f>
        <v>250000</v>
      </c>
      <c r="AE380" s="184" t="s">
        <v>25</v>
      </c>
      <c r="AF380" s="1"/>
    </row>
    <row r="381" spans="1:32" s="11" customFormat="1" ht="21" customHeight="1">
      <c r="A381" s="46"/>
      <c r="B381" s="47" t="s">
        <v>21</v>
      </c>
      <c r="C381" s="47" t="s">
        <v>21</v>
      </c>
      <c r="D381" s="119">
        <v>250</v>
      </c>
      <c r="E381" s="119">
        <f>SUM(F381:L381)</f>
        <v>250</v>
      </c>
      <c r="F381" s="119">
        <f>(AD382+AD383)/1000</f>
        <v>155</v>
      </c>
      <c r="G381" s="119">
        <f>SUM(AD385:AD386)/1000</f>
        <v>25</v>
      </c>
      <c r="H381" s="119">
        <f>AD384/1000</f>
        <v>5</v>
      </c>
      <c r="I381" s="119">
        <f>AD388/1000</f>
        <v>30</v>
      </c>
      <c r="J381" s="119">
        <f>AD387/1000</f>
        <v>20</v>
      </c>
      <c r="K381" s="119">
        <f>AD389/1000</f>
        <v>5</v>
      </c>
      <c r="L381" s="119">
        <f>AD390/1000</f>
        <v>10</v>
      </c>
      <c r="M381" s="119">
        <f>E381-D381</f>
        <v>0</v>
      </c>
      <c r="N381" s="71">
        <f>IF(D381=0,0,M381/D381)</f>
        <v>0</v>
      </c>
      <c r="O381" s="127" t="s">
        <v>52</v>
      </c>
      <c r="P381" s="33"/>
      <c r="Q381" s="33"/>
      <c r="R381" s="33"/>
      <c r="S381" s="33"/>
      <c r="T381" s="34"/>
      <c r="U381" s="34"/>
      <c r="V381" s="34"/>
      <c r="W381" s="34"/>
      <c r="X381" s="34"/>
      <c r="Y381" s="191" t="s">
        <v>164</v>
      </c>
      <c r="Z381" s="109"/>
      <c r="AA381" s="109"/>
      <c r="AB381" s="109"/>
      <c r="AC381" s="129"/>
      <c r="AD381" s="129">
        <f>SUM(AD382:AD390)</f>
        <v>250000</v>
      </c>
      <c r="AE381" s="130" t="s">
        <v>25</v>
      </c>
      <c r="AF381" s="1"/>
    </row>
    <row r="382" spans="1:32" s="11" customFormat="1" ht="21" customHeight="1">
      <c r="A382" s="46"/>
      <c r="B382" s="47"/>
      <c r="C382" s="47"/>
      <c r="D382" s="173"/>
      <c r="E382" s="119"/>
      <c r="F382" s="119"/>
      <c r="G382" s="119"/>
      <c r="H382" s="119"/>
      <c r="I382" s="119"/>
      <c r="J382" s="119"/>
      <c r="K382" s="119"/>
      <c r="L382" s="119"/>
      <c r="M382" s="119"/>
      <c r="N382" s="71"/>
      <c r="O382" s="637" t="s">
        <v>916</v>
      </c>
      <c r="P382" s="637"/>
      <c r="Q382" s="637"/>
      <c r="R382" s="637"/>
      <c r="S382" s="637"/>
      <c r="T382" s="636"/>
      <c r="U382" s="636"/>
      <c r="V382" s="636"/>
      <c r="W382" s="636"/>
      <c r="X382" s="636"/>
      <c r="Y382" s="636"/>
      <c r="Z382" s="636"/>
      <c r="AA382" s="636"/>
      <c r="AB382" s="636"/>
      <c r="AC382" s="149"/>
      <c r="AD382" s="149">
        <v>150000</v>
      </c>
      <c r="AE382" s="150" t="s">
        <v>821</v>
      </c>
      <c r="AF382" s="2"/>
    </row>
    <row r="383" spans="1:32" s="11" customFormat="1" ht="21" customHeight="1">
      <c r="A383" s="46"/>
      <c r="B383" s="47"/>
      <c r="C383" s="47"/>
      <c r="D383" s="173"/>
      <c r="E383" s="119"/>
      <c r="F383" s="119"/>
      <c r="G383" s="119"/>
      <c r="H383" s="119"/>
      <c r="I383" s="119"/>
      <c r="J383" s="119"/>
      <c r="K383" s="119"/>
      <c r="L383" s="119"/>
      <c r="M383" s="119"/>
      <c r="N383" s="71"/>
      <c r="O383" s="637" t="s">
        <v>917</v>
      </c>
      <c r="P383" s="637"/>
      <c r="Q383" s="637"/>
      <c r="R383" s="637"/>
      <c r="S383" s="637"/>
      <c r="T383" s="636"/>
      <c r="U383" s="636"/>
      <c r="V383" s="636"/>
      <c r="W383" s="636"/>
      <c r="X383" s="636"/>
      <c r="Y383" s="636"/>
      <c r="Z383" s="636"/>
      <c r="AA383" s="636"/>
      <c r="AB383" s="636"/>
      <c r="AC383" s="149"/>
      <c r="AD383" s="149">
        <v>5000</v>
      </c>
      <c r="AE383" s="150" t="s">
        <v>821</v>
      </c>
      <c r="AF383" s="2"/>
    </row>
    <row r="384" spans="1:32" s="11" customFormat="1" ht="21" customHeight="1">
      <c r="A384" s="46"/>
      <c r="B384" s="47"/>
      <c r="C384" s="47"/>
      <c r="D384" s="173"/>
      <c r="E384" s="119"/>
      <c r="F384" s="119"/>
      <c r="G384" s="119"/>
      <c r="H384" s="119"/>
      <c r="I384" s="119"/>
      <c r="J384" s="119"/>
      <c r="K384" s="119"/>
      <c r="L384" s="119"/>
      <c r="M384" s="119"/>
      <c r="N384" s="71"/>
      <c r="O384" s="637" t="s">
        <v>918</v>
      </c>
      <c r="P384" s="637"/>
      <c r="Q384" s="637"/>
      <c r="R384" s="637"/>
      <c r="S384" s="637"/>
      <c r="T384" s="636"/>
      <c r="U384" s="636"/>
      <c r="V384" s="636"/>
      <c r="W384" s="636"/>
      <c r="X384" s="636"/>
      <c r="Y384" s="636"/>
      <c r="Z384" s="636"/>
      <c r="AA384" s="636"/>
      <c r="AB384" s="636"/>
      <c r="AC384" s="149"/>
      <c r="AD384" s="149">
        <v>5000</v>
      </c>
      <c r="AE384" s="150" t="s">
        <v>821</v>
      </c>
      <c r="AF384" s="2"/>
    </row>
    <row r="385" spans="1:32" s="11" customFormat="1" ht="21" customHeight="1">
      <c r="A385" s="46"/>
      <c r="B385" s="47"/>
      <c r="C385" s="47"/>
      <c r="D385" s="173"/>
      <c r="E385" s="119"/>
      <c r="F385" s="119"/>
      <c r="G385" s="119"/>
      <c r="H385" s="119"/>
      <c r="I385" s="119"/>
      <c r="J385" s="119"/>
      <c r="K385" s="119"/>
      <c r="L385" s="119"/>
      <c r="M385" s="119"/>
      <c r="N385" s="71"/>
      <c r="O385" s="637" t="s">
        <v>919</v>
      </c>
      <c r="P385" s="637"/>
      <c r="Q385" s="637"/>
      <c r="R385" s="637"/>
      <c r="S385" s="637"/>
      <c r="T385" s="636"/>
      <c r="U385" s="636"/>
      <c r="V385" s="636"/>
      <c r="W385" s="636"/>
      <c r="X385" s="636"/>
      <c r="Y385" s="636"/>
      <c r="Z385" s="636"/>
      <c r="AA385" s="636"/>
      <c r="AB385" s="636"/>
      <c r="AC385" s="149"/>
      <c r="AD385" s="149">
        <v>25000</v>
      </c>
      <c r="AE385" s="150" t="s">
        <v>821</v>
      </c>
      <c r="AF385" s="2"/>
    </row>
    <row r="386" spans="1:32" s="11" customFormat="1" ht="21" customHeight="1">
      <c r="A386" s="46"/>
      <c r="B386" s="47"/>
      <c r="C386" s="47"/>
      <c r="D386" s="173"/>
      <c r="E386" s="119"/>
      <c r="F386" s="119"/>
      <c r="G386" s="119"/>
      <c r="H386" s="119"/>
      <c r="I386" s="119"/>
      <c r="J386" s="119"/>
      <c r="K386" s="119"/>
      <c r="L386" s="119"/>
      <c r="M386" s="119"/>
      <c r="N386" s="71"/>
      <c r="O386" s="637" t="s">
        <v>920</v>
      </c>
      <c r="P386" s="637"/>
      <c r="Q386" s="637"/>
      <c r="R386" s="637"/>
      <c r="S386" s="637"/>
      <c r="T386" s="636"/>
      <c r="U386" s="636"/>
      <c r="V386" s="636"/>
      <c r="W386" s="636"/>
      <c r="X386" s="636"/>
      <c r="Y386" s="636"/>
      <c r="Z386" s="636"/>
      <c r="AA386" s="636"/>
      <c r="AB386" s="636"/>
      <c r="AC386" s="149"/>
      <c r="AD386" s="149">
        <v>0</v>
      </c>
      <c r="AE386" s="150" t="s">
        <v>821</v>
      </c>
      <c r="AF386" s="2"/>
    </row>
    <row r="387" spans="1:32" s="11" customFormat="1" ht="21" customHeight="1">
      <c r="A387" s="46"/>
      <c r="B387" s="47"/>
      <c r="C387" s="47"/>
      <c r="D387" s="173"/>
      <c r="E387" s="119"/>
      <c r="F387" s="119"/>
      <c r="G387" s="119"/>
      <c r="H387" s="119"/>
      <c r="I387" s="119"/>
      <c r="J387" s="119"/>
      <c r="K387" s="119"/>
      <c r="L387" s="119"/>
      <c r="M387" s="119"/>
      <c r="N387" s="71"/>
      <c r="O387" s="637" t="s">
        <v>921</v>
      </c>
      <c r="P387" s="637"/>
      <c r="Q387" s="637"/>
      <c r="R387" s="637"/>
      <c r="S387" s="637"/>
      <c r="T387" s="636"/>
      <c r="U387" s="636"/>
      <c r="V387" s="636"/>
      <c r="W387" s="636"/>
      <c r="X387" s="636"/>
      <c r="Y387" s="636"/>
      <c r="Z387" s="636"/>
      <c r="AA387" s="636"/>
      <c r="AB387" s="636"/>
      <c r="AC387" s="149"/>
      <c r="AD387" s="149">
        <v>20000</v>
      </c>
      <c r="AE387" s="150" t="s">
        <v>821</v>
      </c>
      <c r="AF387" s="2"/>
    </row>
    <row r="388" spans="1:32" s="11" customFormat="1" ht="21" customHeight="1">
      <c r="A388" s="46"/>
      <c r="B388" s="47"/>
      <c r="C388" s="47"/>
      <c r="D388" s="173"/>
      <c r="E388" s="119"/>
      <c r="F388" s="119"/>
      <c r="G388" s="119"/>
      <c r="H388" s="119"/>
      <c r="I388" s="119"/>
      <c r="J388" s="119"/>
      <c r="K388" s="119"/>
      <c r="L388" s="119"/>
      <c r="M388" s="119"/>
      <c r="N388" s="71"/>
      <c r="O388" s="637" t="s">
        <v>922</v>
      </c>
      <c r="P388" s="637"/>
      <c r="Q388" s="637"/>
      <c r="R388" s="637"/>
      <c r="S388" s="637"/>
      <c r="T388" s="636"/>
      <c r="U388" s="636"/>
      <c r="V388" s="636"/>
      <c r="W388" s="636"/>
      <c r="X388" s="636"/>
      <c r="Y388" s="636"/>
      <c r="Z388" s="636"/>
      <c r="AA388" s="636"/>
      <c r="AB388" s="636"/>
      <c r="AC388" s="149"/>
      <c r="AD388" s="149">
        <v>30000</v>
      </c>
      <c r="AE388" s="150" t="s">
        <v>821</v>
      </c>
      <c r="AF388" s="2"/>
    </row>
    <row r="389" spans="1:32" s="11" customFormat="1" ht="21" customHeight="1">
      <c r="A389" s="46"/>
      <c r="B389" s="47"/>
      <c r="C389" s="47"/>
      <c r="D389" s="173"/>
      <c r="E389" s="119"/>
      <c r="F389" s="119"/>
      <c r="G389" s="119"/>
      <c r="H389" s="119"/>
      <c r="I389" s="119"/>
      <c r="J389" s="119"/>
      <c r="K389" s="119"/>
      <c r="L389" s="119"/>
      <c r="M389" s="119"/>
      <c r="N389" s="71"/>
      <c r="O389" s="637" t="s">
        <v>923</v>
      </c>
      <c r="P389" s="637"/>
      <c r="Q389" s="637"/>
      <c r="R389" s="637"/>
      <c r="S389" s="637"/>
      <c r="T389" s="636"/>
      <c r="U389" s="636"/>
      <c r="V389" s="636"/>
      <c r="W389" s="636"/>
      <c r="X389" s="636"/>
      <c r="Y389" s="636"/>
      <c r="Z389" s="636"/>
      <c r="AA389" s="636"/>
      <c r="AB389" s="636"/>
      <c r="AC389" s="149"/>
      <c r="AD389" s="149">
        <v>5000</v>
      </c>
      <c r="AE389" s="150" t="s">
        <v>821</v>
      </c>
      <c r="AF389" s="2"/>
    </row>
    <row r="390" spans="1:32" s="11" customFormat="1" ht="21" customHeight="1">
      <c r="A390" s="46"/>
      <c r="B390" s="47"/>
      <c r="C390" s="47"/>
      <c r="D390" s="173"/>
      <c r="E390" s="119"/>
      <c r="F390" s="119"/>
      <c r="G390" s="119"/>
      <c r="H390" s="119"/>
      <c r="I390" s="119"/>
      <c r="J390" s="119"/>
      <c r="K390" s="119"/>
      <c r="L390" s="119"/>
      <c r="M390" s="119"/>
      <c r="N390" s="71"/>
      <c r="O390" s="637" t="s">
        <v>924</v>
      </c>
      <c r="P390" s="637"/>
      <c r="Q390" s="637"/>
      <c r="R390" s="637"/>
      <c r="S390" s="637"/>
      <c r="T390" s="636"/>
      <c r="U390" s="636"/>
      <c r="V390" s="636"/>
      <c r="W390" s="636"/>
      <c r="X390" s="636"/>
      <c r="Y390" s="636"/>
      <c r="Z390" s="636"/>
      <c r="AA390" s="636"/>
      <c r="AB390" s="636"/>
      <c r="AC390" s="149"/>
      <c r="AD390" s="149">
        <v>10000</v>
      </c>
      <c r="AE390" s="150" t="s">
        <v>821</v>
      </c>
      <c r="AF390" s="2"/>
    </row>
    <row r="391" spans="1:32" s="1" customFormat="1" ht="21" customHeight="1" thickBot="1">
      <c r="A391" s="151"/>
      <c r="B391" s="112"/>
      <c r="C391" s="112"/>
      <c r="D391" s="178"/>
      <c r="E391" s="152"/>
      <c r="F391" s="152"/>
      <c r="G391" s="152"/>
      <c r="H391" s="152"/>
      <c r="I391" s="152"/>
      <c r="J391" s="152"/>
      <c r="K391" s="152"/>
      <c r="L391" s="152"/>
      <c r="M391" s="152"/>
      <c r="N391" s="153"/>
      <c r="O391" s="694"/>
      <c r="P391" s="694"/>
      <c r="Q391" s="694"/>
      <c r="R391" s="694"/>
      <c r="S391" s="695"/>
      <c r="T391" s="695"/>
      <c r="U391" s="695"/>
      <c r="V391" s="695"/>
      <c r="W391" s="695"/>
      <c r="X391" s="695"/>
      <c r="Y391" s="695"/>
      <c r="Z391" s="695"/>
      <c r="AA391" s="695"/>
      <c r="AB391" s="695"/>
      <c r="AC391" s="695"/>
      <c r="AD391" s="695"/>
      <c r="AE391" s="696"/>
    </row>
    <row r="393" spans="1:32" ht="21" customHeight="1">
      <c r="E393" s="458"/>
      <c r="F393" s="458"/>
    </row>
    <row r="394" spans="1:32" ht="21" customHeight="1">
      <c r="E394" s="458"/>
      <c r="F394" s="458"/>
    </row>
    <row r="395" spans="1:32" ht="21" customHeight="1">
      <c r="F395" s="458"/>
    </row>
    <row r="396" spans="1:32" ht="21" customHeight="1">
      <c r="E396" s="458"/>
      <c r="F396" s="458"/>
    </row>
    <row r="397" spans="1:32" ht="21" customHeight="1">
      <c r="E397" s="458"/>
      <c r="F397" s="458"/>
    </row>
    <row r="398" spans="1:32" ht="21" customHeight="1">
      <c r="E398" s="458"/>
      <c r="F398" s="458"/>
    </row>
  </sheetData>
  <mergeCells count="21">
    <mergeCell ref="B380:C380"/>
    <mergeCell ref="B377:C377"/>
    <mergeCell ref="B363:C363"/>
    <mergeCell ref="B224:C224"/>
    <mergeCell ref="B195:C195"/>
    <mergeCell ref="O2:AE3"/>
    <mergeCell ref="O35:P35"/>
    <mergeCell ref="A1:D1"/>
    <mergeCell ref="V137:W137"/>
    <mergeCell ref="V175:W175"/>
    <mergeCell ref="V112:W112"/>
    <mergeCell ref="O160:S160"/>
    <mergeCell ref="V121:W121"/>
    <mergeCell ref="B5:C5"/>
    <mergeCell ref="A4:C4"/>
    <mergeCell ref="M2:N2"/>
    <mergeCell ref="A2:C2"/>
    <mergeCell ref="D2:D3"/>
    <mergeCell ref="E2:L2"/>
    <mergeCell ref="O36:P36"/>
    <mergeCell ref="O39:P39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workbookViewId="0">
      <selection activeCell="D5" sqref="D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95" t="s">
        <v>953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</row>
    <row r="2" spans="1:14" ht="34.5" customHeight="1">
      <c r="A2" s="796" t="s">
        <v>422</v>
      </c>
      <c r="B2" s="797"/>
      <c r="C2" s="798"/>
      <c r="D2" s="799" t="s">
        <v>993</v>
      </c>
      <c r="E2" s="798"/>
      <c r="F2" s="800" t="s">
        <v>427</v>
      </c>
      <c r="G2" s="802" t="s">
        <v>426</v>
      </c>
      <c r="H2" s="803"/>
      <c r="I2" s="803"/>
      <c r="J2" s="803"/>
      <c r="K2" s="806" t="s">
        <v>425</v>
      </c>
      <c r="L2" s="365"/>
      <c r="M2" s="365"/>
      <c r="N2" s="365"/>
    </row>
    <row r="3" spans="1:14" ht="35.25" customHeight="1" thickBot="1">
      <c r="A3" s="373" t="s">
        <v>423</v>
      </c>
      <c r="B3" s="374" t="s">
        <v>424</v>
      </c>
      <c r="C3" s="393" t="s">
        <v>202</v>
      </c>
      <c r="D3" s="528" t="s">
        <v>558</v>
      </c>
      <c r="E3" s="528" t="s">
        <v>933</v>
      </c>
      <c r="F3" s="801"/>
      <c r="G3" s="804"/>
      <c r="H3" s="805"/>
      <c r="I3" s="805"/>
      <c r="J3" s="805"/>
      <c r="K3" s="807"/>
      <c r="L3" s="365"/>
      <c r="M3" s="365"/>
      <c r="N3" s="365"/>
    </row>
    <row r="4" spans="1:14" ht="36.75" customHeight="1" thickBot="1">
      <c r="A4" s="792" t="s">
        <v>442</v>
      </c>
      <c r="B4" s="793"/>
      <c r="C4" s="794"/>
      <c r="D4" s="404">
        <f>SUM(D5:D29)</f>
        <v>1855031000</v>
      </c>
      <c r="E4" s="405">
        <f>SUM(E5:E29)</f>
        <v>2064087000</v>
      </c>
      <c r="F4" s="400">
        <f t="shared" ref="F4:F15" si="0">E4-D4</f>
        <v>209056000</v>
      </c>
      <c r="G4" s="366"/>
      <c r="H4" s="366"/>
      <c r="I4" s="366"/>
      <c r="J4" s="366"/>
      <c r="K4" s="418"/>
      <c r="L4" s="365"/>
      <c r="M4" s="365"/>
      <c r="N4" s="365"/>
    </row>
    <row r="5" spans="1:14" ht="46.5" customHeight="1" thickBot="1">
      <c r="A5" s="381" t="s">
        <v>428</v>
      </c>
      <c r="B5" s="382" t="s">
        <v>428</v>
      </c>
      <c r="C5" s="394" t="s">
        <v>428</v>
      </c>
      <c r="D5" s="406">
        <v>90000000</v>
      </c>
      <c r="E5" s="407">
        <v>87000000</v>
      </c>
      <c r="F5" s="386">
        <f t="shared" si="0"/>
        <v>-3000000</v>
      </c>
      <c r="G5" s="383">
        <v>250000</v>
      </c>
      <c r="H5" s="384">
        <v>25</v>
      </c>
      <c r="I5" s="385">
        <v>12</v>
      </c>
      <c r="J5" s="417">
        <f>G5*H5*I5</f>
        <v>75000000</v>
      </c>
      <c r="K5" s="419" t="s">
        <v>936</v>
      </c>
    </row>
    <row r="6" spans="1:14" ht="49.5" customHeight="1">
      <c r="A6" s="389" t="s">
        <v>429</v>
      </c>
      <c r="B6" s="426" t="s">
        <v>430</v>
      </c>
      <c r="C6" s="395" t="s">
        <v>59</v>
      </c>
      <c r="D6" s="408">
        <v>45810000</v>
      </c>
      <c r="E6" s="409">
        <v>64506000</v>
      </c>
      <c r="F6" s="536">
        <f t="shared" si="0"/>
        <v>18696000</v>
      </c>
      <c r="G6" s="390"/>
      <c r="H6" s="390"/>
      <c r="I6" s="390"/>
      <c r="J6" s="390"/>
      <c r="K6" s="420" t="s">
        <v>939</v>
      </c>
    </row>
    <row r="7" spans="1:14" ht="51.75" customHeight="1">
      <c r="A7" s="529"/>
      <c r="B7" s="530"/>
      <c r="C7" s="531" t="s">
        <v>935</v>
      </c>
      <c r="D7" s="415">
        <v>0</v>
      </c>
      <c r="E7" s="416">
        <v>935435000</v>
      </c>
      <c r="F7" s="403">
        <f t="shared" si="0"/>
        <v>935435000</v>
      </c>
      <c r="G7" s="375"/>
      <c r="H7" s="375"/>
      <c r="I7" s="375"/>
      <c r="J7" s="375"/>
      <c r="K7" s="532" t="s">
        <v>955</v>
      </c>
    </row>
    <row r="8" spans="1:14" ht="46.5" customHeight="1">
      <c r="A8" s="529"/>
      <c r="B8" s="530"/>
      <c r="C8" s="531" t="s">
        <v>559</v>
      </c>
      <c r="D8" s="415">
        <v>0</v>
      </c>
      <c r="E8" s="416">
        <v>55958000</v>
      </c>
      <c r="F8" s="403">
        <f t="shared" si="0"/>
        <v>55958000</v>
      </c>
      <c r="G8" s="375"/>
      <c r="H8" s="375"/>
      <c r="I8" s="375"/>
      <c r="J8" s="375"/>
      <c r="K8" s="710" t="s">
        <v>941</v>
      </c>
    </row>
    <row r="9" spans="1:14" ht="46.5" customHeight="1">
      <c r="A9" s="376"/>
      <c r="B9" s="370" t="s">
        <v>431</v>
      </c>
      <c r="C9" s="396" t="s">
        <v>59</v>
      </c>
      <c r="D9" s="410">
        <v>5726000</v>
      </c>
      <c r="E9" s="411">
        <v>5017000</v>
      </c>
      <c r="F9" s="367">
        <f t="shared" si="0"/>
        <v>-709000</v>
      </c>
      <c r="G9" s="375"/>
      <c r="H9" s="375"/>
      <c r="I9" s="375"/>
      <c r="J9" s="375"/>
      <c r="K9" s="421" t="s">
        <v>940</v>
      </c>
    </row>
    <row r="10" spans="1:14" ht="55.5" customHeight="1">
      <c r="A10" s="376"/>
      <c r="B10" s="371"/>
      <c r="C10" s="396" t="s">
        <v>165</v>
      </c>
      <c r="D10" s="410">
        <v>694673000</v>
      </c>
      <c r="E10" s="411">
        <v>60136000</v>
      </c>
      <c r="F10" s="367">
        <f t="shared" si="0"/>
        <v>-634537000</v>
      </c>
      <c r="G10" s="375"/>
      <c r="H10" s="375"/>
      <c r="I10" s="375"/>
      <c r="J10" s="375"/>
      <c r="K10" s="532" t="s">
        <v>956</v>
      </c>
    </row>
    <row r="11" spans="1:14" ht="46.5" customHeight="1">
      <c r="A11" s="376"/>
      <c r="B11" s="371"/>
      <c r="C11" s="396" t="s">
        <v>559</v>
      </c>
      <c r="D11" s="410">
        <v>41035000</v>
      </c>
      <c r="E11" s="411">
        <v>5000000</v>
      </c>
      <c r="F11" s="367">
        <f t="shared" si="0"/>
        <v>-36035000</v>
      </c>
      <c r="G11" s="375"/>
      <c r="H11" s="375"/>
      <c r="I11" s="375"/>
      <c r="J11" s="375"/>
      <c r="K11" s="532" t="s">
        <v>942</v>
      </c>
    </row>
    <row r="12" spans="1:14" ht="43.5" customHeight="1">
      <c r="A12" s="376"/>
      <c r="B12" s="371"/>
      <c r="C12" s="397" t="s">
        <v>560</v>
      </c>
      <c r="D12" s="410">
        <v>4056000</v>
      </c>
      <c r="E12" s="411">
        <v>3325000</v>
      </c>
      <c r="F12" s="367">
        <f t="shared" si="0"/>
        <v>-731000</v>
      </c>
      <c r="G12" s="375"/>
      <c r="H12" s="375"/>
      <c r="I12" s="375"/>
      <c r="J12" s="375"/>
      <c r="K12" s="421" t="s">
        <v>943</v>
      </c>
    </row>
    <row r="13" spans="1:14" ht="54.75" customHeight="1">
      <c r="A13" s="376"/>
      <c r="B13" s="371"/>
      <c r="C13" s="397" t="s">
        <v>561</v>
      </c>
      <c r="D13" s="410">
        <v>28286000</v>
      </c>
      <c r="E13" s="411">
        <v>20388000</v>
      </c>
      <c r="F13" s="367">
        <f t="shared" ref="F13" si="1">E13-D13</f>
        <v>-7898000</v>
      </c>
      <c r="G13" s="375"/>
      <c r="H13" s="375"/>
      <c r="I13" s="375"/>
      <c r="J13" s="375"/>
      <c r="K13" s="421" t="s">
        <v>949</v>
      </c>
    </row>
    <row r="14" spans="1:14" ht="46.5" customHeight="1">
      <c r="A14" s="376"/>
      <c r="B14" s="372"/>
      <c r="C14" s="397" t="s">
        <v>562</v>
      </c>
      <c r="D14" s="410">
        <v>764000</v>
      </c>
      <c r="E14" s="411">
        <v>728000</v>
      </c>
      <c r="F14" s="367">
        <f t="shared" si="0"/>
        <v>-36000</v>
      </c>
      <c r="G14" s="375"/>
      <c r="H14" s="375"/>
      <c r="I14" s="375"/>
      <c r="J14" s="375"/>
      <c r="K14" s="421" t="s">
        <v>944</v>
      </c>
    </row>
    <row r="15" spans="1:14" ht="46.5" customHeight="1">
      <c r="A15" s="376"/>
      <c r="B15" s="377" t="s">
        <v>432</v>
      </c>
      <c r="C15" s="396" t="s">
        <v>59</v>
      </c>
      <c r="D15" s="410">
        <v>5726000</v>
      </c>
      <c r="E15" s="411">
        <v>2150000</v>
      </c>
      <c r="F15" s="367">
        <f t="shared" si="0"/>
        <v>-3576000</v>
      </c>
      <c r="G15" s="375"/>
      <c r="H15" s="375"/>
      <c r="I15" s="375"/>
      <c r="J15" s="375"/>
      <c r="K15" s="421" t="s">
        <v>945</v>
      </c>
    </row>
    <row r="16" spans="1:14" ht="48.75" customHeight="1">
      <c r="A16" s="376"/>
      <c r="B16" s="375"/>
      <c r="C16" s="396" t="s">
        <v>165</v>
      </c>
      <c r="D16" s="410">
        <v>517671000</v>
      </c>
      <c r="E16" s="411">
        <v>340764000</v>
      </c>
      <c r="F16" s="367">
        <f t="shared" ref="F16:F29" si="2">E16-D16</f>
        <v>-176907000</v>
      </c>
      <c r="G16" s="375"/>
      <c r="H16" s="375"/>
      <c r="I16" s="375"/>
      <c r="J16" s="375"/>
      <c r="K16" s="532" t="s">
        <v>957</v>
      </c>
    </row>
    <row r="17" spans="1:11" ht="46.5" customHeight="1">
      <c r="A17" s="376"/>
      <c r="B17" s="375"/>
      <c r="C17" s="396" t="s">
        <v>559</v>
      </c>
      <c r="D17" s="410">
        <v>30578000</v>
      </c>
      <c r="E17" s="411">
        <v>19838000</v>
      </c>
      <c r="F17" s="367">
        <f t="shared" si="2"/>
        <v>-10740000</v>
      </c>
      <c r="G17" s="375"/>
      <c r="H17" s="375"/>
      <c r="I17" s="375"/>
      <c r="J17" s="375"/>
      <c r="K17" s="532" t="s">
        <v>946</v>
      </c>
    </row>
    <row r="18" spans="1:11" ht="46.5" customHeight="1">
      <c r="A18" s="376"/>
      <c r="B18" s="375"/>
      <c r="C18" s="397" t="s">
        <v>560</v>
      </c>
      <c r="D18" s="410">
        <v>18111000</v>
      </c>
      <c r="E18" s="411">
        <v>18842000</v>
      </c>
      <c r="F18" s="367">
        <f t="shared" si="2"/>
        <v>731000</v>
      </c>
      <c r="G18" s="375"/>
      <c r="H18" s="375"/>
      <c r="I18" s="375"/>
      <c r="J18" s="375"/>
      <c r="K18" s="421" t="s">
        <v>947</v>
      </c>
    </row>
    <row r="19" spans="1:11" ht="53.25" customHeight="1">
      <c r="A19" s="376"/>
      <c r="B19" s="375"/>
      <c r="C19" s="397" t="s">
        <v>561</v>
      </c>
      <c r="D19" s="410">
        <v>160291000</v>
      </c>
      <c r="E19" s="411">
        <v>183497000</v>
      </c>
      <c r="F19" s="367">
        <f t="shared" si="2"/>
        <v>23206000</v>
      </c>
      <c r="G19" s="375"/>
      <c r="H19" s="375"/>
      <c r="I19" s="375"/>
      <c r="J19" s="375"/>
      <c r="K19" s="421" t="s">
        <v>948</v>
      </c>
    </row>
    <row r="20" spans="1:11" ht="67.5" customHeight="1" thickBot="1">
      <c r="A20" s="378"/>
      <c r="B20" s="380"/>
      <c r="C20" s="398" t="s">
        <v>433</v>
      </c>
      <c r="D20" s="412">
        <v>12276000</v>
      </c>
      <c r="E20" s="413">
        <v>12512000</v>
      </c>
      <c r="F20" s="402">
        <f t="shared" si="2"/>
        <v>236000</v>
      </c>
      <c r="G20" s="380"/>
      <c r="H20" s="380"/>
      <c r="I20" s="380"/>
      <c r="J20" s="380"/>
      <c r="K20" s="421" t="s">
        <v>944</v>
      </c>
    </row>
    <row r="21" spans="1:11" ht="55.5" customHeight="1">
      <c r="A21" s="444" t="s">
        <v>563</v>
      </c>
      <c r="B21" s="445" t="s">
        <v>563</v>
      </c>
      <c r="C21" s="440" t="s">
        <v>564</v>
      </c>
      <c r="D21" s="408">
        <v>11600000</v>
      </c>
      <c r="E21" s="441">
        <v>22600000</v>
      </c>
      <c r="F21" s="401">
        <f t="shared" si="2"/>
        <v>11000000</v>
      </c>
      <c r="G21" s="442"/>
      <c r="H21" s="442"/>
      <c r="I21" s="442"/>
      <c r="J21" s="442"/>
      <c r="K21" s="420" t="s">
        <v>950</v>
      </c>
    </row>
    <row r="22" spans="1:11" ht="35.25" customHeight="1" thickBot="1">
      <c r="A22" s="378"/>
      <c r="B22" s="533"/>
      <c r="C22" s="398" t="s">
        <v>565</v>
      </c>
      <c r="D22" s="412">
        <v>66000000</v>
      </c>
      <c r="E22" s="534">
        <v>84000000</v>
      </c>
      <c r="F22" s="402">
        <f t="shared" si="2"/>
        <v>18000000</v>
      </c>
      <c r="G22" s="535"/>
      <c r="H22" s="535"/>
      <c r="I22" s="535"/>
      <c r="J22" s="535"/>
      <c r="K22" s="711" t="s">
        <v>951</v>
      </c>
    </row>
    <row r="23" spans="1:11" ht="57" customHeight="1" thickBot="1">
      <c r="A23" s="391" t="s">
        <v>79</v>
      </c>
      <c r="B23" s="382" t="s">
        <v>140</v>
      </c>
      <c r="C23" s="394" t="s">
        <v>434</v>
      </c>
      <c r="D23" s="406">
        <v>48278000</v>
      </c>
      <c r="E23" s="414">
        <v>46952000</v>
      </c>
      <c r="F23" s="386">
        <f t="shared" si="2"/>
        <v>-1326000</v>
      </c>
      <c r="G23" s="392"/>
      <c r="H23" s="392"/>
      <c r="I23" s="392"/>
      <c r="J23" s="392"/>
      <c r="K23" s="419" t="s">
        <v>952</v>
      </c>
    </row>
    <row r="24" spans="1:11" ht="40.5" customHeight="1">
      <c r="A24" s="387" t="s">
        <v>252</v>
      </c>
      <c r="B24" s="388" t="s">
        <v>435</v>
      </c>
      <c r="C24" s="399" t="s">
        <v>436</v>
      </c>
      <c r="D24" s="415">
        <v>15000000</v>
      </c>
      <c r="E24" s="416">
        <v>15981000</v>
      </c>
      <c r="F24" s="403">
        <f t="shared" si="2"/>
        <v>981000</v>
      </c>
      <c r="G24" s="375"/>
      <c r="H24" s="375"/>
      <c r="I24" s="375"/>
      <c r="J24" s="375"/>
      <c r="K24" s="424" t="s">
        <v>937</v>
      </c>
    </row>
    <row r="25" spans="1:11" ht="40.5" customHeight="1">
      <c r="A25" s="376"/>
      <c r="B25" s="368"/>
      <c r="C25" s="397" t="s">
        <v>437</v>
      </c>
      <c r="D25" s="410">
        <v>2700000</v>
      </c>
      <c r="E25" s="411">
        <v>4929000</v>
      </c>
      <c r="F25" s="367">
        <f t="shared" si="2"/>
        <v>2229000</v>
      </c>
      <c r="G25" s="375"/>
      <c r="H25" s="375"/>
      <c r="I25" s="375"/>
      <c r="J25" s="375"/>
      <c r="K25" s="422" t="s">
        <v>937</v>
      </c>
    </row>
    <row r="26" spans="1:11" ht="40.5" customHeight="1">
      <c r="A26" s="376"/>
      <c r="B26" s="368"/>
      <c r="C26" s="397" t="s">
        <v>438</v>
      </c>
      <c r="D26" s="410">
        <v>500000</v>
      </c>
      <c r="E26" s="411">
        <v>55000</v>
      </c>
      <c r="F26" s="367">
        <f t="shared" si="2"/>
        <v>-445000</v>
      </c>
      <c r="G26" s="375"/>
      <c r="H26" s="375"/>
      <c r="I26" s="375"/>
      <c r="J26" s="375"/>
      <c r="K26" s="422" t="s">
        <v>937</v>
      </c>
    </row>
    <row r="27" spans="1:11" ht="40.5" customHeight="1">
      <c r="A27" s="376"/>
      <c r="B27" s="369"/>
      <c r="C27" s="397" t="s">
        <v>439</v>
      </c>
      <c r="D27" s="410">
        <v>5000000</v>
      </c>
      <c r="E27" s="411">
        <v>10870000</v>
      </c>
      <c r="F27" s="367">
        <f t="shared" si="2"/>
        <v>5870000</v>
      </c>
      <c r="G27" s="375"/>
      <c r="H27" s="375"/>
      <c r="I27" s="375"/>
      <c r="J27" s="375"/>
      <c r="K27" s="422" t="s">
        <v>937</v>
      </c>
    </row>
    <row r="28" spans="1:11" ht="44.25" customHeight="1" thickBot="1">
      <c r="A28" s="378"/>
      <c r="B28" s="379" t="s">
        <v>440</v>
      </c>
      <c r="C28" s="398" t="s">
        <v>441</v>
      </c>
      <c r="D28" s="412">
        <v>20000000</v>
      </c>
      <c r="E28" s="413">
        <v>31454000</v>
      </c>
      <c r="F28" s="402">
        <f t="shared" si="2"/>
        <v>11454000</v>
      </c>
      <c r="G28" s="380"/>
      <c r="H28" s="380"/>
      <c r="I28" s="380"/>
      <c r="J28" s="380"/>
      <c r="K28" s="423" t="s">
        <v>979</v>
      </c>
    </row>
    <row r="29" spans="1:11" ht="46.5" customHeight="1" thickBot="1">
      <c r="A29" s="381" t="s">
        <v>566</v>
      </c>
      <c r="B29" s="382" t="s">
        <v>64</v>
      </c>
      <c r="C29" s="394" t="s">
        <v>64</v>
      </c>
      <c r="D29" s="406">
        <v>30950000</v>
      </c>
      <c r="E29" s="407">
        <v>32150000</v>
      </c>
      <c r="F29" s="386">
        <f t="shared" si="2"/>
        <v>1200000</v>
      </c>
      <c r="G29" s="383">
        <v>250000</v>
      </c>
      <c r="H29" s="384">
        <v>25</v>
      </c>
      <c r="I29" s="385">
        <v>12</v>
      </c>
      <c r="J29" s="417">
        <f>G29*H29*I29</f>
        <v>75000000</v>
      </c>
      <c r="K29" s="419" t="s">
        <v>938</v>
      </c>
    </row>
    <row r="30" spans="1:11" ht="46.5" customHeight="1">
      <c r="D30" s="364"/>
      <c r="E30" s="364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workbookViewId="0">
      <selection activeCell="D3" sqref="D3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95" t="s">
        <v>954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</row>
    <row r="2" spans="1:14" ht="46.5" customHeight="1">
      <c r="A2" s="796" t="s">
        <v>422</v>
      </c>
      <c r="B2" s="797"/>
      <c r="C2" s="798"/>
      <c r="D2" s="799" t="s">
        <v>996</v>
      </c>
      <c r="E2" s="798"/>
      <c r="F2" s="800" t="s">
        <v>427</v>
      </c>
      <c r="G2" s="802" t="s">
        <v>426</v>
      </c>
      <c r="H2" s="803"/>
      <c r="I2" s="803"/>
      <c r="J2" s="803"/>
      <c r="K2" s="806" t="s">
        <v>425</v>
      </c>
      <c r="L2" s="365"/>
      <c r="M2" s="365"/>
      <c r="N2" s="365"/>
    </row>
    <row r="3" spans="1:14" ht="46.5" customHeight="1" thickBot="1">
      <c r="A3" s="373" t="s">
        <v>423</v>
      </c>
      <c r="B3" s="374" t="s">
        <v>424</v>
      </c>
      <c r="C3" s="393" t="s">
        <v>202</v>
      </c>
      <c r="D3" s="528" t="s">
        <v>558</v>
      </c>
      <c r="E3" s="528" t="s">
        <v>933</v>
      </c>
      <c r="F3" s="801"/>
      <c r="G3" s="804"/>
      <c r="H3" s="805"/>
      <c r="I3" s="805"/>
      <c r="J3" s="805"/>
      <c r="K3" s="807"/>
      <c r="L3" s="365"/>
      <c r="M3" s="365"/>
      <c r="N3" s="365"/>
    </row>
    <row r="4" spans="1:14" ht="46.5" customHeight="1" thickBot="1">
      <c r="A4" s="792" t="s">
        <v>442</v>
      </c>
      <c r="B4" s="793"/>
      <c r="C4" s="794"/>
      <c r="D4" s="404">
        <v>1855031000</v>
      </c>
      <c r="E4" s="405">
        <f>SUM(E5:E28)</f>
        <v>2064087000</v>
      </c>
      <c r="F4" s="400">
        <f t="shared" ref="F4:F27" si="0">E4-D4</f>
        <v>209056000</v>
      </c>
      <c r="G4" s="366"/>
      <c r="H4" s="366"/>
      <c r="I4" s="366"/>
      <c r="J4" s="366"/>
      <c r="K4" s="418"/>
      <c r="L4" s="365"/>
      <c r="M4" s="365"/>
      <c r="N4" s="365"/>
    </row>
    <row r="5" spans="1:14" ht="50.1" customHeight="1">
      <c r="A5" s="425" t="s">
        <v>443</v>
      </c>
      <c r="B5" s="426" t="s">
        <v>444</v>
      </c>
      <c r="C5" s="395" t="s">
        <v>445</v>
      </c>
      <c r="D5" s="408">
        <v>821384000</v>
      </c>
      <c r="E5" s="409">
        <v>910633000</v>
      </c>
      <c r="F5" s="401">
        <f t="shared" si="0"/>
        <v>89249000</v>
      </c>
      <c r="G5" s="390"/>
      <c r="H5" s="390"/>
      <c r="I5" s="390"/>
      <c r="J5" s="390"/>
      <c r="K5" s="420" t="s">
        <v>958</v>
      </c>
    </row>
    <row r="6" spans="1:14" ht="50.1" customHeight="1">
      <c r="A6" s="537"/>
      <c r="B6" s="388"/>
      <c r="C6" s="531" t="s">
        <v>569</v>
      </c>
      <c r="D6" s="415">
        <v>5400000</v>
      </c>
      <c r="E6" s="416">
        <v>0</v>
      </c>
      <c r="F6" s="367">
        <f t="shared" si="0"/>
        <v>-5400000</v>
      </c>
      <c r="G6" s="375"/>
      <c r="H6" s="375"/>
      <c r="I6" s="375"/>
      <c r="J6" s="375"/>
      <c r="K6" s="532" t="s">
        <v>959</v>
      </c>
    </row>
    <row r="7" spans="1:14" ht="50.1" customHeight="1">
      <c r="A7" s="376"/>
      <c r="B7" s="388"/>
      <c r="C7" s="396" t="s">
        <v>446</v>
      </c>
      <c r="D7" s="410">
        <v>383264000</v>
      </c>
      <c r="E7" s="411">
        <v>415300000</v>
      </c>
      <c r="F7" s="367">
        <f t="shared" si="0"/>
        <v>32036000</v>
      </c>
      <c r="G7" s="375"/>
      <c r="H7" s="375"/>
      <c r="I7" s="375"/>
      <c r="J7" s="375"/>
      <c r="K7" s="421" t="s">
        <v>960</v>
      </c>
    </row>
    <row r="8" spans="1:14" ht="50.1" customHeight="1">
      <c r="A8" s="376"/>
      <c r="B8" s="368"/>
      <c r="C8" s="397" t="s">
        <v>447</v>
      </c>
      <c r="D8" s="410">
        <v>100388000</v>
      </c>
      <c r="E8" s="411">
        <v>110495000</v>
      </c>
      <c r="F8" s="367">
        <f t="shared" si="0"/>
        <v>10107000</v>
      </c>
      <c r="G8" s="375"/>
      <c r="H8" s="375"/>
      <c r="I8" s="375"/>
      <c r="J8" s="375"/>
      <c r="K8" s="421" t="s">
        <v>961</v>
      </c>
    </row>
    <row r="9" spans="1:14" ht="50.1" customHeight="1">
      <c r="A9" s="376"/>
      <c r="B9" s="368"/>
      <c r="C9" s="397" t="s">
        <v>448</v>
      </c>
      <c r="D9" s="410">
        <v>101162000</v>
      </c>
      <c r="E9" s="411">
        <v>112523000</v>
      </c>
      <c r="F9" s="367">
        <f t="shared" si="0"/>
        <v>11361000</v>
      </c>
      <c r="G9" s="375"/>
      <c r="H9" s="375"/>
      <c r="I9" s="375"/>
      <c r="J9" s="375"/>
      <c r="K9" s="421" t="s">
        <v>962</v>
      </c>
    </row>
    <row r="10" spans="1:14" ht="46.5" customHeight="1">
      <c r="A10" s="376"/>
      <c r="B10" s="377"/>
      <c r="C10" s="397" t="s">
        <v>449</v>
      </c>
      <c r="D10" s="410">
        <v>19307000</v>
      </c>
      <c r="E10" s="411">
        <v>18189000</v>
      </c>
      <c r="F10" s="367">
        <f t="shared" si="0"/>
        <v>-1118000</v>
      </c>
      <c r="G10" s="375"/>
      <c r="H10" s="375"/>
      <c r="I10" s="375"/>
      <c r="J10" s="375"/>
      <c r="K10" s="421" t="s">
        <v>963</v>
      </c>
    </row>
    <row r="11" spans="1:14" ht="50.1" customHeight="1">
      <c r="A11" s="376"/>
      <c r="B11" s="539" t="s">
        <v>450</v>
      </c>
      <c r="C11" s="397" t="s">
        <v>570</v>
      </c>
      <c r="D11" s="410">
        <v>1200000</v>
      </c>
      <c r="E11" s="411">
        <v>1200000</v>
      </c>
      <c r="F11" s="367">
        <f t="shared" si="0"/>
        <v>0</v>
      </c>
      <c r="G11" s="375"/>
      <c r="H11" s="375"/>
      <c r="I11" s="375"/>
      <c r="J11" s="375"/>
      <c r="K11" s="421" t="s">
        <v>964</v>
      </c>
    </row>
    <row r="12" spans="1:14" ht="50.1" customHeight="1">
      <c r="A12" s="376"/>
      <c r="B12" s="538"/>
      <c r="C12" s="427" t="s">
        <v>571</v>
      </c>
      <c r="D12" s="428">
        <v>1376000</v>
      </c>
      <c r="E12" s="429">
        <v>1496000</v>
      </c>
      <c r="F12" s="430">
        <f t="shared" si="0"/>
        <v>120000</v>
      </c>
      <c r="G12" s="375"/>
      <c r="H12" s="375"/>
      <c r="I12" s="375"/>
      <c r="J12" s="375"/>
      <c r="K12" s="431" t="s">
        <v>965</v>
      </c>
    </row>
    <row r="13" spans="1:14" ht="50.1" customHeight="1">
      <c r="A13" s="376"/>
      <c r="B13" s="539" t="s">
        <v>97</v>
      </c>
      <c r="C13" s="427" t="s">
        <v>572</v>
      </c>
      <c r="D13" s="428">
        <v>5400000</v>
      </c>
      <c r="E13" s="429">
        <v>4200000</v>
      </c>
      <c r="F13" s="430">
        <f t="shared" si="0"/>
        <v>-1200000</v>
      </c>
      <c r="G13" s="375"/>
      <c r="H13" s="375"/>
      <c r="I13" s="375"/>
      <c r="J13" s="375"/>
      <c r="K13" s="431" t="s">
        <v>966</v>
      </c>
    </row>
    <row r="14" spans="1:14" ht="50.1" customHeight="1">
      <c r="A14" s="376"/>
      <c r="B14" s="377"/>
      <c r="C14" s="427" t="s">
        <v>451</v>
      </c>
      <c r="D14" s="428">
        <v>21590000</v>
      </c>
      <c r="E14" s="429">
        <v>21688000</v>
      </c>
      <c r="F14" s="430">
        <f t="shared" si="0"/>
        <v>98000</v>
      </c>
      <c r="G14" s="375"/>
      <c r="H14" s="375"/>
      <c r="I14" s="375"/>
      <c r="J14" s="375"/>
      <c r="K14" s="431" t="s">
        <v>967</v>
      </c>
    </row>
    <row r="15" spans="1:14" ht="50.1" customHeight="1">
      <c r="A15" s="376"/>
      <c r="B15" s="377"/>
      <c r="C15" s="427" t="s">
        <v>573</v>
      </c>
      <c r="D15" s="428">
        <v>28743000</v>
      </c>
      <c r="E15" s="429">
        <v>29921000</v>
      </c>
      <c r="F15" s="430">
        <f t="shared" si="0"/>
        <v>1178000</v>
      </c>
      <c r="G15" s="375"/>
      <c r="H15" s="375"/>
      <c r="I15" s="375"/>
      <c r="J15" s="375"/>
      <c r="K15" s="431" t="s">
        <v>968</v>
      </c>
    </row>
    <row r="16" spans="1:14" ht="50.1" customHeight="1">
      <c r="A16" s="376"/>
      <c r="B16" s="377"/>
      <c r="C16" s="427" t="s">
        <v>574</v>
      </c>
      <c r="D16" s="428">
        <v>9419000</v>
      </c>
      <c r="E16" s="429">
        <v>10989000</v>
      </c>
      <c r="F16" s="430">
        <f t="shared" si="0"/>
        <v>1570000</v>
      </c>
      <c r="G16" s="375"/>
      <c r="H16" s="375"/>
      <c r="I16" s="375"/>
      <c r="J16" s="375"/>
      <c r="K16" s="431" t="s">
        <v>969</v>
      </c>
    </row>
    <row r="17" spans="1:11" ht="50.1" customHeight="1">
      <c r="A17" s="376"/>
      <c r="B17" s="377"/>
      <c r="C17" s="427" t="s">
        <v>575</v>
      </c>
      <c r="D17" s="428">
        <v>8100000</v>
      </c>
      <c r="E17" s="429">
        <v>12053000</v>
      </c>
      <c r="F17" s="430">
        <f t="shared" si="0"/>
        <v>3953000</v>
      </c>
      <c r="G17" s="375"/>
      <c r="H17" s="375"/>
      <c r="I17" s="375"/>
      <c r="J17" s="375"/>
      <c r="K17" s="431" t="s">
        <v>970</v>
      </c>
    </row>
    <row r="18" spans="1:11" ht="50.1" customHeight="1" thickBot="1">
      <c r="A18" s="378"/>
      <c r="B18" s="380"/>
      <c r="C18" s="398" t="s">
        <v>452</v>
      </c>
      <c r="D18" s="412">
        <v>12654000</v>
      </c>
      <c r="E18" s="413">
        <v>13854000</v>
      </c>
      <c r="F18" s="402">
        <f t="shared" si="0"/>
        <v>1200000</v>
      </c>
      <c r="G18" s="380"/>
      <c r="H18" s="380"/>
      <c r="I18" s="380"/>
      <c r="J18" s="380"/>
      <c r="K18" s="432" t="s">
        <v>971</v>
      </c>
    </row>
    <row r="19" spans="1:11" ht="66" customHeight="1">
      <c r="A19" s="425" t="s">
        <v>453</v>
      </c>
      <c r="B19" s="426" t="s">
        <v>454</v>
      </c>
      <c r="C19" s="440" t="s">
        <v>455</v>
      </c>
      <c r="D19" s="408">
        <v>31300000</v>
      </c>
      <c r="E19" s="441">
        <v>36335000</v>
      </c>
      <c r="F19" s="401">
        <f t="shared" si="0"/>
        <v>5035000</v>
      </c>
      <c r="G19" s="442"/>
      <c r="H19" s="442"/>
      <c r="I19" s="442"/>
      <c r="J19" s="442"/>
      <c r="K19" s="420" t="s">
        <v>994</v>
      </c>
    </row>
    <row r="20" spans="1:11" ht="72" customHeight="1" thickBot="1">
      <c r="A20" s="433"/>
      <c r="B20" s="434"/>
      <c r="C20" s="435" t="s">
        <v>456</v>
      </c>
      <c r="D20" s="436">
        <v>13989000</v>
      </c>
      <c r="E20" s="437">
        <v>19966000</v>
      </c>
      <c r="F20" s="438">
        <f t="shared" si="0"/>
        <v>5977000</v>
      </c>
      <c r="G20" s="380"/>
      <c r="H20" s="380"/>
      <c r="I20" s="380"/>
      <c r="J20" s="380"/>
      <c r="K20" s="439" t="s">
        <v>995</v>
      </c>
    </row>
    <row r="21" spans="1:11" ht="46.5" customHeight="1">
      <c r="A21" s="444" t="s">
        <v>149</v>
      </c>
      <c r="B21" s="445" t="s">
        <v>97</v>
      </c>
      <c r="C21" s="440" t="s">
        <v>59</v>
      </c>
      <c r="D21" s="408">
        <v>135485000</v>
      </c>
      <c r="E21" s="409">
        <v>152552000</v>
      </c>
      <c r="F21" s="401">
        <f t="shared" si="0"/>
        <v>17067000</v>
      </c>
      <c r="G21" s="390"/>
      <c r="H21" s="390"/>
      <c r="I21" s="390"/>
      <c r="J21" s="390"/>
      <c r="K21" s="420" t="s">
        <v>972</v>
      </c>
    </row>
    <row r="22" spans="1:11" ht="46.5" customHeight="1">
      <c r="A22" s="376"/>
      <c r="B22" s="368"/>
      <c r="C22" s="397" t="s">
        <v>457</v>
      </c>
      <c r="D22" s="410">
        <v>8185000</v>
      </c>
      <c r="E22" s="411">
        <v>9985000</v>
      </c>
      <c r="F22" s="367">
        <f t="shared" si="0"/>
        <v>1800000</v>
      </c>
      <c r="G22" s="375"/>
      <c r="H22" s="375"/>
      <c r="I22" s="375"/>
      <c r="J22" s="375"/>
      <c r="K22" s="421" t="s">
        <v>973</v>
      </c>
    </row>
    <row r="23" spans="1:11" ht="46.5" customHeight="1">
      <c r="A23" s="376"/>
      <c r="B23" s="368"/>
      <c r="C23" s="397" t="s">
        <v>576</v>
      </c>
      <c r="D23" s="410">
        <v>14040000</v>
      </c>
      <c r="E23" s="411">
        <v>20040000</v>
      </c>
      <c r="F23" s="367">
        <f t="shared" si="0"/>
        <v>6000000</v>
      </c>
      <c r="G23" s="375"/>
      <c r="H23" s="375"/>
      <c r="I23" s="375"/>
      <c r="J23" s="375"/>
      <c r="K23" s="422" t="s">
        <v>975</v>
      </c>
    </row>
    <row r="24" spans="1:11" ht="62.25" customHeight="1">
      <c r="A24" s="376"/>
      <c r="B24" s="368"/>
      <c r="C24" s="397" t="s">
        <v>95</v>
      </c>
      <c r="D24" s="410">
        <v>13166000</v>
      </c>
      <c r="E24" s="411">
        <v>19190000</v>
      </c>
      <c r="F24" s="367">
        <f t="shared" si="0"/>
        <v>6024000</v>
      </c>
      <c r="G24" s="375"/>
      <c r="H24" s="375"/>
      <c r="I24" s="375"/>
      <c r="J24" s="375"/>
      <c r="K24" s="421" t="s">
        <v>976</v>
      </c>
    </row>
    <row r="25" spans="1:11" ht="46.5" customHeight="1">
      <c r="A25" s="376"/>
      <c r="B25" s="368"/>
      <c r="C25" s="397" t="s">
        <v>96</v>
      </c>
      <c r="D25" s="410">
        <v>20132000</v>
      </c>
      <c r="E25" s="411">
        <v>23132000</v>
      </c>
      <c r="F25" s="367">
        <f t="shared" si="0"/>
        <v>3000000</v>
      </c>
      <c r="G25" s="375"/>
      <c r="H25" s="375"/>
      <c r="I25" s="375"/>
      <c r="J25" s="375"/>
      <c r="K25" s="422" t="s">
        <v>977</v>
      </c>
    </row>
    <row r="26" spans="1:11" ht="78.75" customHeight="1" thickBot="1">
      <c r="A26" s="378"/>
      <c r="B26" s="379" t="s">
        <v>458</v>
      </c>
      <c r="C26" s="447" t="s">
        <v>458</v>
      </c>
      <c r="D26" s="412">
        <v>96397000</v>
      </c>
      <c r="E26" s="413">
        <v>115167000</v>
      </c>
      <c r="F26" s="402">
        <f t="shared" si="0"/>
        <v>18770000</v>
      </c>
      <c r="G26" s="380"/>
      <c r="H26" s="380"/>
      <c r="I26" s="380"/>
      <c r="J26" s="380"/>
      <c r="K26" s="432" t="s">
        <v>978</v>
      </c>
    </row>
    <row r="27" spans="1:11" ht="46.5" customHeight="1" thickBot="1">
      <c r="A27" s="381" t="s">
        <v>460</v>
      </c>
      <c r="B27" s="382" t="s">
        <v>459</v>
      </c>
      <c r="C27" s="394" t="s">
        <v>459</v>
      </c>
      <c r="D27" s="406">
        <v>2700000</v>
      </c>
      <c r="E27" s="407">
        <v>4929000</v>
      </c>
      <c r="F27" s="386">
        <f t="shared" si="0"/>
        <v>2229000</v>
      </c>
      <c r="G27" s="392"/>
      <c r="H27" s="392"/>
      <c r="I27" s="392"/>
      <c r="J27" s="392"/>
      <c r="K27" s="446" t="s">
        <v>937</v>
      </c>
    </row>
    <row r="28" spans="1:11" ht="46.5" customHeight="1" thickBot="1">
      <c r="A28" s="381" t="s">
        <v>577</v>
      </c>
      <c r="B28" s="382" t="s">
        <v>577</v>
      </c>
      <c r="C28" s="394" t="s">
        <v>577</v>
      </c>
      <c r="D28" s="406">
        <v>250000</v>
      </c>
      <c r="E28" s="407">
        <v>250000</v>
      </c>
      <c r="F28" s="386">
        <f t="shared" ref="F28" si="1">E28-D28</f>
        <v>0</v>
      </c>
      <c r="G28" s="392"/>
      <c r="H28" s="392"/>
      <c r="I28" s="392"/>
      <c r="J28" s="392"/>
      <c r="K28" s="446" t="s">
        <v>964</v>
      </c>
    </row>
    <row r="29" spans="1:11" ht="46.5" customHeight="1">
      <c r="D29" s="364"/>
      <c r="E29" s="364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9"/>
  <sheetViews>
    <sheetView workbookViewId="0">
      <selection activeCell="D11" sqref="D11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33203125" bestFit="1" customWidth="1"/>
    <col min="14" max="14" width="2.77734375" bestFit="1" customWidth="1"/>
    <col min="15" max="15" width="3.44140625" bestFit="1" customWidth="1"/>
    <col min="16" max="16" width="7" bestFit="1" customWidth="1"/>
    <col min="17" max="17" width="2.77734375" bestFit="1" customWidth="1"/>
    <col min="18" max="18" width="3.44140625" bestFit="1" customWidth="1"/>
    <col min="19" max="19" width="5.33203125" bestFit="1" customWidth="1"/>
    <col min="20" max="20" width="2.77734375" bestFit="1" customWidth="1"/>
    <col min="21" max="21" width="4.6640625" bestFit="1" customWidth="1"/>
  </cols>
  <sheetData>
    <row r="1" spans="2:21" ht="45.75" customHeight="1">
      <c r="B1" s="810" t="s">
        <v>792</v>
      </c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</row>
    <row r="2" spans="2:21" s="541" customFormat="1" ht="33.75" customHeight="1">
      <c r="B2" s="811" t="s">
        <v>618</v>
      </c>
      <c r="C2" s="811"/>
      <c r="D2" s="811" t="s">
        <v>610</v>
      </c>
      <c r="E2" s="811"/>
      <c r="F2" s="811"/>
      <c r="G2" s="811"/>
      <c r="H2" s="811" t="s">
        <v>611</v>
      </c>
      <c r="I2" s="811"/>
      <c r="J2" s="811"/>
      <c r="K2" s="811" t="s">
        <v>612</v>
      </c>
      <c r="L2" s="812" t="s">
        <v>608</v>
      </c>
      <c r="M2" s="813"/>
      <c r="N2" s="813"/>
      <c r="O2" s="813"/>
      <c r="P2" s="813"/>
      <c r="Q2" s="813"/>
      <c r="R2" s="813"/>
      <c r="S2" s="813"/>
      <c r="T2" s="814"/>
      <c r="U2" s="811" t="s">
        <v>613</v>
      </c>
    </row>
    <row r="3" spans="2:21" s="541" customFormat="1" ht="34.5" customHeight="1">
      <c r="B3" s="811"/>
      <c r="C3" s="811"/>
      <c r="D3" s="586" t="s">
        <v>614</v>
      </c>
      <c r="E3" s="586" t="s">
        <v>615</v>
      </c>
      <c r="F3" s="586" t="s">
        <v>616</v>
      </c>
      <c r="G3" s="586" t="s">
        <v>617</v>
      </c>
      <c r="H3" s="587" t="s">
        <v>622</v>
      </c>
      <c r="I3" s="586" t="s">
        <v>616</v>
      </c>
      <c r="J3" s="586" t="s">
        <v>617</v>
      </c>
      <c r="K3" s="811"/>
      <c r="L3" s="812"/>
      <c r="M3" s="813"/>
      <c r="N3" s="813"/>
      <c r="O3" s="813"/>
      <c r="P3" s="813"/>
      <c r="Q3" s="813"/>
      <c r="R3" s="813"/>
      <c r="S3" s="813"/>
      <c r="T3" s="814"/>
      <c r="U3" s="811"/>
    </row>
    <row r="4" spans="2:21" s="541" customFormat="1" ht="34.5" customHeight="1">
      <c r="B4" s="808" t="s">
        <v>619</v>
      </c>
      <c r="C4" s="809"/>
      <c r="D4" s="588">
        <f>SUM(D5:D44)</f>
        <v>1728096000</v>
      </c>
      <c r="E4" s="588">
        <f>SUM(E5:E44)</f>
        <v>1055899000</v>
      </c>
      <c r="F4" s="588">
        <f t="shared" ref="F4:G4" si="0">SUM(F5:F44)</f>
        <v>94594000</v>
      </c>
      <c r="G4" s="588">
        <f t="shared" si="0"/>
        <v>577603000</v>
      </c>
      <c r="H4" s="589"/>
      <c r="I4" s="590"/>
      <c r="J4" s="590"/>
      <c r="K4" s="588">
        <f t="shared" ref="K4" si="1">SUM(K5:K44)</f>
        <v>1728096000</v>
      </c>
      <c r="L4" s="591"/>
      <c r="M4" s="592"/>
      <c r="N4" s="592"/>
      <c r="O4" s="592"/>
      <c r="P4" s="592"/>
      <c r="Q4" s="592"/>
      <c r="R4" s="592"/>
      <c r="S4" s="592"/>
      <c r="T4" s="593"/>
      <c r="U4" s="590">
        <f>IF(D4=K4,,"×")</f>
        <v>0</v>
      </c>
    </row>
    <row r="5" spans="2:21" s="541" customFormat="1" ht="24" customHeight="1">
      <c r="B5" s="542" t="s">
        <v>59</v>
      </c>
      <c r="C5" s="542" t="s">
        <v>59</v>
      </c>
      <c r="D5" s="543">
        <f>SUM(E5:G5)</f>
        <v>69439000</v>
      </c>
      <c r="E5" s="544">
        <f>ROUND(K5*H5,-3)</f>
        <v>62495000</v>
      </c>
      <c r="F5" s="544">
        <f>ROUND(K5*I5,-3)</f>
        <v>4861000</v>
      </c>
      <c r="G5" s="544">
        <f>ROUND(K5*J5,-3)</f>
        <v>2083000</v>
      </c>
      <c r="H5" s="545">
        <v>0.9</v>
      </c>
      <c r="I5" s="545">
        <v>7.0000000000000007E-2</v>
      </c>
      <c r="J5" s="545">
        <v>0.03</v>
      </c>
      <c r="K5" s="546">
        <f>ROUND(M5*P5*S5,-3)</f>
        <v>69439000</v>
      </c>
      <c r="L5" s="548" t="s">
        <v>53</v>
      </c>
      <c r="M5" s="549">
        <v>231464</v>
      </c>
      <c r="N5" s="549" t="s">
        <v>57</v>
      </c>
      <c r="O5" s="550" t="s">
        <v>58</v>
      </c>
      <c r="P5" s="549">
        <v>12</v>
      </c>
      <c r="Q5" s="549" t="s">
        <v>0</v>
      </c>
      <c r="R5" s="550" t="s">
        <v>58</v>
      </c>
      <c r="S5" s="551">
        <v>25</v>
      </c>
      <c r="T5" s="552" t="s">
        <v>56</v>
      </c>
      <c r="U5" s="585">
        <f>IF(D5=K5,,"×")</f>
        <v>0</v>
      </c>
    </row>
    <row r="6" spans="2:21" s="541" customFormat="1" ht="24" customHeight="1">
      <c r="B6" s="542"/>
      <c r="C6" s="542" t="s">
        <v>578</v>
      </c>
      <c r="D6" s="543">
        <f t="shared" ref="D6:D44" si="2">SUM(E6:G6)</f>
        <v>734000</v>
      </c>
      <c r="E6" s="544">
        <f>ROUNDUP(K6*H6,-3)</f>
        <v>661000</v>
      </c>
      <c r="F6" s="544">
        <f t="shared" ref="F6:F44" si="3">ROUND(K6*I6,-3)</f>
        <v>51000</v>
      </c>
      <c r="G6" s="544">
        <f t="shared" ref="G6:G44" si="4">ROUND(K6*J6,-3)</f>
        <v>22000</v>
      </c>
      <c r="H6" s="545">
        <v>0.9</v>
      </c>
      <c r="I6" s="545">
        <v>7.0000000000000007E-2</v>
      </c>
      <c r="J6" s="545">
        <v>0.03</v>
      </c>
      <c r="K6" s="546">
        <f>ROUND(M6*P6*S6,-3)</f>
        <v>734000</v>
      </c>
      <c r="L6" s="553" t="s">
        <v>53</v>
      </c>
      <c r="M6" s="554">
        <v>29340</v>
      </c>
      <c r="N6" s="554" t="s">
        <v>57</v>
      </c>
      <c r="O6" s="555" t="s">
        <v>58</v>
      </c>
      <c r="P6" s="554">
        <v>1</v>
      </c>
      <c r="Q6" s="554" t="s">
        <v>75</v>
      </c>
      <c r="R6" s="555" t="s">
        <v>58</v>
      </c>
      <c r="S6" s="554">
        <v>25</v>
      </c>
      <c r="T6" s="556" t="s">
        <v>56</v>
      </c>
      <c r="U6" s="585">
        <f t="shared" ref="U6:U44" si="5">IF(D6=K6,,"×")</f>
        <v>0</v>
      </c>
    </row>
    <row r="7" spans="2:21" s="541" customFormat="1" ht="24" customHeight="1">
      <c r="B7" s="542"/>
      <c r="C7" s="542" t="s">
        <v>579</v>
      </c>
      <c r="D7" s="543">
        <f t="shared" si="2"/>
        <v>1500000</v>
      </c>
      <c r="E7" s="544">
        <f>ROUNDUP(K7*H7,-3)</f>
        <v>1350000</v>
      </c>
      <c r="F7" s="544">
        <f t="shared" si="3"/>
        <v>105000</v>
      </c>
      <c r="G7" s="544">
        <f t="shared" si="4"/>
        <v>45000</v>
      </c>
      <c r="H7" s="545">
        <v>0.9</v>
      </c>
      <c r="I7" s="545">
        <v>7.0000000000000007E-2</v>
      </c>
      <c r="J7" s="545">
        <v>0.03</v>
      </c>
      <c r="K7" s="546">
        <f>M7*P7*S7</f>
        <v>1500000</v>
      </c>
      <c r="L7" s="548" t="s">
        <v>53</v>
      </c>
      <c r="M7" s="549">
        <v>30000</v>
      </c>
      <c r="N7" s="549" t="s">
        <v>57</v>
      </c>
      <c r="O7" s="550" t="s">
        <v>58</v>
      </c>
      <c r="P7" s="549">
        <v>2</v>
      </c>
      <c r="Q7" s="549" t="s">
        <v>75</v>
      </c>
      <c r="R7" s="550" t="s">
        <v>58</v>
      </c>
      <c r="S7" s="551">
        <v>25</v>
      </c>
      <c r="T7" s="552" t="s">
        <v>56</v>
      </c>
      <c r="U7" s="585">
        <f t="shared" si="5"/>
        <v>0</v>
      </c>
    </row>
    <row r="8" spans="2:21" s="541" customFormat="1" ht="24" customHeight="1">
      <c r="B8" s="542" t="s">
        <v>593</v>
      </c>
      <c r="C8" s="542" t="s">
        <v>580</v>
      </c>
      <c r="D8" s="543">
        <f t="shared" si="2"/>
        <v>3000000</v>
      </c>
      <c r="E8" s="544">
        <f t="shared" ref="E8:E44" si="6">ROUND(K8*H8,-3)</f>
        <v>1500000</v>
      </c>
      <c r="F8" s="544">
        <f t="shared" si="3"/>
        <v>1500000</v>
      </c>
      <c r="G8" s="544">
        <f t="shared" si="4"/>
        <v>0</v>
      </c>
      <c r="H8" s="545">
        <v>0.5</v>
      </c>
      <c r="I8" s="545">
        <v>0.5</v>
      </c>
      <c r="J8" s="545">
        <v>0</v>
      </c>
      <c r="K8" s="546">
        <v>3000000</v>
      </c>
      <c r="L8" s="557"/>
      <c r="M8" s="551" t="s">
        <v>791</v>
      </c>
      <c r="N8" s="551"/>
      <c r="O8" s="558"/>
      <c r="P8" s="559"/>
      <c r="Q8" s="560"/>
      <c r="R8" s="561"/>
      <c r="S8" s="562"/>
      <c r="T8" s="563"/>
      <c r="U8" s="585">
        <f t="shared" si="5"/>
        <v>0</v>
      </c>
    </row>
    <row r="9" spans="2:21" s="541" customFormat="1" ht="24" customHeight="1">
      <c r="B9" s="542" t="s">
        <v>165</v>
      </c>
      <c r="C9" s="542" t="s">
        <v>581</v>
      </c>
      <c r="D9" s="543">
        <f t="shared" si="2"/>
        <v>844114000</v>
      </c>
      <c r="E9" s="544">
        <f t="shared" si="6"/>
        <v>590880000</v>
      </c>
      <c r="F9" s="544">
        <f t="shared" si="3"/>
        <v>37985000</v>
      </c>
      <c r="G9" s="544">
        <f t="shared" si="4"/>
        <v>215249000</v>
      </c>
      <c r="H9" s="545">
        <v>0.7</v>
      </c>
      <c r="I9" s="547">
        <v>4.4999999999999998E-2</v>
      </c>
      <c r="J9" s="547">
        <v>0.255</v>
      </c>
      <c r="K9" s="546">
        <v>844114000</v>
      </c>
      <c r="L9" s="564"/>
      <c r="M9" s="565" t="s">
        <v>609</v>
      </c>
      <c r="N9" s="565"/>
      <c r="O9" s="565"/>
      <c r="P9" s="565"/>
      <c r="Q9" s="565"/>
      <c r="R9" s="565"/>
      <c r="S9" s="565"/>
      <c r="T9" s="566"/>
      <c r="U9" s="585">
        <f t="shared" si="5"/>
        <v>0</v>
      </c>
    </row>
    <row r="10" spans="2:21" s="541" customFormat="1" ht="24" customHeight="1">
      <c r="B10" s="542"/>
      <c r="C10" s="542" t="s">
        <v>582</v>
      </c>
      <c r="D10" s="543">
        <f t="shared" si="2"/>
        <v>83530000</v>
      </c>
      <c r="E10" s="544">
        <f>ROUNDUP(K10*H10,-3)</f>
        <v>58471000</v>
      </c>
      <c r="F10" s="544">
        <f t="shared" si="3"/>
        <v>3759000</v>
      </c>
      <c r="G10" s="544">
        <f t="shared" si="4"/>
        <v>21300000</v>
      </c>
      <c r="H10" s="545">
        <v>0.7</v>
      </c>
      <c r="I10" s="547">
        <v>4.4999999999999998E-2</v>
      </c>
      <c r="J10" s="547">
        <v>0.255</v>
      </c>
      <c r="K10" s="546">
        <v>83530000</v>
      </c>
      <c r="L10" s="564"/>
      <c r="M10" s="565" t="s">
        <v>609</v>
      </c>
      <c r="N10" s="565"/>
      <c r="O10" s="565"/>
      <c r="P10" s="565"/>
      <c r="Q10" s="565"/>
      <c r="R10" s="565"/>
      <c r="S10" s="565"/>
      <c r="T10" s="566"/>
      <c r="U10" s="585">
        <f t="shared" si="5"/>
        <v>0</v>
      </c>
    </row>
    <row r="11" spans="2:21" s="541" customFormat="1" ht="24" customHeight="1">
      <c r="B11" s="542"/>
      <c r="C11" s="542" t="s">
        <v>583</v>
      </c>
      <c r="D11" s="543">
        <f t="shared" si="2"/>
        <v>6480000</v>
      </c>
      <c r="E11" s="544">
        <f t="shared" si="6"/>
        <v>4536000</v>
      </c>
      <c r="F11" s="544">
        <f t="shared" si="3"/>
        <v>292000</v>
      </c>
      <c r="G11" s="544">
        <f t="shared" si="4"/>
        <v>1652000</v>
      </c>
      <c r="H11" s="545">
        <v>0.7</v>
      </c>
      <c r="I11" s="547">
        <v>4.4999999999999998E-2</v>
      </c>
      <c r="J11" s="547">
        <v>0.255</v>
      </c>
      <c r="K11" s="546">
        <v>6480000</v>
      </c>
      <c r="L11" s="564"/>
      <c r="M11" s="565" t="s">
        <v>609</v>
      </c>
      <c r="N11" s="565"/>
      <c r="O11" s="565"/>
      <c r="P11" s="565"/>
      <c r="Q11" s="565"/>
      <c r="R11" s="565"/>
      <c r="S11" s="565"/>
      <c r="T11" s="566"/>
      <c r="U11" s="585">
        <f t="shared" si="5"/>
        <v>0</v>
      </c>
    </row>
    <row r="12" spans="2:21" s="541" customFormat="1" ht="24" customHeight="1">
      <c r="B12" s="542"/>
      <c r="C12" s="542" t="s">
        <v>584</v>
      </c>
      <c r="D12" s="543">
        <f t="shared" si="2"/>
        <v>202785000</v>
      </c>
      <c r="E12" s="544">
        <f t="shared" si="6"/>
        <v>141950000</v>
      </c>
      <c r="F12" s="544">
        <f t="shared" si="3"/>
        <v>9125000</v>
      </c>
      <c r="G12" s="544">
        <f t="shared" si="4"/>
        <v>51710000</v>
      </c>
      <c r="H12" s="545">
        <v>0.7</v>
      </c>
      <c r="I12" s="547">
        <v>4.4999999999999998E-2</v>
      </c>
      <c r="J12" s="547">
        <v>0.255</v>
      </c>
      <c r="K12" s="546">
        <v>202785000</v>
      </c>
      <c r="L12" s="564"/>
      <c r="M12" s="565" t="s">
        <v>609</v>
      </c>
      <c r="N12" s="565"/>
      <c r="O12" s="565"/>
      <c r="P12" s="565"/>
      <c r="Q12" s="565"/>
      <c r="R12" s="565"/>
      <c r="S12" s="565"/>
      <c r="T12" s="566"/>
      <c r="U12" s="585">
        <f t="shared" si="5"/>
        <v>0</v>
      </c>
    </row>
    <row r="13" spans="2:21" s="541" customFormat="1" ht="24" customHeight="1">
      <c r="B13" s="542"/>
      <c r="C13" s="542" t="s">
        <v>585</v>
      </c>
      <c r="D13" s="543">
        <f t="shared" si="2"/>
        <v>94742000</v>
      </c>
      <c r="E13" s="544">
        <f>ROUNDUP(K13*H13,-3)</f>
        <v>66320000</v>
      </c>
      <c r="F13" s="544">
        <f t="shared" si="3"/>
        <v>4263000</v>
      </c>
      <c r="G13" s="544">
        <f t="shared" si="4"/>
        <v>24159000</v>
      </c>
      <c r="H13" s="545">
        <v>0.7</v>
      </c>
      <c r="I13" s="547">
        <v>4.4999999999999998E-2</v>
      </c>
      <c r="J13" s="547">
        <v>0.255</v>
      </c>
      <c r="K13" s="546">
        <f>ROUND(M13/P13,-3)</f>
        <v>94742000</v>
      </c>
      <c r="L13" s="548" t="s">
        <v>53</v>
      </c>
      <c r="M13" s="549">
        <f>SUM(K9:K12)</f>
        <v>1136909000</v>
      </c>
      <c r="N13" s="567" t="s">
        <v>57</v>
      </c>
      <c r="O13" s="568" t="s">
        <v>74</v>
      </c>
      <c r="P13" s="569">
        <v>12</v>
      </c>
      <c r="Q13" s="570" t="s">
        <v>0</v>
      </c>
      <c r="R13" s="571"/>
      <c r="S13" s="572"/>
      <c r="T13" s="552"/>
      <c r="U13" s="585">
        <f t="shared" si="5"/>
        <v>0</v>
      </c>
    </row>
    <row r="14" spans="2:21" s="541" customFormat="1" ht="24" customHeight="1">
      <c r="B14" s="542"/>
      <c r="C14" s="542" t="s">
        <v>586</v>
      </c>
      <c r="D14" s="543">
        <f t="shared" si="2"/>
        <v>51161000</v>
      </c>
      <c r="E14" s="544">
        <f t="shared" si="6"/>
        <v>35813000</v>
      </c>
      <c r="F14" s="544">
        <f t="shared" si="3"/>
        <v>2302000</v>
      </c>
      <c r="G14" s="544">
        <f t="shared" si="4"/>
        <v>13046000</v>
      </c>
      <c r="H14" s="545">
        <v>0.7</v>
      </c>
      <c r="I14" s="547">
        <v>4.4999999999999998E-2</v>
      </c>
      <c r="J14" s="547">
        <v>0.255</v>
      </c>
      <c r="K14" s="546">
        <f>ROUND(M14*P14/Q14,-3)</f>
        <v>51161000</v>
      </c>
      <c r="L14" s="548" t="s">
        <v>53</v>
      </c>
      <c r="M14" s="549">
        <f>M13</f>
        <v>1136909000</v>
      </c>
      <c r="N14" s="567" t="s">
        <v>57</v>
      </c>
      <c r="O14" s="571" t="s">
        <v>58</v>
      </c>
      <c r="P14" s="573">
        <v>0.09</v>
      </c>
      <c r="Q14" s="568">
        <v>2</v>
      </c>
      <c r="R14" s="571"/>
      <c r="S14" s="572"/>
      <c r="T14" s="574"/>
      <c r="U14" s="585">
        <f t="shared" si="5"/>
        <v>0</v>
      </c>
    </row>
    <row r="15" spans="2:21" s="541" customFormat="1" ht="24" customHeight="1">
      <c r="B15" s="542"/>
      <c r="C15" s="542" t="s">
        <v>587</v>
      </c>
      <c r="D15" s="543">
        <f t="shared" si="2"/>
        <v>34505000</v>
      </c>
      <c r="E15" s="544">
        <f>ROUNDDOWN(K15*H15,-3)</f>
        <v>24153000</v>
      </c>
      <c r="F15" s="544">
        <f t="shared" si="3"/>
        <v>1553000</v>
      </c>
      <c r="G15" s="544">
        <f t="shared" si="4"/>
        <v>8799000</v>
      </c>
      <c r="H15" s="545">
        <v>0.7</v>
      </c>
      <c r="I15" s="547">
        <v>4.4999999999999998E-2</v>
      </c>
      <c r="J15" s="547">
        <v>0.255</v>
      </c>
      <c r="K15" s="546">
        <f>ROUND(M15*P15/Q15,-3)</f>
        <v>34505000</v>
      </c>
      <c r="L15" s="548" t="s">
        <v>53</v>
      </c>
      <c r="M15" s="549">
        <f>M13</f>
        <v>1136909000</v>
      </c>
      <c r="N15" s="567" t="s">
        <v>57</v>
      </c>
      <c r="O15" s="571" t="s">
        <v>58</v>
      </c>
      <c r="P15" s="575">
        <v>6.0699999999999997E-2</v>
      </c>
      <c r="Q15" s="568">
        <v>2</v>
      </c>
      <c r="R15" s="571"/>
      <c r="S15" s="572"/>
      <c r="T15" s="574"/>
      <c r="U15" s="585">
        <f t="shared" si="5"/>
        <v>0</v>
      </c>
    </row>
    <row r="16" spans="2:21" s="541" customFormat="1" ht="24" customHeight="1">
      <c r="B16" s="542"/>
      <c r="C16" s="542" t="s">
        <v>588</v>
      </c>
      <c r="D16" s="543">
        <f t="shared" si="2"/>
        <v>2260000</v>
      </c>
      <c r="E16" s="544">
        <f t="shared" si="6"/>
        <v>1582000</v>
      </c>
      <c r="F16" s="544">
        <f t="shared" si="3"/>
        <v>102000</v>
      </c>
      <c r="G16" s="544">
        <f t="shared" si="4"/>
        <v>576000</v>
      </c>
      <c r="H16" s="545">
        <v>0.7</v>
      </c>
      <c r="I16" s="547">
        <v>4.4999999999999998E-2</v>
      </c>
      <c r="J16" s="547">
        <v>0.255</v>
      </c>
      <c r="K16" s="546">
        <f>ROUND(M16*P16,-3)</f>
        <v>2260000</v>
      </c>
      <c r="L16" s="548" t="s">
        <v>53</v>
      </c>
      <c r="M16" s="549">
        <f>K15</f>
        <v>34505000</v>
      </c>
      <c r="N16" s="567" t="s">
        <v>57</v>
      </c>
      <c r="O16" s="571" t="s">
        <v>58</v>
      </c>
      <c r="P16" s="576">
        <v>6.5500000000000003E-2</v>
      </c>
      <c r="Q16" s="577"/>
      <c r="R16" s="571"/>
      <c r="S16" s="572"/>
      <c r="T16" s="578"/>
      <c r="U16" s="585">
        <f t="shared" si="5"/>
        <v>0</v>
      </c>
    </row>
    <row r="17" spans="2:21" s="541" customFormat="1" ht="24" customHeight="1">
      <c r="B17" s="542"/>
      <c r="C17" s="542" t="s">
        <v>589</v>
      </c>
      <c r="D17" s="543">
        <f t="shared" si="2"/>
        <v>10232000</v>
      </c>
      <c r="E17" s="544">
        <f t="shared" si="6"/>
        <v>7162000</v>
      </c>
      <c r="F17" s="544">
        <f>ROUNDUP(K17*I17,-3)</f>
        <v>461000</v>
      </c>
      <c r="G17" s="544">
        <f t="shared" si="4"/>
        <v>2609000</v>
      </c>
      <c r="H17" s="545">
        <v>0.7</v>
      </c>
      <c r="I17" s="547">
        <v>4.4999999999999998E-2</v>
      </c>
      <c r="J17" s="547">
        <v>0.255</v>
      </c>
      <c r="K17" s="546">
        <f>ROUND(M17*P17,-3)</f>
        <v>10232000</v>
      </c>
      <c r="L17" s="548" t="s">
        <v>53</v>
      </c>
      <c r="M17" s="549">
        <f>M13</f>
        <v>1136909000</v>
      </c>
      <c r="N17" s="567" t="s">
        <v>57</v>
      </c>
      <c r="O17" s="571" t="s">
        <v>58</v>
      </c>
      <c r="P17" s="576">
        <v>8.9999999999999993E-3</v>
      </c>
      <c r="Q17" s="571"/>
      <c r="R17" s="571"/>
      <c r="S17" s="572"/>
      <c r="T17" s="574"/>
      <c r="U17" s="585">
        <f t="shared" si="5"/>
        <v>0</v>
      </c>
    </row>
    <row r="18" spans="2:21" s="541" customFormat="1" ht="24" customHeight="1">
      <c r="B18" s="542"/>
      <c r="C18" s="542" t="s">
        <v>590</v>
      </c>
      <c r="D18" s="543">
        <f t="shared" si="2"/>
        <v>6526000</v>
      </c>
      <c r="E18" s="544">
        <f t="shared" si="6"/>
        <v>4568000</v>
      </c>
      <c r="F18" s="544">
        <f t="shared" si="3"/>
        <v>294000</v>
      </c>
      <c r="G18" s="544">
        <f t="shared" si="4"/>
        <v>1664000</v>
      </c>
      <c r="H18" s="545">
        <v>0.7</v>
      </c>
      <c r="I18" s="547">
        <v>4.4999999999999998E-2</v>
      </c>
      <c r="J18" s="547">
        <v>0.255</v>
      </c>
      <c r="K18" s="546">
        <f>ROUND(M18*P18,-3)</f>
        <v>6526000</v>
      </c>
      <c r="L18" s="548" t="s">
        <v>53</v>
      </c>
      <c r="M18" s="549">
        <f>M13</f>
        <v>1136909000</v>
      </c>
      <c r="N18" s="567" t="s">
        <v>57</v>
      </c>
      <c r="O18" s="571" t="s">
        <v>58</v>
      </c>
      <c r="P18" s="579">
        <v>5.7400000000000003E-3</v>
      </c>
      <c r="Q18" s="571"/>
      <c r="R18" s="571"/>
      <c r="S18" s="572"/>
      <c r="T18" s="574"/>
      <c r="U18" s="585">
        <f t="shared" si="5"/>
        <v>0</v>
      </c>
    </row>
    <row r="19" spans="2:21" s="541" customFormat="1" ht="24" customHeight="1">
      <c r="B19" s="542" t="s">
        <v>97</v>
      </c>
      <c r="C19" s="542" t="s">
        <v>591</v>
      </c>
      <c r="D19" s="543">
        <f t="shared" si="2"/>
        <v>62700000</v>
      </c>
      <c r="E19" s="544">
        <f t="shared" si="6"/>
        <v>43890000</v>
      </c>
      <c r="F19" s="544">
        <f>ROUNDDOWN(K19*I19,-3)</f>
        <v>2821000</v>
      </c>
      <c r="G19" s="544">
        <f t="shared" si="4"/>
        <v>15989000</v>
      </c>
      <c r="H19" s="545">
        <v>0.7</v>
      </c>
      <c r="I19" s="547">
        <v>4.4999999999999998E-2</v>
      </c>
      <c r="J19" s="547">
        <v>0.255</v>
      </c>
      <c r="K19" s="546">
        <f>M19*P19</f>
        <v>62700000</v>
      </c>
      <c r="L19" s="548" t="s">
        <v>53</v>
      </c>
      <c r="M19" s="549">
        <v>2090000</v>
      </c>
      <c r="N19" s="549" t="s">
        <v>57</v>
      </c>
      <c r="O19" s="550" t="s">
        <v>58</v>
      </c>
      <c r="P19" s="568">
        <v>30</v>
      </c>
      <c r="Q19" s="549" t="s">
        <v>56</v>
      </c>
      <c r="R19" s="571"/>
      <c r="S19" s="580"/>
      <c r="T19" s="552"/>
      <c r="U19" s="585">
        <f t="shared" ref="U19" si="7">IF(D19=K19,,"×")</f>
        <v>0</v>
      </c>
    </row>
    <row r="20" spans="2:21" s="541" customFormat="1" ht="24" customHeight="1">
      <c r="B20" s="542"/>
      <c r="C20" s="542" t="s">
        <v>592</v>
      </c>
      <c r="D20" s="543">
        <f t="shared" si="2"/>
        <v>15096000</v>
      </c>
      <c r="E20" s="544">
        <f>ROUNDUP(K20*H20,-3)</f>
        <v>10568000</v>
      </c>
      <c r="F20" s="544">
        <f t="shared" si="3"/>
        <v>679000</v>
      </c>
      <c r="G20" s="544">
        <f t="shared" si="4"/>
        <v>3849000</v>
      </c>
      <c r="H20" s="545">
        <v>0.7</v>
      </c>
      <c r="I20" s="547">
        <v>4.4999999999999998E-2</v>
      </c>
      <c r="J20" s="547">
        <v>0.255</v>
      </c>
      <c r="K20" s="546">
        <f>M20*P20</f>
        <v>15096000</v>
      </c>
      <c r="L20" s="548" t="s">
        <v>53</v>
      </c>
      <c r="M20" s="549">
        <v>629000</v>
      </c>
      <c r="N20" s="549" t="s">
        <v>57</v>
      </c>
      <c r="O20" s="550" t="s">
        <v>58</v>
      </c>
      <c r="P20" s="568">
        <v>24</v>
      </c>
      <c r="Q20" s="549" t="s">
        <v>56</v>
      </c>
      <c r="R20" s="571"/>
      <c r="S20" s="580"/>
      <c r="T20" s="552"/>
      <c r="U20" s="585">
        <f t="shared" si="5"/>
        <v>0</v>
      </c>
    </row>
    <row r="21" spans="2:21" s="541" customFormat="1" ht="24" customHeight="1">
      <c r="B21" s="542" t="s">
        <v>516</v>
      </c>
      <c r="C21" s="542" t="s">
        <v>594</v>
      </c>
      <c r="D21" s="543">
        <f t="shared" si="2"/>
        <v>9855000</v>
      </c>
      <c r="E21" s="544">
        <f t="shared" si="6"/>
        <v>0</v>
      </c>
      <c r="F21" s="544">
        <f t="shared" si="3"/>
        <v>1478000</v>
      </c>
      <c r="G21" s="544">
        <f t="shared" si="4"/>
        <v>8377000</v>
      </c>
      <c r="H21" s="545">
        <v>0</v>
      </c>
      <c r="I21" s="547">
        <v>0.15</v>
      </c>
      <c r="J21" s="547">
        <v>0.85</v>
      </c>
      <c r="K21" s="546">
        <f>M21*P21*S21</f>
        <v>9855000</v>
      </c>
      <c r="L21" s="548" t="s">
        <v>53</v>
      </c>
      <c r="M21" s="549">
        <v>500</v>
      </c>
      <c r="N21" s="549" t="s">
        <v>57</v>
      </c>
      <c r="O21" s="550" t="s">
        <v>58</v>
      </c>
      <c r="P21" s="549">
        <v>365</v>
      </c>
      <c r="Q21" s="549" t="s">
        <v>85</v>
      </c>
      <c r="R21" s="550" t="s">
        <v>58</v>
      </c>
      <c r="S21" s="549">
        <v>54</v>
      </c>
      <c r="T21" s="552" t="s">
        <v>56</v>
      </c>
      <c r="U21" s="585">
        <f t="shared" si="5"/>
        <v>0</v>
      </c>
    </row>
    <row r="22" spans="2:21" s="541" customFormat="1" ht="24" customHeight="1">
      <c r="B22" s="542"/>
      <c r="C22" s="542" t="s">
        <v>595</v>
      </c>
      <c r="D22" s="543">
        <f t="shared" si="2"/>
        <v>3240000</v>
      </c>
      <c r="E22" s="544">
        <f t="shared" si="6"/>
        <v>0</v>
      </c>
      <c r="F22" s="544">
        <f t="shared" si="3"/>
        <v>486000</v>
      </c>
      <c r="G22" s="544">
        <f t="shared" si="4"/>
        <v>2754000</v>
      </c>
      <c r="H22" s="545">
        <v>0</v>
      </c>
      <c r="I22" s="547">
        <v>0.15</v>
      </c>
      <c r="J22" s="547">
        <v>0.85</v>
      </c>
      <c r="K22" s="546">
        <f>M22*P22*S22</f>
        <v>3240000</v>
      </c>
      <c r="L22" s="548" t="s">
        <v>53</v>
      </c>
      <c r="M22" s="549">
        <v>5000</v>
      </c>
      <c r="N22" s="549" t="s">
        <v>57</v>
      </c>
      <c r="O22" s="550" t="s">
        <v>58</v>
      </c>
      <c r="P22" s="549">
        <v>12</v>
      </c>
      <c r="Q22" s="549" t="s">
        <v>29</v>
      </c>
      <c r="R22" s="550" t="s">
        <v>58</v>
      </c>
      <c r="S22" s="549">
        <v>54</v>
      </c>
      <c r="T22" s="552" t="s">
        <v>56</v>
      </c>
      <c r="U22" s="585">
        <f t="shared" si="5"/>
        <v>0</v>
      </c>
    </row>
    <row r="23" spans="2:21" s="541" customFormat="1" ht="37.5" customHeight="1">
      <c r="B23" s="542"/>
      <c r="C23" s="594" t="s">
        <v>620</v>
      </c>
      <c r="D23" s="543">
        <f t="shared" si="2"/>
        <v>4320000</v>
      </c>
      <c r="E23" s="544">
        <f t="shared" si="6"/>
        <v>0</v>
      </c>
      <c r="F23" s="544">
        <f t="shared" si="3"/>
        <v>648000</v>
      </c>
      <c r="G23" s="544">
        <f t="shared" si="4"/>
        <v>3672000</v>
      </c>
      <c r="H23" s="545">
        <v>0</v>
      </c>
      <c r="I23" s="547">
        <v>0.15</v>
      </c>
      <c r="J23" s="547">
        <v>0.85</v>
      </c>
      <c r="K23" s="546">
        <f t="shared" ref="K23:K25" si="8">M23*P23*S23</f>
        <v>4320000</v>
      </c>
      <c r="L23" s="553" t="s">
        <v>53</v>
      </c>
      <c r="M23" s="554">
        <v>20000</v>
      </c>
      <c r="N23" s="554" t="s">
        <v>57</v>
      </c>
      <c r="O23" s="581" t="s">
        <v>58</v>
      </c>
      <c r="P23" s="554">
        <v>4</v>
      </c>
      <c r="Q23" s="554" t="s">
        <v>75</v>
      </c>
      <c r="R23" s="581" t="s">
        <v>58</v>
      </c>
      <c r="S23" s="554">
        <v>54</v>
      </c>
      <c r="T23" s="556" t="s">
        <v>56</v>
      </c>
      <c r="U23" s="585">
        <f t="shared" si="5"/>
        <v>0</v>
      </c>
    </row>
    <row r="24" spans="2:21" s="541" customFormat="1" ht="35.25" customHeight="1">
      <c r="B24" s="542"/>
      <c r="C24" s="594" t="s">
        <v>621</v>
      </c>
      <c r="D24" s="543">
        <f t="shared" si="2"/>
        <v>2592000</v>
      </c>
      <c r="E24" s="544">
        <f t="shared" si="6"/>
        <v>0</v>
      </c>
      <c r="F24" s="544">
        <f t="shared" si="3"/>
        <v>389000</v>
      </c>
      <c r="G24" s="544">
        <f t="shared" si="4"/>
        <v>2203000</v>
      </c>
      <c r="H24" s="545">
        <v>0</v>
      </c>
      <c r="I24" s="547">
        <v>0.15</v>
      </c>
      <c r="J24" s="547">
        <v>0.85</v>
      </c>
      <c r="K24" s="546">
        <f t="shared" si="8"/>
        <v>2592000</v>
      </c>
      <c r="L24" s="548" t="s">
        <v>53</v>
      </c>
      <c r="M24" s="549">
        <v>12000</v>
      </c>
      <c r="N24" s="549" t="s">
        <v>57</v>
      </c>
      <c r="O24" s="550" t="s">
        <v>58</v>
      </c>
      <c r="P24" s="549">
        <v>4</v>
      </c>
      <c r="Q24" s="549" t="s">
        <v>75</v>
      </c>
      <c r="R24" s="550" t="s">
        <v>58</v>
      </c>
      <c r="S24" s="549">
        <v>54</v>
      </c>
      <c r="T24" s="552" t="s">
        <v>56</v>
      </c>
      <c r="U24" s="585">
        <f t="shared" si="5"/>
        <v>0</v>
      </c>
    </row>
    <row r="25" spans="2:21" s="541" customFormat="1" ht="31.5" customHeight="1">
      <c r="B25" s="542"/>
      <c r="C25" s="542" t="s">
        <v>596</v>
      </c>
      <c r="D25" s="543">
        <f t="shared" si="2"/>
        <v>2160000</v>
      </c>
      <c r="E25" s="544">
        <f t="shared" si="6"/>
        <v>0</v>
      </c>
      <c r="F25" s="544">
        <f t="shared" si="3"/>
        <v>324000</v>
      </c>
      <c r="G25" s="544">
        <f t="shared" si="4"/>
        <v>1836000</v>
      </c>
      <c r="H25" s="545">
        <v>0</v>
      </c>
      <c r="I25" s="547">
        <v>0.15</v>
      </c>
      <c r="J25" s="547">
        <v>0.85</v>
      </c>
      <c r="K25" s="546">
        <f t="shared" si="8"/>
        <v>2160000</v>
      </c>
      <c r="L25" s="548" t="s">
        <v>53</v>
      </c>
      <c r="M25" s="549">
        <v>40000</v>
      </c>
      <c r="N25" s="549" t="s">
        <v>57</v>
      </c>
      <c r="O25" s="582" t="s">
        <v>58</v>
      </c>
      <c r="P25" s="549">
        <v>1</v>
      </c>
      <c r="Q25" s="549" t="s">
        <v>75</v>
      </c>
      <c r="R25" s="582" t="s">
        <v>58</v>
      </c>
      <c r="S25" s="549">
        <v>54</v>
      </c>
      <c r="T25" s="552" t="s">
        <v>56</v>
      </c>
      <c r="U25" s="585">
        <f t="shared" si="5"/>
        <v>0</v>
      </c>
    </row>
    <row r="26" spans="2:21" s="541" customFormat="1" ht="24" customHeight="1">
      <c r="B26" s="542" t="s">
        <v>517</v>
      </c>
      <c r="C26" s="542" t="s">
        <v>581</v>
      </c>
      <c r="D26" s="543">
        <f t="shared" si="2"/>
        <v>56079000</v>
      </c>
      <c r="E26" s="544">
        <f t="shared" si="6"/>
        <v>0</v>
      </c>
      <c r="F26" s="544">
        <f t="shared" si="3"/>
        <v>5608000</v>
      </c>
      <c r="G26" s="544">
        <f t="shared" si="4"/>
        <v>50471000</v>
      </c>
      <c r="H26" s="545">
        <v>0</v>
      </c>
      <c r="I26" s="547">
        <v>0.1</v>
      </c>
      <c r="J26" s="547">
        <v>0.9</v>
      </c>
      <c r="K26" s="546">
        <v>56079000</v>
      </c>
      <c r="L26" s="564"/>
      <c r="M26" s="565" t="s">
        <v>609</v>
      </c>
      <c r="N26" s="565"/>
      <c r="O26" s="565"/>
      <c r="P26" s="565"/>
      <c r="Q26" s="565"/>
      <c r="R26" s="565"/>
      <c r="S26" s="565"/>
      <c r="T26" s="566"/>
      <c r="U26" s="585">
        <f t="shared" si="5"/>
        <v>0</v>
      </c>
    </row>
    <row r="27" spans="2:21" s="541" customFormat="1" ht="24" customHeight="1">
      <c r="B27" s="542"/>
      <c r="C27" s="542" t="s">
        <v>582</v>
      </c>
      <c r="D27" s="543">
        <f t="shared" si="2"/>
        <v>4284000</v>
      </c>
      <c r="E27" s="544">
        <f t="shared" si="6"/>
        <v>0</v>
      </c>
      <c r="F27" s="544">
        <f t="shared" si="3"/>
        <v>428000</v>
      </c>
      <c r="G27" s="544">
        <f t="shared" si="4"/>
        <v>3856000</v>
      </c>
      <c r="H27" s="545">
        <v>0</v>
      </c>
      <c r="I27" s="547">
        <v>0.1</v>
      </c>
      <c r="J27" s="547">
        <v>0.9</v>
      </c>
      <c r="K27" s="546">
        <v>4284000</v>
      </c>
      <c r="L27" s="564"/>
      <c r="M27" s="565" t="s">
        <v>609</v>
      </c>
      <c r="N27" s="565"/>
      <c r="O27" s="565"/>
      <c r="P27" s="565"/>
      <c r="Q27" s="565"/>
      <c r="R27" s="565"/>
      <c r="S27" s="565"/>
      <c r="T27" s="566"/>
      <c r="U27" s="585">
        <f t="shared" si="5"/>
        <v>0</v>
      </c>
    </row>
    <row r="28" spans="2:21" s="541" customFormat="1" ht="24" customHeight="1">
      <c r="B28" s="542"/>
      <c r="C28" s="542" t="s">
        <v>583</v>
      </c>
      <c r="D28" s="543">
        <f t="shared" si="2"/>
        <v>1280000</v>
      </c>
      <c r="E28" s="544">
        <f t="shared" si="6"/>
        <v>0</v>
      </c>
      <c r="F28" s="544">
        <f t="shared" si="3"/>
        <v>128000</v>
      </c>
      <c r="G28" s="544">
        <f t="shared" si="4"/>
        <v>1152000</v>
      </c>
      <c r="H28" s="545">
        <v>0</v>
      </c>
      <c r="I28" s="547">
        <v>0.1</v>
      </c>
      <c r="J28" s="547">
        <v>0.9</v>
      </c>
      <c r="K28" s="546">
        <v>1280000</v>
      </c>
      <c r="L28" s="564"/>
      <c r="M28" s="565" t="s">
        <v>609</v>
      </c>
      <c r="N28" s="565"/>
      <c r="O28" s="565"/>
      <c r="P28" s="565"/>
      <c r="Q28" s="565"/>
      <c r="R28" s="565"/>
      <c r="S28" s="565"/>
      <c r="T28" s="566"/>
      <c r="U28" s="585">
        <f t="shared" si="5"/>
        <v>0</v>
      </c>
    </row>
    <row r="29" spans="2:21" s="541" customFormat="1" ht="24" customHeight="1">
      <c r="B29" s="542"/>
      <c r="C29" s="542" t="s">
        <v>584</v>
      </c>
      <c r="D29" s="543">
        <f t="shared" si="2"/>
        <v>13041000</v>
      </c>
      <c r="E29" s="544">
        <f t="shared" si="6"/>
        <v>0</v>
      </c>
      <c r="F29" s="544">
        <f t="shared" si="3"/>
        <v>1304000</v>
      </c>
      <c r="G29" s="544">
        <f t="shared" si="4"/>
        <v>11737000</v>
      </c>
      <c r="H29" s="545">
        <v>0</v>
      </c>
      <c r="I29" s="547">
        <v>0.1</v>
      </c>
      <c r="J29" s="547">
        <v>0.9</v>
      </c>
      <c r="K29" s="546">
        <v>13041000</v>
      </c>
      <c r="L29" s="564"/>
      <c r="M29" s="565" t="s">
        <v>609</v>
      </c>
      <c r="N29" s="565"/>
      <c r="O29" s="565"/>
      <c r="P29" s="565"/>
      <c r="Q29" s="565"/>
      <c r="R29" s="565"/>
      <c r="S29" s="565"/>
      <c r="T29" s="566"/>
      <c r="U29" s="585">
        <f t="shared" si="5"/>
        <v>0</v>
      </c>
    </row>
    <row r="30" spans="2:21" s="541" customFormat="1" ht="24" customHeight="1">
      <c r="B30" s="542"/>
      <c r="C30" s="542" t="s">
        <v>597</v>
      </c>
      <c r="D30" s="543">
        <f t="shared" si="2"/>
        <v>94900000</v>
      </c>
      <c r="E30" s="544">
        <f t="shared" si="6"/>
        <v>0</v>
      </c>
      <c r="F30" s="544">
        <f t="shared" si="3"/>
        <v>9490000</v>
      </c>
      <c r="G30" s="544">
        <f t="shared" si="4"/>
        <v>85410000</v>
      </c>
      <c r="H30" s="545">
        <v>0</v>
      </c>
      <c r="I30" s="547">
        <v>0.1</v>
      </c>
      <c r="J30" s="547">
        <v>0.9</v>
      </c>
      <c r="K30" s="546">
        <v>94900000</v>
      </c>
      <c r="L30" s="564"/>
      <c r="M30" s="565" t="s">
        <v>609</v>
      </c>
      <c r="N30" s="565"/>
      <c r="O30" s="565"/>
      <c r="P30" s="565"/>
      <c r="Q30" s="565"/>
      <c r="R30" s="565"/>
      <c r="S30" s="565"/>
      <c r="T30" s="566"/>
      <c r="U30" s="585">
        <f t="shared" si="5"/>
        <v>0</v>
      </c>
    </row>
    <row r="31" spans="2:21" s="541" customFormat="1" ht="24" customHeight="1">
      <c r="B31" s="542"/>
      <c r="C31" s="542" t="s">
        <v>585</v>
      </c>
      <c r="D31" s="543">
        <f t="shared" si="2"/>
        <v>6224000</v>
      </c>
      <c r="E31" s="544">
        <f t="shared" si="6"/>
        <v>0</v>
      </c>
      <c r="F31" s="544">
        <f t="shared" si="3"/>
        <v>622000</v>
      </c>
      <c r="G31" s="544">
        <f t="shared" si="4"/>
        <v>5602000</v>
      </c>
      <c r="H31" s="545">
        <v>0</v>
      </c>
      <c r="I31" s="547">
        <v>0.1</v>
      </c>
      <c r="J31" s="547">
        <v>0.9</v>
      </c>
      <c r="K31" s="546">
        <f>ROUND(M31/P31,-3)</f>
        <v>6224000</v>
      </c>
      <c r="L31" s="548" t="s">
        <v>53</v>
      </c>
      <c r="M31" s="549">
        <f>SUM(K26:K29)</f>
        <v>74684000</v>
      </c>
      <c r="N31" s="567" t="s">
        <v>57</v>
      </c>
      <c r="O31" s="568" t="s">
        <v>74</v>
      </c>
      <c r="P31" s="569">
        <v>12</v>
      </c>
      <c r="Q31" s="570" t="s">
        <v>0</v>
      </c>
      <c r="R31" s="571"/>
      <c r="S31" s="572"/>
      <c r="T31" s="552"/>
      <c r="U31" s="585">
        <f t="shared" si="5"/>
        <v>0</v>
      </c>
    </row>
    <row r="32" spans="2:21" s="541" customFormat="1" ht="24" customHeight="1">
      <c r="B32" s="542"/>
      <c r="C32" s="542" t="s">
        <v>586</v>
      </c>
      <c r="D32" s="543">
        <f t="shared" si="2"/>
        <v>3361000</v>
      </c>
      <c r="E32" s="544">
        <f t="shared" si="6"/>
        <v>0</v>
      </c>
      <c r="F32" s="544">
        <f t="shared" si="3"/>
        <v>336000</v>
      </c>
      <c r="G32" s="544">
        <f t="shared" si="4"/>
        <v>3025000</v>
      </c>
      <c r="H32" s="545">
        <v>0</v>
      </c>
      <c r="I32" s="547">
        <v>0.1</v>
      </c>
      <c r="J32" s="547">
        <v>0.9</v>
      </c>
      <c r="K32" s="546">
        <f>ROUND(M32*P32/Q32,-3)</f>
        <v>3361000</v>
      </c>
      <c r="L32" s="548" t="s">
        <v>53</v>
      </c>
      <c r="M32" s="549">
        <f>M31</f>
        <v>74684000</v>
      </c>
      <c r="N32" s="567" t="s">
        <v>57</v>
      </c>
      <c r="O32" s="571" t="s">
        <v>58</v>
      </c>
      <c r="P32" s="573">
        <v>0.09</v>
      </c>
      <c r="Q32" s="568">
        <v>2</v>
      </c>
      <c r="R32" s="571"/>
      <c r="S32" s="572"/>
      <c r="T32" s="574"/>
      <c r="U32" s="585">
        <f t="shared" si="5"/>
        <v>0</v>
      </c>
    </row>
    <row r="33" spans="2:21" s="541" customFormat="1" ht="24" customHeight="1">
      <c r="B33" s="542"/>
      <c r="C33" s="542" t="s">
        <v>587</v>
      </c>
      <c r="D33" s="543">
        <f t="shared" si="2"/>
        <v>2267000</v>
      </c>
      <c r="E33" s="544">
        <f t="shared" si="6"/>
        <v>0</v>
      </c>
      <c r="F33" s="544">
        <f t="shared" si="3"/>
        <v>227000</v>
      </c>
      <c r="G33" s="544">
        <f t="shared" si="4"/>
        <v>2040000</v>
      </c>
      <c r="H33" s="545">
        <v>0</v>
      </c>
      <c r="I33" s="547">
        <v>0.1</v>
      </c>
      <c r="J33" s="547">
        <v>0.9</v>
      </c>
      <c r="K33" s="546">
        <f>ROUND(M33*P33/Q33,-3)</f>
        <v>2267000</v>
      </c>
      <c r="L33" s="548" t="s">
        <v>53</v>
      </c>
      <c r="M33" s="549">
        <f>M31</f>
        <v>74684000</v>
      </c>
      <c r="N33" s="567" t="s">
        <v>57</v>
      </c>
      <c r="O33" s="571" t="s">
        <v>58</v>
      </c>
      <c r="P33" s="575">
        <v>6.0699999999999997E-2</v>
      </c>
      <c r="Q33" s="568">
        <v>2</v>
      </c>
      <c r="R33" s="571"/>
      <c r="S33" s="572"/>
      <c r="T33" s="574"/>
      <c r="U33" s="585">
        <f t="shared" si="5"/>
        <v>0</v>
      </c>
    </row>
    <row r="34" spans="2:21" s="541" customFormat="1" ht="24" customHeight="1">
      <c r="B34" s="542"/>
      <c r="C34" s="542" t="s">
        <v>588</v>
      </c>
      <c r="D34" s="543">
        <f t="shared" si="2"/>
        <v>148000</v>
      </c>
      <c r="E34" s="544">
        <f t="shared" si="6"/>
        <v>0</v>
      </c>
      <c r="F34" s="544">
        <f t="shared" si="3"/>
        <v>15000</v>
      </c>
      <c r="G34" s="544">
        <f t="shared" si="4"/>
        <v>133000</v>
      </c>
      <c r="H34" s="545">
        <v>0</v>
      </c>
      <c r="I34" s="547">
        <v>0.1</v>
      </c>
      <c r="J34" s="547">
        <v>0.9</v>
      </c>
      <c r="K34" s="546">
        <f>ROUND(M34*P34,-3)</f>
        <v>148000</v>
      </c>
      <c r="L34" s="548" t="s">
        <v>53</v>
      </c>
      <c r="M34" s="549">
        <f>K33</f>
        <v>2267000</v>
      </c>
      <c r="N34" s="567" t="s">
        <v>57</v>
      </c>
      <c r="O34" s="571" t="s">
        <v>58</v>
      </c>
      <c r="P34" s="576">
        <v>6.5500000000000003E-2</v>
      </c>
      <c r="Q34" s="577"/>
      <c r="R34" s="571"/>
      <c r="S34" s="572"/>
      <c r="T34" s="578"/>
      <c r="U34" s="585">
        <f t="shared" si="5"/>
        <v>0</v>
      </c>
    </row>
    <row r="35" spans="2:21" s="541" customFormat="1" ht="24" customHeight="1">
      <c r="B35" s="542"/>
      <c r="C35" s="542" t="s">
        <v>589</v>
      </c>
      <c r="D35" s="543">
        <f t="shared" si="2"/>
        <v>672000</v>
      </c>
      <c r="E35" s="544">
        <f t="shared" si="6"/>
        <v>0</v>
      </c>
      <c r="F35" s="544">
        <f t="shared" si="3"/>
        <v>67000</v>
      </c>
      <c r="G35" s="544">
        <f t="shared" si="4"/>
        <v>605000</v>
      </c>
      <c r="H35" s="545">
        <v>0</v>
      </c>
      <c r="I35" s="547">
        <v>0.1</v>
      </c>
      <c r="J35" s="547">
        <v>0.9</v>
      </c>
      <c r="K35" s="546">
        <f>ROUND(M35*P35,-3)</f>
        <v>672000</v>
      </c>
      <c r="L35" s="548" t="s">
        <v>53</v>
      </c>
      <c r="M35" s="549">
        <f>M31</f>
        <v>74684000</v>
      </c>
      <c r="N35" s="567" t="s">
        <v>57</v>
      </c>
      <c r="O35" s="571" t="s">
        <v>58</v>
      </c>
      <c r="P35" s="576">
        <v>8.9999999999999993E-3</v>
      </c>
      <c r="Q35" s="571"/>
      <c r="R35" s="571"/>
      <c r="S35" s="572"/>
      <c r="T35" s="574"/>
      <c r="U35" s="585">
        <f t="shared" si="5"/>
        <v>0</v>
      </c>
    </row>
    <row r="36" spans="2:21" s="541" customFormat="1" ht="24" customHeight="1">
      <c r="B36" s="542"/>
      <c r="C36" s="542" t="s">
        <v>590</v>
      </c>
      <c r="D36" s="543">
        <f t="shared" si="2"/>
        <v>429000</v>
      </c>
      <c r="E36" s="544">
        <f t="shared" si="6"/>
        <v>0</v>
      </c>
      <c r="F36" s="544">
        <f t="shared" si="3"/>
        <v>43000</v>
      </c>
      <c r="G36" s="544">
        <f t="shared" si="4"/>
        <v>386000</v>
      </c>
      <c r="H36" s="545">
        <v>0</v>
      </c>
      <c r="I36" s="547">
        <v>0.1</v>
      </c>
      <c r="J36" s="547">
        <v>0.9</v>
      </c>
      <c r="K36" s="546">
        <f>ROUND(M36*P36,-3)</f>
        <v>429000</v>
      </c>
      <c r="L36" s="548" t="s">
        <v>53</v>
      </c>
      <c r="M36" s="549">
        <f>M31</f>
        <v>74684000</v>
      </c>
      <c r="N36" s="567" t="s">
        <v>57</v>
      </c>
      <c r="O36" s="571" t="s">
        <v>58</v>
      </c>
      <c r="P36" s="579">
        <v>5.7400000000000003E-3</v>
      </c>
      <c r="Q36" s="571"/>
      <c r="R36" s="571"/>
      <c r="S36" s="572"/>
      <c r="T36" s="574"/>
      <c r="U36" s="585">
        <f t="shared" si="5"/>
        <v>0</v>
      </c>
    </row>
    <row r="37" spans="2:21" s="541" customFormat="1" ht="24" customHeight="1">
      <c r="B37" s="542"/>
      <c r="C37" s="542" t="s">
        <v>598</v>
      </c>
      <c r="D37" s="543">
        <f t="shared" si="2"/>
        <v>3600000</v>
      </c>
      <c r="E37" s="544">
        <f t="shared" si="6"/>
        <v>0</v>
      </c>
      <c r="F37" s="544">
        <f t="shared" si="3"/>
        <v>360000</v>
      </c>
      <c r="G37" s="544">
        <f t="shared" si="4"/>
        <v>3240000</v>
      </c>
      <c r="H37" s="545">
        <v>0</v>
      </c>
      <c r="I37" s="547">
        <v>0.1</v>
      </c>
      <c r="J37" s="547">
        <v>0.9</v>
      </c>
      <c r="K37" s="546">
        <f>M37*P37</f>
        <v>3600000</v>
      </c>
      <c r="L37" s="548" t="s">
        <v>623</v>
      </c>
      <c r="M37" s="554">
        <v>300000</v>
      </c>
      <c r="N37" s="555" t="s">
        <v>624</v>
      </c>
      <c r="O37" s="555" t="s">
        <v>26</v>
      </c>
      <c r="P37" s="554">
        <v>12</v>
      </c>
      <c r="Q37" s="581" t="s">
        <v>625</v>
      </c>
      <c r="R37" s="554" t="s">
        <v>27</v>
      </c>
      <c r="S37" s="554"/>
      <c r="T37" s="556"/>
      <c r="U37" s="585">
        <f t="shared" si="5"/>
        <v>0</v>
      </c>
    </row>
    <row r="38" spans="2:21" s="541" customFormat="1" ht="24" customHeight="1">
      <c r="B38" s="542"/>
      <c r="C38" s="542" t="s">
        <v>599</v>
      </c>
      <c r="D38" s="543">
        <f t="shared" si="2"/>
        <v>5000000</v>
      </c>
      <c r="E38" s="544">
        <f t="shared" si="6"/>
        <v>0</v>
      </c>
      <c r="F38" s="544">
        <f t="shared" si="3"/>
        <v>500000</v>
      </c>
      <c r="G38" s="544">
        <f t="shared" si="4"/>
        <v>4500000</v>
      </c>
      <c r="H38" s="545">
        <v>0</v>
      </c>
      <c r="I38" s="547">
        <v>0.1</v>
      </c>
      <c r="J38" s="547">
        <v>0.9</v>
      </c>
      <c r="K38" s="546">
        <v>5000000</v>
      </c>
      <c r="L38" s="564"/>
      <c r="M38" s="565"/>
      <c r="N38" s="565"/>
      <c r="O38" s="565"/>
      <c r="P38" s="565"/>
      <c r="Q38" s="565"/>
      <c r="R38" s="565"/>
      <c r="S38" s="565"/>
      <c r="T38" s="566"/>
      <c r="U38" s="585">
        <f t="shared" si="5"/>
        <v>0</v>
      </c>
    </row>
    <row r="39" spans="2:21" s="541" customFormat="1" ht="24" customHeight="1">
      <c r="B39" s="542"/>
      <c r="C39" s="542" t="s">
        <v>600</v>
      </c>
      <c r="D39" s="543">
        <f t="shared" si="2"/>
        <v>12600000</v>
      </c>
      <c r="E39" s="544">
        <f t="shared" si="6"/>
        <v>0</v>
      </c>
      <c r="F39" s="544">
        <f t="shared" si="3"/>
        <v>1260000</v>
      </c>
      <c r="G39" s="544">
        <f t="shared" si="4"/>
        <v>11340000</v>
      </c>
      <c r="H39" s="545">
        <v>0</v>
      </c>
      <c r="I39" s="547">
        <v>0.1</v>
      </c>
      <c r="J39" s="547">
        <v>0.9</v>
      </c>
      <c r="K39" s="546">
        <f>M39*P39*S39</f>
        <v>12600000</v>
      </c>
      <c r="L39" s="557" t="s">
        <v>623</v>
      </c>
      <c r="M39" s="551">
        <v>70000</v>
      </c>
      <c r="N39" s="551" t="s">
        <v>624</v>
      </c>
      <c r="O39" s="595" t="s">
        <v>626</v>
      </c>
      <c r="P39" s="551">
        <v>1</v>
      </c>
      <c r="Q39" s="551" t="s">
        <v>627</v>
      </c>
      <c r="R39" s="595" t="s">
        <v>626</v>
      </c>
      <c r="S39" s="562">
        <v>180</v>
      </c>
      <c r="T39" s="563" t="s">
        <v>628</v>
      </c>
      <c r="U39" s="585">
        <f t="shared" si="5"/>
        <v>0</v>
      </c>
    </row>
    <row r="40" spans="2:21" s="541" customFormat="1" ht="24" customHeight="1">
      <c r="B40" s="542" t="s">
        <v>601</v>
      </c>
      <c r="C40" s="542" t="s">
        <v>602</v>
      </c>
      <c r="D40" s="543">
        <f t="shared" si="2"/>
        <v>3640000</v>
      </c>
      <c r="E40" s="544">
        <f t="shared" si="6"/>
        <v>0</v>
      </c>
      <c r="F40" s="544">
        <f t="shared" si="3"/>
        <v>728000</v>
      </c>
      <c r="G40" s="544">
        <f t="shared" si="4"/>
        <v>2912000</v>
      </c>
      <c r="H40" s="545">
        <v>0</v>
      </c>
      <c r="I40" s="547">
        <v>0.2</v>
      </c>
      <c r="J40" s="547">
        <v>0.8</v>
      </c>
      <c r="K40" s="546">
        <v>3640000</v>
      </c>
      <c r="L40" s="564"/>
      <c r="M40" s="565"/>
      <c r="N40" s="565"/>
      <c r="O40" s="565"/>
      <c r="P40" s="565"/>
      <c r="Q40" s="565"/>
      <c r="R40" s="565"/>
      <c r="S40" s="565"/>
      <c r="T40" s="566"/>
      <c r="U40" s="585">
        <f t="shared" si="5"/>
        <v>0</v>
      </c>
    </row>
    <row r="41" spans="2:21" s="541" customFormat="1" ht="24" customHeight="1">
      <c r="B41" s="542" t="s">
        <v>607</v>
      </c>
      <c r="C41" s="542" t="s">
        <v>603</v>
      </c>
      <c r="D41" s="543">
        <f t="shared" si="2"/>
        <v>2000000</v>
      </c>
      <c r="E41" s="544">
        <f t="shared" si="6"/>
        <v>0</v>
      </c>
      <c r="F41" s="544">
        <f t="shared" si="3"/>
        <v>0</v>
      </c>
      <c r="G41" s="544">
        <f t="shared" si="4"/>
        <v>2000000</v>
      </c>
      <c r="H41" s="545">
        <v>0</v>
      </c>
      <c r="I41" s="547">
        <v>0</v>
      </c>
      <c r="J41" s="547">
        <v>1</v>
      </c>
      <c r="K41" s="546">
        <v>2000000</v>
      </c>
      <c r="L41" s="564"/>
      <c r="M41" s="565"/>
      <c r="N41" s="565"/>
      <c r="O41" s="565"/>
      <c r="P41" s="565"/>
      <c r="Q41" s="565"/>
      <c r="R41" s="565"/>
      <c r="S41" s="565"/>
      <c r="T41" s="566"/>
      <c r="U41" s="585">
        <f t="shared" si="5"/>
        <v>0</v>
      </c>
    </row>
    <row r="42" spans="2:21" s="541" customFormat="1" ht="24" customHeight="1">
      <c r="B42" s="542"/>
      <c r="C42" s="542" t="s">
        <v>604</v>
      </c>
      <c r="D42" s="543">
        <f t="shared" si="2"/>
        <v>2000000</v>
      </c>
      <c r="E42" s="544">
        <f t="shared" si="6"/>
        <v>0</v>
      </c>
      <c r="F42" s="544">
        <f t="shared" si="3"/>
        <v>0</v>
      </c>
      <c r="G42" s="544">
        <f t="shared" si="4"/>
        <v>2000000</v>
      </c>
      <c r="H42" s="545">
        <v>0</v>
      </c>
      <c r="I42" s="547">
        <v>0</v>
      </c>
      <c r="J42" s="547">
        <v>1</v>
      </c>
      <c r="K42" s="546">
        <v>2000000</v>
      </c>
      <c r="L42" s="564"/>
      <c r="M42" s="565"/>
      <c r="N42" s="565"/>
      <c r="O42" s="565"/>
      <c r="P42" s="565"/>
      <c r="Q42" s="565"/>
      <c r="R42" s="565"/>
      <c r="S42" s="565"/>
      <c r="T42" s="566"/>
      <c r="U42" s="585">
        <f t="shared" si="5"/>
        <v>0</v>
      </c>
    </row>
    <row r="43" spans="2:21" s="541" customFormat="1" ht="24" customHeight="1">
      <c r="B43" s="542"/>
      <c r="C43" s="542" t="s">
        <v>605</v>
      </c>
      <c r="D43" s="543">
        <f t="shared" si="2"/>
        <v>2000000</v>
      </c>
      <c r="E43" s="544">
        <f t="shared" si="6"/>
        <v>0</v>
      </c>
      <c r="F43" s="544">
        <f t="shared" si="3"/>
        <v>0</v>
      </c>
      <c r="G43" s="544">
        <f t="shared" si="4"/>
        <v>2000000</v>
      </c>
      <c r="H43" s="545">
        <v>0</v>
      </c>
      <c r="I43" s="547">
        <v>0</v>
      </c>
      <c r="J43" s="547">
        <v>1</v>
      </c>
      <c r="K43" s="546">
        <v>2000000</v>
      </c>
      <c r="L43" s="564"/>
      <c r="M43" s="565"/>
      <c r="N43" s="565"/>
      <c r="O43" s="565"/>
      <c r="P43" s="565"/>
      <c r="Q43" s="565"/>
      <c r="R43" s="565"/>
      <c r="S43" s="565"/>
      <c r="T43" s="566"/>
      <c r="U43" s="585">
        <f t="shared" si="5"/>
        <v>0</v>
      </c>
    </row>
    <row r="44" spans="2:21" s="541" customFormat="1" ht="24" customHeight="1">
      <c r="B44" s="542"/>
      <c r="C44" s="542" t="s">
        <v>606</v>
      </c>
      <c r="D44" s="543">
        <f t="shared" si="2"/>
        <v>3600000</v>
      </c>
      <c r="E44" s="544">
        <f t="shared" si="6"/>
        <v>0</v>
      </c>
      <c r="F44" s="544">
        <f t="shared" si="3"/>
        <v>0</v>
      </c>
      <c r="G44" s="544">
        <f t="shared" si="4"/>
        <v>3600000</v>
      </c>
      <c r="H44" s="545">
        <v>0</v>
      </c>
      <c r="I44" s="547">
        <v>0</v>
      </c>
      <c r="J44" s="547">
        <v>1</v>
      </c>
      <c r="K44" s="546">
        <f>M44*P44</f>
        <v>3600000</v>
      </c>
      <c r="L44" s="553" t="s">
        <v>623</v>
      </c>
      <c r="M44" s="554">
        <v>200000</v>
      </c>
      <c r="N44" s="596" t="s">
        <v>624</v>
      </c>
      <c r="O44" s="597" t="s">
        <v>626</v>
      </c>
      <c r="P44" s="598">
        <v>18</v>
      </c>
      <c r="Q44" s="597" t="s">
        <v>627</v>
      </c>
      <c r="R44" s="599"/>
      <c r="S44" s="583"/>
      <c r="T44" s="584"/>
      <c r="U44" s="585">
        <f t="shared" si="5"/>
        <v>0</v>
      </c>
    </row>
    <row r="45" spans="2:21">
      <c r="K45" s="364"/>
      <c r="L45" s="540"/>
    </row>
    <row r="46" spans="2:21">
      <c r="K46" s="364"/>
      <c r="L46" s="540"/>
    </row>
    <row r="47" spans="2:21">
      <c r="K47" s="364"/>
      <c r="L47" s="540"/>
    </row>
    <row r="48" spans="2:21">
      <c r="K48" s="364"/>
      <c r="L48" s="540"/>
    </row>
    <row r="49" spans="11:12">
      <c r="K49" s="364"/>
      <c r="L49" s="540"/>
    </row>
    <row r="50" spans="11:12">
      <c r="K50" s="364"/>
      <c r="L50" s="540"/>
    </row>
    <row r="51" spans="11:12">
      <c r="K51" s="364"/>
    </row>
    <row r="52" spans="11:12">
      <c r="K52" s="364"/>
    </row>
    <row r="53" spans="11:12">
      <c r="K53" s="364"/>
    </row>
    <row r="54" spans="11:12">
      <c r="K54" s="364"/>
    </row>
    <row r="55" spans="11:12">
      <c r="K55" s="364"/>
    </row>
    <row r="56" spans="11:12">
      <c r="K56" s="364"/>
    </row>
    <row r="57" spans="11:12">
      <c r="K57" s="364"/>
    </row>
    <row r="58" spans="11:12">
      <c r="K58" s="364"/>
    </row>
    <row r="59" spans="11:12">
      <c r="K59" s="364"/>
    </row>
  </sheetData>
  <mergeCells count="8">
    <mergeCell ref="B4:C4"/>
    <mergeCell ref="B1:U1"/>
    <mergeCell ref="K2:K3"/>
    <mergeCell ref="U2:U3"/>
    <mergeCell ref="L2:T3"/>
    <mergeCell ref="B2:C3"/>
    <mergeCell ref="H2:J2"/>
    <mergeCell ref="D2:G2"/>
  </mergeCells>
  <phoneticPr fontId="7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13</vt:i4>
      </vt:variant>
    </vt:vector>
  </HeadingPairs>
  <TitlesOfParts>
    <vt:vector size="22" baseType="lpstr">
      <vt:lpstr>바르나바의 집</vt:lpstr>
      <vt:lpstr>마르따의 집</vt:lpstr>
      <vt:lpstr>몬띠의 집</vt:lpstr>
      <vt:lpstr>세입세출총괄표</vt:lpstr>
      <vt:lpstr>세입</vt:lpstr>
      <vt:lpstr>세출</vt:lpstr>
      <vt:lpstr>추경세입명세서</vt:lpstr>
      <vt:lpstr>추경세출명세서</vt:lpstr>
      <vt:lpstr>보조금</vt:lpstr>
      <vt:lpstr>세입!Print_Area</vt:lpstr>
      <vt:lpstr>보조금!Print_Titles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Kim in ho</cp:lastModifiedBy>
  <cp:revision>65</cp:revision>
  <cp:lastPrinted>2015-03-19T03:29:36Z</cp:lastPrinted>
  <dcterms:created xsi:type="dcterms:W3CDTF">2003-12-18T04:11:57Z</dcterms:created>
  <dcterms:modified xsi:type="dcterms:W3CDTF">2015-04-14T23:11:31Z</dcterms:modified>
</cp:coreProperties>
</file>