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20" yWindow="-135" windowWidth="14205" windowHeight="9990" tabRatio="487" activeTab="3"/>
  </bookViews>
  <sheets>
    <sheet name="세입세출총괄표" sheetId="16" r:id="rId1"/>
    <sheet name="세입" sheetId="4" r:id="rId2"/>
    <sheet name="세출" sheetId="5" r:id="rId3"/>
    <sheet name="증감사유" sheetId="18" r:id="rId4"/>
  </sheets>
  <externalReferences>
    <externalReference r:id="rId5"/>
    <externalReference r:id="rId6"/>
  </externalReferences>
  <definedNames>
    <definedName name="_xlnm.Print_Area" localSheetId="1">세입!$A$1:$AC$45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세출!$AC$11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세출!$AC$18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D26" i="4"/>
  <c r="D5"/>
  <c r="J20" i="16"/>
  <c r="J19"/>
  <c r="J18"/>
  <c r="J17"/>
  <c r="J16"/>
  <c r="J15"/>
  <c r="J13"/>
  <c r="J11"/>
  <c r="J9"/>
  <c r="J8"/>
  <c r="AB8" i="4" l="1"/>
  <c r="G8"/>
  <c r="F8"/>
  <c r="E8"/>
  <c r="AC126" i="5"/>
  <c r="AC125" s="1"/>
  <c r="AC120"/>
  <c r="AC119" s="1"/>
  <c r="AC123"/>
  <c r="AC122" s="1"/>
  <c r="H89"/>
  <c r="G143"/>
  <c r="F143"/>
  <c r="F7" i="16"/>
  <c r="F15"/>
  <c r="E16"/>
  <c r="E7" i="4"/>
  <c r="G7"/>
  <c r="G4" s="1"/>
  <c r="F7"/>
  <c r="F4" s="1"/>
  <c r="E13" i="16"/>
  <c r="E8"/>
  <c r="C7" i="18" s="1"/>
  <c r="E10" i="16"/>
  <c r="E9"/>
  <c r="F10"/>
  <c r="F9"/>
  <c r="AC143" i="5"/>
  <c r="D12" i="18"/>
  <c r="C17"/>
  <c r="C14"/>
  <c r="C12"/>
  <c r="C8"/>
  <c r="D17"/>
  <c r="D9"/>
  <c r="D8"/>
  <c r="D7"/>
  <c r="F8" i="16" l="1"/>
  <c r="F16"/>
  <c r="G34" i="4"/>
  <c r="F34"/>
  <c r="AB34"/>
  <c r="D14" i="18" s="1"/>
  <c r="AC142" i="5" l="1"/>
  <c r="AC138"/>
  <c r="G84"/>
  <c r="G14" i="4"/>
  <c r="AB9"/>
  <c r="F14"/>
  <c r="AC137" i="5"/>
  <c r="AC136"/>
  <c r="AC130"/>
  <c r="AC131"/>
  <c r="AC129"/>
  <c r="H81"/>
  <c r="AC84"/>
  <c r="AC28"/>
  <c r="AC27"/>
  <c r="AB14" i="4"/>
  <c r="AC26" i="5"/>
  <c r="AC13"/>
  <c r="J12" i="18" l="1"/>
  <c r="K14" i="16"/>
  <c r="AC134" i="5"/>
  <c r="E143"/>
  <c r="E142" s="1"/>
  <c r="J19" i="18"/>
  <c r="K21" i="16"/>
  <c r="I109" i="5"/>
  <c r="AC25"/>
  <c r="H6" l="1"/>
  <c r="AB41" i="4"/>
  <c r="J41"/>
  <c r="E41"/>
  <c r="F41"/>
  <c r="G41"/>
  <c r="H41"/>
  <c r="D6" i="18"/>
  <c r="E44" i="4" l="1"/>
  <c r="F81" i="5"/>
  <c r="F9" i="4" l="1"/>
  <c r="AB18"/>
  <c r="AB12"/>
  <c r="G9" s="1"/>
  <c r="Q12" i="5"/>
  <c r="AC12" s="1"/>
  <c r="H84"/>
  <c r="H78" s="1"/>
  <c r="E9" i="18"/>
  <c r="E8"/>
  <c r="E10"/>
  <c r="E11"/>
  <c r="E12"/>
  <c r="E14"/>
  <c r="E17"/>
  <c r="E7"/>
  <c r="AC106" i="5"/>
  <c r="G36"/>
  <c r="J36"/>
  <c r="I36"/>
  <c r="H36"/>
  <c r="F36"/>
  <c r="E14" i="4" l="1"/>
  <c r="K14" s="1"/>
  <c r="L14" s="1"/>
  <c r="K12" i="18"/>
  <c r="AC61" i="5" l="1"/>
  <c r="AC60"/>
  <c r="G78" l="1"/>
  <c r="G77" s="1"/>
  <c r="H57"/>
  <c r="AC141"/>
  <c r="AC140" s="1"/>
  <c r="AC116"/>
  <c r="AC113"/>
  <c r="AC114"/>
  <c r="H77"/>
  <c r="AC69"/>
  <c r="H52"/>
  <c r="F95"/>
  <c r="F52"/>
  <c r="AC16"/>
  <c r="I34" i="4"/>
  <c r="I31"/>
  <c r="E31" s="1"/>
  <c r="K31" s="1"/>
  <c r="L31" s="1"/>
  <c r="K10" i="18"/>
  <c r="G12" i="16"/>
  <c r="G9"/>
  <c r="G10"/>
  <c r="G11"/>
  <c r="G13"/>
  <c r="G16"/>
  <c r="G8"/>
  <c r="AB6" i="4"/>
  <c r="AC90" i="5"/>
  <c r="F89" s="1"/>
  <c r="I5"/>
  <c r="I89"/>
  <c r="I88" s="1"/>
  <c r="I87" s="1"/>
  <c r="AB31" i="4"/>
  <c r="E81" i="5"/>
  <c r="F79"/>
  <c r="F78" s="1"/>
  <c r="F77" s="1"/>
  <c r="AC40"/>
  <c r="F40" s="1"/>
  <c r="E42" i="4"/>
  <c r="F109" i="5" l="1"/>
  <c r="E84"/>
  <c r="E78" s="1"/>
  <c r="E77" s="1"/>
  <c r="I4" i="4"/>
  <c r="K41"/>
  <c r="L23" i="16"/>
  <c r="L22"/>
  <c r="L14"/>
  <c r="L12"/>
  <c r="L9"/>
  <c r="Q19" i="5" l="1"/>
  <c r="AC52"/>
  <c r="H101"/>
  <c r="AC59"/>
  <c r="H95"/>
  <c r="E95" s="1"/>
  <c r="AC46"/>
  <c r="Q20"/>
  <c r="N20"/>
  <c r="N19"/>
  <c r="N12"/>
  <c r="AC36"/>
  <c r="I108" l="1"/>
  <c r="I4" s="1"/>
  <c r="F45"/>
  <c r="E45" s="1"/>
  <c r="K45" s="1"/>
  <c r="AC15"/>
  <c r="E36"/>
  <c r="K36" s="1"/>
  <c r="L36" s="1"/>
  <c r="K95"/>
  <c r="F105"/>
  <c r="E105" s="1"/>
  <c r="AC58"/>
  <c r="AC57" s="1"/>
  <c r="D39"/>
  <c r="H34" i="4"/>
  <c r="G88" i="5"/>
  <c r="J88"/>
  <c r="J78"/>
  <c r="J77" s="1"/>
  <c r="G48"/>
  <c r="J48"/>
  <c r="G39"/>
  <c r="AC132"/>
  <c r="AC128" s="1"/>
  <c r="AC117"/>
  <c r="AC115"/>
  <c r="AC112"/>
  <c r="AC99"/>
  <c r="H98" s="1"/>
  <c r="AC74"/>
  <c r="AC72"/>
  <c r="AC66"/>
  <c r="AC67"/>
  <c r="AC68"/>
  <c r="AC65"/>
  <c r="AC64"/>
  <c r="AC49"/>
  <c r="AC45"/>
  <c r="H109" l="1"/>
  <c r="E109" s="1"/>
  <c r="AC111"/>
  <c r="AC109" s="1"/>
  <c r="F63"/>
  <c r="H63" s="1"/>
  <c r="E89"/>
  <c r="H88"/>
  <c r="F57"/>
  <c r="H48"/>
  <c r="H5" s="1"/>
  <c r="F39"/>
  <c r="AC89"/>
  <c r="AC23"/>
  <c r="AC18"/>
  <c r="AC9"/>
  <c r="AC8"/>
  <c r="K15" i="16" l="1"/>
  <c r="J13" i="18"/>
  <c r="F48" i="5"/>
  <c r="H108"/>
  <c r="AC7"/>
  <c r="AC22"/>
  <c r="G10" s="1"/>
  <c r="G6" s="1"/>
  <c r="G5" s="1"/>
  <c r="AC11"/>
  <c r="F10" s="1"/>
  <c r="F7" l="1"/>
  <c r="E7" s="1"/>
  <c r="AC10"/>
  <c r="E34" i="4"/>
  <c r="K34" l="1"/>
  <c r="L34" s="1"/>
  <c r="Q31" i="5"/>
  <c r="Q30"/>
  <c r="Q33"/>
  <c r="Q32"/>
  <c r="Q34"/>
  <c r="AB26" i="4"/>
  <c r="J26" s="1"/>
  <c r="H8"/>
  <c r="H7" s="1"/>
  <c r="J8"/>
  <c r="J7" s="1"/>
  <c r="H142" i="5"/>
  <c r="J142"/>
  <c r="G142"/>
  <c r="F142"/>
  <c r="G108"/>
  <c r="G87" s="1"/>
  <c r="J108"/>
  <c r="J87" s="1"/>
  <c r="AC95"/>
  <c r="AC81"/>
  <c r="L79"/>
  <c r="AC79"/>
  <c r="K79" s="1"/>
  <c r="AC71"/>
  <c r="J39"/>
  <c r="G4" l="1"/>
  <c r="K16" i="16"/>
  <c r="J14" i="18"/>
  <c r="K14" s="1"/>
  <c r="G15" i="16"/>
  <c r="J11" i="18"/>
  <c r="K13" i="16"/>
  <c r="L13" s="1"/>
  <c r="AC29" i="5"/>
  <c r="AC6" s="1"/>
  <c r="E9" i="4"/>
  <c r="AC105" i="5"/>
  <c r="AC78"/>
  <c r="E57"/>
  <c r="J17" i="18" l="1"/>
  <c r="K19" i="16"/>
  <c r="K8"/>
  <c r="L8" s="1"/>
  <c r="J7" i="18"/>
  <c r="L16" i="16"/>
  <c r="AB7" i="4"/>
  <c r="AC108" i="5"/>
  <c r="K20" i="16" l="1"/>
  <c r="J18" i="18"/>
  <c r="F108" i="5"/>
  <c r="AC98"/>
  <c r="E98" l="1"/>
  <c r="J15" i="18"/>
  <c r="K17" i="16"/>
  <c r="L17" s="1"/>
  <c r="K109" i="5"/>
  <c r="L109" s="1"/>
  <c r="H87"/>
  <c r="H4" s="1"/>
  <c r="K44" i="4"/>
  <c r="L44" s="1"/>
  <c r="K42"/>
  <c r="AB5"/>
  <c r="H5" l="1"/>
  <c r="H4" s="1"/>
  <c r="E108" i="5"/>
  <c r="E5" i="4"/>
  <c r="K7" i="5"/>
  <c r="K5" i="4" l="1"/>
  <c r="L5" s="1"/>
  <c r="E10" i="5"/>
  <c r="J6" l="1"/>
  <c r="J5" s="1"/>
  <c r="J4" s="1"/>
  <c r="E25" l="1"/>
  <c r="AC102"/>
  <c r="AC101" l="1"/>
  <c r="F101"/>
  <c r="E101" s="1"/>
  <c r="AC63"/>
  <c r="E63" s="1"/>
  <c r="K63" s="1"/>
  <c r="L63" s="1"/>
  <c r="AC39"/>
  <c r="AB4" i="4"/>
  <c r="L7" i="5"/>
  <c r="E40"/>
  <c r="E49"/>
  <c r="L95"/>
  <c r="L45"/>
  <c r="J16" i="18" l="1"/>
  <c r="K18" i="16"/>
  <c r="J8" i="18"/>
  <c r="K10" i="16"/>
  <c r="K101" i="5"/>
  <c r="L101" s="1"/>
  <c r="K25"/>
  <c r="L25" s="1"/>
  <c r="AC48"/>
  <c r="K49"/>
  <c r="L49" s="1"/>
  <c r="K98"/>
  <c r="L98" s="1"/>
  <c r="K84"/>
  <c r="L84" s="1"/>
  <c r="AC77"/>
  <c r="E74"/>
  <c r="K74" s="1"/>
  <c r="L74" s="1"/>
  <c r="E71"/>
  <c r="K71" s="1"/>
  <c r="L71" s="1"/>
  <c r="K40"/>
  <c r="L40" s="1"/>
  <c r="K105"/>
  <c r="L105" s="1"/>
  <c r="K143"/>
  <c r="L143" s="1"/>
  <c r="K142"/>
  <c r="L142" s="1"/>
  <c r="K108"/>
  <c r="L108" s="1"/>
  <c r="E43"/>
  <c r="K43" s="1"/>
  <c r="L43" s="1"/>
  <c r="L10" i="16" l="1"/>
  <c r="J9" i="18"/>
  <c r="K11" i="16"/>
  <c r="K7" s="1"/>
  <c r="E39" i="5"/>
  <c r="K39" s="1"/>
  <c r="L39" s="1"/>
  <c r="K57"/>
  <c r="L57" s="1"/>
  <c r="E26" i="4"/>
  <c r="K26" s="1"/>
  <c r="L26" s="1"/>
  <c r="K77" i="5"/>
  <c r="L77" s="1"/>
  <c r="K10"/>
  <c r="L10" s="1"/>
  <c r="E52"/>
  <c r="E48" s="1"/>
  <c r="J4" i="4" l="1"/>
  <c r="K52" i="5"/>
  <c r="L52" s="1"/>
  <c r="K48"/>
  <c r="L48" s="1"/>
  <c r="L41" i="4"/>
  <c r="E4" l="1"/>
  <c r="K4" s="1"/>
  <c r="L4" s="1"/>
  <c r="K9"/>
  <c r="L9" s="1"/>
  <c r="K8"/>
  <c r="L8" s="1"/>
  <c r="K7" l="1"/>
  <c r="L7" s="1"/>
  <c r="K78" i="5"/>
  <c r="L78" s="1"/>
  <c r="K81"/>
  <c r="L81" s="1"/>
  <c r="AC88"/>
  <c r="J6" i="18" l="1"/>
  <c r="AC87" i="5"/>
  <c r="K89"/>
  <c r="L89" s="1"/>
  <c r="E88"/>
  <c r="E87" s="1"/>
  <c r="F88"/>
  <c r="F87" s="1"/>
  <c r="K88" l="1"/>
  <c r="L88" l="1"/>
  <c r="K87"/>
  <c r="L87" s="1"/>
  <c r="F29" l="1"/>
  <c r="F6" s="1"/>
  <c r="F5" s="1"/>
  <c r="F4" s="1"/>
  <c r="E4" s="1"/>
  <c r="AC5"/>
  <c r="AC4" s="1"/>
  <c r="E29" l="1"/>
  <c r="K29" s="1"/>
  <c r="L29" s="1"/>
  <c r="K4"/>
  <c r="L4" s="1"/>
  <c r="E6"/>
  <c r="E5" s="1"/>
  <c r="K6" l="1"/>
  <c r="L6" s="1"/>
  <c r="K5"/>
  <c r="L5" s="1"/>
  <c r="I15" i="18" l="1"/>
  <c r="K15" s="1"/>
  <c r="I16"/>
  <c r="K16" s="1"/>
  <c r="L18" i="16"/>
  <c r="K11" i="18"/>
  <c r="I17"/>
  <c r="K17" s="1"/>
  <c r="L19" i="16"/>
  <c r="I19" i="18"/>
  <c r="K19" s="1"/>
  <c r="J21" i="16"/>
  <c r="L21" s="1"/>
  <c r="I8" i="18"/>
  <c r="K8" s="1"/>
  <c r="I7" l="1"/>
  <c r="I13"/>
  <c r="K13" s="1"/>
  <c r="L15" i="16"/>
  <c r="K9" i="18" l="1"/>
  <c r="I18"/>
  <c r="K18" s="1"/>
  <c r="L20" i="16"/>
  <c r="K7" i="18"/>
  <c r="L11" i="16"/>
  <c r="K6" i="18" l="1"/>
  <c r="J7" i="16"/>
  <c r="I6" i="18"/>
  <c r="L7" i="16"/>
  <c r="E14" l="1"/>
  <c r="C13" i="18"/>
  <c r="C6" l="1"/>
  <c r="E13"/>
  <c r="E6" s="1"/>
  <c r="G14" i="16"/>
  <c r="G7" s="1"/>
  <c r="E7"/>
</calcChain>
</file>

<file path=xl/sharedStrings.xml><?xml version="1.0" encoding="utf-8"?>
<sst xmlns="http://schemas.openxmlformats.org/spreadsheetml/2006/main" count="868" uniqueCount="398">
  <si>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</si>
  <si>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</si>
  <si>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</si>
  <si>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</si>
  <si>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</si>
  <si>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</si>
  <si>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</si>
  <si>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</si>
  <si>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</si>
  <si>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</si>
  <si>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</si>
  <si>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</si>
  <si>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</si>
  <si>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</si>
  <si>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</si>
  <si>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</si>
  <si>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</si>
  <si>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</si>
  <si>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</si>
  <si>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</si>
  <si>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</si>
  <si>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</si>
  <si>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</si>
  <si>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</si>
  <si>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</si>
  <si>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</si>
  <si>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</si>
  <si>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</si>
  <si>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</si>
  <si>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</si>
  <si>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</si>
  <si>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</si>
  <si>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</si>
  <si>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</si>
  <si>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</si>
  <si>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</si>
  <si>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</si>
  <si>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</si>
  <si>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</si>
  <si>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</si>
  <si>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</si>
  <si>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</si>
  <si>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</si>
  <si>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</si>
  <si>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</si>
  <si>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</si>
  <si>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</si>
  <si>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</si>
  <si>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</si>
  <si>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</si>
  <si>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</si>
  <si>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</si>
  <si>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</si>
  <si>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</si>
  <si>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</si>
  <si>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</si>
  <si>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</si>
  <si>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</si>
  <si>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</si>
  <si>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</si>
  <si>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</si>
  <si>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</si>
  <si>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</si>
  <si>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</si>
  <si>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</si>
  <si>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</si>
  <si>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</si>
  <si>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</si>
  <si>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</si>
  <si>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</si>
  <si>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</si>
  <si>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</si>
  <si>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</si>
  <si>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</si>
  <si>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</si>
  <si>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</si>
  <si>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</si>
  <si>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</si>
  <si>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</si>
  <si>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</si>
  <si>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</si>
  <si>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</si>
  <si>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</si>
  <si>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</si>
  <si>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</si>
  <si>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</si>
  <si>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</si>
  <si>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</si>
  <si>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</si>
  <si>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</si>
  <si>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</si>
  <si>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</si>
  <si>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</si>
  <si>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월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</si>
  <si>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</si>
  <si>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</si>
  <si>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</si>
  <si>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</si>
  <si>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</si>
  <si>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</si>
  <si>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</si>
  <si>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</si>
  <si>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</si>
  <si>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</si>
  <si>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</si>
  <si>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</si>
  <si>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</si>
  <si>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</si>
  <si>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</si>
  <si>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</si>
  <si>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</si>
  <si>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</si>
  <si>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</si>
  <si>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</si>
  <si>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</si>
  <si>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</si>
  <si>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</si>
  <si>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</si>
  <si>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예금</t>
    <phoneticPr fontId="6" type="noConversion"/>
  </si>
  <si>
    <t>이자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</si>
  <si>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</si>
  <si>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</si>
  <si>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</si>
  <si>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</si>
  <si>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</si>
  <si>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</si>
  <si>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</si>
  <si>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</si>
  <si>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</si>
  <si>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</si>
  <si>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</si>
  <si>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</si>
  <si>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</si>
  <si>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</si>
  <si>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</si>
  <si>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</si>
  <si>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</si>
  <si>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</si>
  <si>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</si>
  <si>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</si>
  <si>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</si>
  <si>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회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</si>
  <si>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</si>
  <si>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</si>
  <si>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</si>
  <si>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</si>
  <si>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</si>
  <si>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</si>
  <si>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</si>
  <si>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</si>
  <si>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반환금</t>
    <phoneticPr fontId="6" type="noConversion"/>
  </si>
  <si>
    <t>유지비</t>
    <phoneticPr fontId="6" type="noConversion"/>
  </si>
  <si>
    <t>원</t>
    <phoneticPr fontId="6" type="noConversion"/>
  </si>
  <si>
    <t>2. 입소비용</t>
    <phoneticPr fontId="6" type="noConversion"/>
  </si>
  <si>
    <t>3. 법인전입금</t>
    <phoneticPr fontId="6" type="noConversion"/>
  </si>
  <si>
    <t>1. 보조금 이월금(예금이자)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</si>
  <si>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</si>
  <si>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</si>
  <si>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</si>
  <si>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</si>
  <si>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</si>
  <si>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</si>
  <si>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</si>
  <si>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1.명절휴가비(보조금)</t>
    <phoneticPr fontId="6" type="noConversion"/>
  </si>
  <si>
    <t>* 건강보험부담금</t>
    <phoneticPr fontId="6" type="noConversion"/>
  </si>
  <si>
    <t>* 고용보험부담금</t>
    <phoneticPr fontId="6" type="noConversion"/>
  </si>
  <si>
    <t>* 국민연금부담금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</si>
  <si>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</si>
  <si>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</si>
  <si>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</si>
  <si>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</si>
  <si>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</si>
  <si>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</si>
  <si>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</si>
  <si>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</si>
  <si>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</si>
  <si>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</si>
  <si>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</si>
  <si>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</si>
  <si>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* 직원 외부교육비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</si>
  <si>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</si>
  <si>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</si>
  <si>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</si>
  <si>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</si>
  <si>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</si>
  <si>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</si>
  <si>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</si>
  <si>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</si>
  <si>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</si>
  <si>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</si>
  <si>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</si>
  <si>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</si>
  <si>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</si>
  <si>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</si>
  <si>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</si>
  <si>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</si>
  <si>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</si>
  <si>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</si>
  <si>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</si>
  <si>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</si>
  <si>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</si>
  <si>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* 추석 명절휴가비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</si>
  <si>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</si>
  <si>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</si>
  <si>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</si>
  <si>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</si>
  <si>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2. 주방용품 구입 및 소규모수선비</t>
    <phoneticPr fontId="6" type="noConversion"/>
  </si>
  <si>
    <t>3.기타 수용비 및 수수료</t>
    <phoneticPr fontId="6" type="noConversion"/>
  </si>
  <si>
    <t>□ 세 입 · 세 출 총  괄  표</t>
    <phoneticPr fontId="27" type="noConversion"/>
  </si>
  <si>
    <t>(단위:원)</t>
    <phoneticPr fontId="27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</si>
  <si>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</si>
  <si>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</si>
  <si>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</si>
  <si>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증감</t>
    <phoneticPr fontId="27" type="noConversion"/>
  </si>
  <si>
    <t>합        계</t>
    <phoneticPr fontId="27" type="noConversion"/>
  </si>
  <si>
    <t>입소비용수입</t>
    <phoneticPr fontId="27" type="noConversion"/>
  </si>
  <si>
    <t>입소비용   수입</t>
    <phoneticPr fontId="27" type="noConversion"/>
  </si>
  <si>
    <t>사무비</t>
    <phoneticPr fontId="6" type="noConversion"/>
  </si>
  <si>
    <t>인      건      비</t>
    <phoneticPr fontId="27" type="noConversion"/>
  </si>
  <si>
    <t>보조금  수입</t>
    <phoneticPr fontId="27" type="noConversion"/>
  </si>
  <si>
    <t>기타후생경비</t>
    <phoneticPr fontId="6" type="noConversion"/>
  </si>
  <si>
    <t>업 무   추 진 비</t>
    <phoneticPr fontId="27" type="noConversion"/>
  </si>
  <si>
    <t>기타보조금수입</t>
    <phoneticPr fontId="27" type="noConversion"/>
  </si>
  <si>
    <t>운      영      비</t>
    <phoneticPr fontId="27" type="noConversion"/>
  </si>
  <si>
    <t>후원금  수입</t>
    <phoneticPr fontId="27" type="noConversion"/>
  </si>
  <si>
    <t>지정      후원금</t>
    <phoneticPr fontId="27" type="noConversion"/>
  </si>
  <si>
    <t>재산조성비</t>
    <phoneticPr fontId="27" type="noConversion"/>
  </si>
  <si>
    <t>시      설      비</t>
    <phoneticPr fontId="27" type="noConversion"/>
  </si>
  <si>
    <t>비지정   후원금</t>
    <phoneticPr fontId="27" type="noConversion"/>
  </si>
  <si>
    <t>자 산   취 득 비</t>
    <phoneticPr fontId="27" type="noConversion"/>
  </si>
  <si>
    <t>전    입    금</t>
    <phoneticPr fontId="27" type="noConversion"/>
  </si>
  <si>
    <t>법인      전입금</t>
    <phoneticPr fontId="27" type="noConversion"/>
  </si>
  <si>
    <t>시설장비유지비</t>
    <phoneticPr fontId="27" type="noConversion"/>
  </si>
  <si>
    <t>이    월    금</t>
    <phoneticPr fontId="27" type="noConversion"/>
  </si>
  <si>
    <t>전년도   이월금</t>
    <phoneticPr fontId="27" type="noConversion"/>
  </si>
  <si>
    <t>사   업   비</t>
    <phoneticPr fontId="27" type="noConversion"/>
  </si>
  <si>
    <t>생      계      비</t>
    <phoneticPr fontId="27" type="noConversion"/>
  </si>
  <si>
    <t>잡    수    입</t>
    <phoneticPr fontId="27" type="noConversion"/>
  </si>
  <si>
    <t>잡      수      입</t>
    <phoneticPr fontId="27" type="noConversion"/>
  </si>
  <si>
    <t>수용기관   경비</t>
    <phoneticPr fontId="27" type="noConversion"/>
  </si>
  <si>
    <t>피      복      비</t>
    <phoneticPr fontId="27" type="noConversion"/>
  </si>
  <si>
    <t>의      료      비</t>
    <phoneticPr fontId="27" type="noConversion"/>
  </si>
  <si>
    <t>연      료      비</t>
    <phoneticPr fontId="27" type="noConversion"/>
  </si>
  <si>
    <t>프로그램사업비</t>
    <phoneticPr fontId="27" type="noConversion"/>
  </si>
  <si>
    <t>보조금반환</t>
    <phoneticPr fontId="27" type="noConversion"/>
  </si>
  <si>
    <t>보조금   반납금</t>
    <phoneticPr fontId="27" type="noConversion"/>
  </si>
  <si>
    <t>잡   지   출</t>
    <phoneticPr fontId="27" type="noConversion"/>
  </si>
  <si>
    <t>잡      지      출</t>
    <phoneticPr fontId="27" type="noConversion"/>
  </si>
  <si>
    <t>예   비   비</t>
    <phoneticPr fontId="27" type="noConversion"/>
  </si>
  <si>
    <t>예      비      비</t>
    <phoneticPr fontId="27" type="noConversion"/>
  </si>
  <si>
    <t>* 종사자교육비용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</si>
  <si>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</si>
  <si>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</si>
  <si>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</si>
  <si>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</si>
  <si>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</si>
  <si>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</si>
  <si>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>4. 간식비용</t>
    <phoneticPr fontId="6" type="noConversion"/>
  </si>
  <si>
    <t>재산        조성비</t>
    <phoneticPr fontId="27" type="noConversion"/>
  </si>
  <si>
    <t>사 무 비</t>
    <phoneticPr fontId="27" type="noConversion"/>
  </si>
  <si>
    <t>사 업 비</t>
    <phoneticPr fontId="27" type="noConversion"/>
  </si>
  <si>
    <t>보조금     반환</t>
    <phoneticPr fontId="27" type="noConversion"/>
  </si>
  <si>
    <t>인 건 비</t>
    <phoneticPr fontId="27" type="noConversion"/>
  </si>
  <si>
    <t>업 무              추 진 비</t>
    <phoneticPr fontId="27" type="noConversion"/>
  </si>
  <si>
    <t>운 영 비</t>
    <phoneticPr fontId="27" type="noConversion"/>
  </si>
  <si>
    <t>시 설 비</t>
    <phoneticPr fontId="27" type="noConversion"/>
  </si>
  <si>
    <t>시설장비         유지비</t>
    <phoneticPr fontId="27" type="noConversion"/>
  </si>
  <si>
    <t>자 산              취 득 비</t>
    <phoneticPr fontId="27" type="noConversion"/>
  </si>
  <si>
    <t>생 계 비</t>
    <phoneticPr fontId="27" type="noConversion"/>
  </si>
  <si>
    <t>수용기관         경비</t>
    <phoneticPr fontId="27" type="noConversion"/>
  </si>
  <si>
    <t>피 복 비</t>
    <phoneticPr fontId="27" type="noConversion"/>
  </si>
  <si>
    <t>의 료 비</t>
    <phoneticPr fontId="27" type="noConversion"/>
  </si>
  <si>
    <t>연 료 비</t>
    <phoneticPr fontId="27" type="noConversion"/>
  </si>
  <si>
    <t>프로그램         사업비</t>
    <phoneticPr fontId="27" type="noConversion"/>
  </si>
  <si>
    <t>보조금            반납금</t>
    <phoneticPr fontId="27" type="noConversion"/>
  </si>
  <si>
    <t>입소비용     수입</t>
    <phoneticPr fontId="27" type="noConversion"/>
  </si>
  <si>
    <t>잡  수  입</t>
    <phoneticPr fontId="27" type="noConversion"/>
  </si>
  <si>
    <t>보조금        수입</t>
    <phoneticPr fontId="27" type="noConversion"/>
  </si>
  <si>
    <t>후원금        수입</t>
    <phoneticPr fontId="27" type="noConversion"/>
  </si>
  <si>
    <t>전 입 금</t>
    <phoneticPr fontId="27" type="noConversion"/>
  </si>
  <si>
    <t>이 월 금</t>
    <phoneticPr fontId="27" type="noConversion"/>
  </si>
  <si>
    <t>잡 수 입</t>
    <phoneticPr fontId="27" type="noConversion"/>
  </si>
  <si>
    <t>4. 후원금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</si>
  <si>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</si>
  <si>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</si>
  <si>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환경개선사업비(7종)시군구</t>
    <phoneticPr fontId="6" type="noConversion"/>
  </si>
  <si>
    <t>* 환경개선사업비(7종)시도</t>
    <phoneticPr fontId="6" type="noConversion"/>
  </si>
  <si>
    <t>* 종사자근무수당(시군구)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</si>
  <si>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</si>
  <si>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</si>
  <si>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</si>
  <si>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2. 아파트관리비(보조)</t>
    <phoneticPr fontId="6" type="noConversion"/>
  </si>
  <si>
    <t>3. 전화료 인터넷 요금(입소)</t>
    <phoneticPr fontId="6" type="noConversion"/>
  </si>
  <si>
    <t>4. 아파트관리비(입소)</t>
    <phoneticPr fontId="6" type="noConversion"/>
  </si>
  <si>
    <t>* 장기요양보험부담금</t>
    <phoneticPr fontId="6" type="noConversion"/>
  </si>
  <si>
    <t>* 산재보험부담금</t>
    <phoneticPr fontId="6" type="noConversion"/>
  </si>
  <si>
    <t>=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</si>
  <si>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</si>
  <si>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</si>
  <si>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</si>
  <si>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시도보조금</t>
    <phoneticPr fontId="27" type="noConversion"/>
  </si>
  <si>
    <t>시군구보조금</t>
    <phoneticPr fontId="27" type="noConversion"/>
  </si>
  <si>
    <t>* 종사자 건강검진비용</t>
    <phoneticPr fontId="6" type="noConversion"/>
  </si>
  <si>
    <t>구        분</t>
    <phoneticPr fontId="27" type="noConversion"/>
  </si>
  <si>
    <t>증감</t>
    <phoneticPr fontId="6" type="noConversion"/>
  </si>
  <si>
    <t>증감사유</t>
    <phoneticPr fontId="27" type="noConversion"/>
  </si>
  <si>
    <t>증감</t>
    <phoneticPr fontId="27" type="noConversion"/>
  </si>
  <si>
    <t>비지정후원금</t>
    <phoneticPr fontId="27" type="noConversion"/>
  </si>
  <si>
    <t>지정후원금</t>
    <phoneticPr fontId="27" type="noConversion"/>
  </si>
  <si>
    <t>법인전입금</t>
    <phoneticPr fontId="27" type="noConversion"/>
  </si>
  <si>
    <t>전년도이월금</t>
    <phoneticPr fontId="27" type="noConversion"/>
  </si>
  <si>
    <t>3호</t>
    <phoneticPr fontId="6" type="noConversion"/>
  </si>
  <si>
    <t>4호</t>
    <phoneticPr fontId="6" type="noConversion"/>
  </si>
  <si>
    <t>시도   보조금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</si>
  <si>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</si>
  <si>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</si>
  <si>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※ 2014년 시군구보조금</t>
    <phoneticPr fontId="6" type="noConversion"/>
  </si>
  <si>
    <t>보조금     운영비</t>
    <phoneticPr fontId="6" type="noConversion"/>
  </si>
  <si>
    <t>시군구보조금</t>
    <phoneticPr fontId="6" type="noConversion"/>
  </si>
  <si>
    <t>보조금</t>
    <phoneticPr fontId="6" type="noConversion"/>
  </si>
  <si>
    <t>자산취득비증액</t>
    <phoneticPr fontId="6" type="noConversion"/>
  </si>
  <si>
    <t>※ 법인전입금</t>
    <phoneticPr fontId="6" type="noConversion"/>
  </si>
  <si>
    <t>x</t>
    <phoneticPr fontId="6" type="noConversion"/>
  </si>
  <si>
    <t>3호</t>
    <phoneticPr fontId="6" type="noConversion"/>
  </si>
  <si>
    <t>원</t>
    <phoneticPr fontId="6" type="noConversion"/>
  </si>
  <si>
    <t>월</t>
    <phoneticPr fontId="6" type="noConversion"/>
  </si>
  <si>
    <t>1회</t>
    <phoneticPr fontId="6" type="noConversion"/>
  </si>
  <si>
    <t>보조</t>
    <phoneticPr fontId="6" type="noConversion"/>
  </si>
  <si>
    <t xml:space="preserve">* LED등 교체비용(보조) </t>
    <phoneticPr fontId="6" type="noConversion"/>
  </si>
  <si>
    <t>입소</t>
    <phoneticPr fontId="6" type="noConversion"/>
  </si>
  <si>
    <t>3. 가을여행</t>
    <phoneticPr fontId="6" type="noConversion"/>
  </si>
  <si>
    <t>회</t>
    <phoneticPr fontId="6" type="noConversion"/>
  </si>
  <si>
    <t>* 실내사이클구입비용</t>
    <phoneticPr fontId="6" type="noConversion"/>
  </si>
  <si>
    <t>명</t>
    <phoneticPr fontId="6" type="noConversion"/>
  </si>
  <si>
    <t>1. 등산</t>
    <phoneticPr fontId="6" type="noConversion"/>
  </si>
  <si>
    <t>4. 겨울여행</t>
    <phoneticPr fontId="6" type="noConversion"/>
  </si>
  <si>
    <t>1. 봄 나들이</t>
    <phoneticPr fontId="6" type="noConversion"/>
  </si>
  <si>
    <t>2. 여름캠프</t>
    <phoneticPr fontId="6" type="noConversion"/>
  </si>
  <si>
    <t>A. 일상생활지원</t>
    <phoneticPr fontId="6" type="noConversion"/>
  </si>
  <si>
    <t>1. 미용실 이용</t>
    <phoneticPr fontId="6" type="noConversion"/>
  </si>
  <si>
    <t>2. 이용인 생일</t>
    <phoneticPr fontId="6" type="noConversion"/>
  </si>
  <si>
    <t>3. 대중목욕탕 이용</t>
    <phoneticPr fontId="6" type="noConversion"/>
  </si>
  <si>
    <t>4. 자전거 활동</t>
    <phoneticPr fontId="6" type="noConversion"/>
  </si>
  <si>
    <t>5. 요리활동 및 외식</t>
    <phoneticPr fontId="6" type="noConversion"/>
  </si>
  <si>
    <t>B. 문화생활</t>
    <phoneticPr fontId="6" type="noConversion"/>
  </si>
  <si>
    <t>1. 문화생활</t>
    <phoneticPr fontId="6" type="noConversion"/>
  </si>
  <si>
    <t>문화</t>
    <phoneticPr fontId="6" type="noConversion"/>
  </si>
  <si>
    <t>3.연장근로수당</t>
    <phoneticPr fontId="6" type="noConversion"/>
  </si>
  <si>
    <t>2015년 본 예산액(단위:천원)</t>
    <phoneticPr fontId="6" type="noConversion"/>
  </si>
  <si>
    <t>보조7종</t>
    <phoneticPr fontId="6" type="noConversion"/>
  </si>
  <si>
    <t>후원</t>
    <phoneticPr fontId="6" type="noConversion"/>
  </si>
  <si>
    <t>6. 지역사회 식당 이용 외식</t>
    <phoneticPr fontId="6" type="noConversion"/>
  </si>
  <si>
    <t>2015년  본 예산액(단위:천원)</t>
    <phoneticPr fontId="6" type="noConversion"/>
  </si>
  <si>
    <t>2014년
2차추가경정예산
예산액(A)
(단위:천원)</t>
    <phoneticPr fontId="6" type="noConversion"/>
  </si>
  <si>
    <t>기타잡수입</t>
    <phoneticPr fontId="6" type="noConversion"/>
  </si>
  <si>
    <t>2014년
2차추가경정
예산액(A)
(단위:천원)</t>
    <phoneticPr fontId="6" type="noConversion"/>
  </si>
  <si>
    <t>* 2014년 시군구보조금</t>
    <phoneticPr fontId="6" type="noConversion"/>
  </si>
  <si>
    <t xml:space="preserve">5. 종사자근무수당 </t>
    <phoneticPr fontId="6" type="noConversion"/>
  </si>
  <si>
    <t>법인</t>
    <phoneticPr fontId="6" type="noConversion"/>
  </si>
  <si>
    <t>2014년
2차추가경정 예산</t>
    <phoneticPr fontId="27" type="noConversion"/>
  </si>
  <si>
    <t>2015년
본 예산</t>
    <phoneticPr fontId="27" type="noConversion"/>
  </si>
  <si>
    <t>2014년
2차추가경정예산</t>
    <phoneticPr fontId="27" type="noConversion"/>
  </si>
  <si>
    <t>&lt;2015년도 세출내역&gt;</t>
    <phoneticPr fontId="6" type="noConversion"/>
  </si>
  <si>
    <t>&lt;2015년도 세입내역&gt;</t>
    <phoneticPr fontId="6" type="noConversion"/>
  </si>
  <si>
    <t>2014년
2차추가경정   예산</t>
    <phoneticPr fontId="27" type="noConversion"/>
  </si>
  <si>
    <t>2014년
2차추가경정  예산</t>
    <phoneticPr fontId="27" type="noConversion"/>
  </si>
  <si>
    <t>생계비감액</t>
    <phoneticPr fontId="6" type="noConversion"/>
  </si>
  <si>
    <t>종사자 변경에 따른 감액</t>
    <phoneticPr fontId="6" type="noConversion"/>
  </si>
  <si>
    <t>시도보조금</t>
    <phoneticPr fontId="27" type="noConversion"/>
  </si>
  <si>
    <t>시군구보조금</t>
    <phoneticPr fontId="27" type="noConversion"/>
  </si>
  <si>
    <t>원</t>
    <phoneticPr fontId="6" type="noConversion"/>
  </si>
  <si>
    <t>x</t>
    <phoneticPr fontId="6" type="noConversion"/>
  </si>
  <si>
    <t>회</t>
    <phoneticPr fontId="6" type="noConversion"/>
  </si>
  <si>
    <t>후원</t>
    <phoneticPr fontId="6" type="noConversion"/>
  </si>
  <si>
    <t>보조금</t>
    <phoneticPr fontId="6" type="noConversion"/>
  </si>
  <si>
    <t>※ 보조금 반환금(수원시)</t>
    <phoneticPr fontId="6" type="noConversion"/>
  </si>
  <si>
    <t>소계:</t>
    <phoneticPr fontId="6" type="noConversion"/>
  </si>
  <si>
    <t>반환금</t>
    <phoneticPr fontId="6" type="noConversion"/>
  </si>
  <si>
    <t>1.보조금 예금이자 이월금</t>
    <phoneticPr fontId="6" type="noConversion"/>
  </si>
  <si>
    <t>원</t>
    <phoneticPr fontId="6" type="noConversion"/>
  </si>
  <si>
    <t>보조금 반환금</t>
    <phoneticPr fontId="6" type="noConversion"/>
  </si>
  <si>
    <t>2. 종사자 근무수당 반납금</t>
    <phoneticPr fontId="6" type="noConversion"/>
  </si>
  <si>
    <t>□ 2015년도 본 예산 세 입 · 세 출 총  괄  표</t>
    <phoneticPr fontId="27" type="noConversion"/>
  </si>
  <si>
    <t>* 2015년 시도보조금</t>
    <phoneticPr fontId="6" type="noConversion"/>
  </si>
  <si>
    <t>※ 2015년 시도보조금</t>
    <phoneticPr fontId="6" type="noConversion"/>
  </si>
  <si>
    <t>시설장비유지비 증액</t>
    <phoneticPr fontId="6" type="noConversion"/>
  </si>
  <si>
    <t>입소</t>
    <phoneticPr fontId="6" type="noConversion"/>
  </si>
  <si>
    <t>전년도 
이월금과의 차액</t>
    <phoneticPr fontId="6" type="noConversion"/>
  </si>
  <si>
    <t>B 직업활동 지원</t>
    <phoneticPr fontId="6" type="noConversion"/>
  </si>
  <si>
    <t>C. 자치회의 프로그램</t>
    <phoneticPr fontId="6" type="noConversion"/>
  </si>
  <si>
    <t>1. 자치회의</t>
    <phoneticPr fontId="6" type="noConversion"/>
  </si>
  <si>
    <t>1. 직업활동</t>
    <phoneticPr fontId="6" type="noConversion"/>
  </si>
  <si>
    <t>D. 교육지원 프로그램</t>
    <phoneticPr fontId="6" type="noConversion"/>
  </si>
  <si>
    <t>1. 교육지원 비용</t>
    <phoneticPr fontId="6" type="noConversion"/>
  </si>
  <si>
    <t>E. 계절별 프로그램</t>
    <phoneticPr fontId="6" type="noConversion"/>
  </si>
  <si>
    <t>`</t>
    <phoneticPr fontId="6" type="noConversion"/>
  </si>
  <si>
    <t>G. 등산 프로그램 지원사업</t>
    <phoneticPr fontId="6" type="noConversion"/>
  </si>
  <si>
    <t>기타후생경비</t>
    <phoneticPr fontId="6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</si>
</sst>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HY강M"/>
      <family val="1"/>
      <charset val="129"/>
    </font>
    <font>
      <sz val="10"/>
      <color indexed="8"/>
      <name val="HY강M"/>
      <family val="1"/>
      <charset val="129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56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1" xfId="3" applyNumberFormat="1" applyFont="1" applyFill="1" applyBorder="1" applyAlignment="1">
      <alignment vertical="center"/>
    </xf>
    <xf numFmtId="177" fontId="12" fillId="0" borderId="21" xfId="3" applyNumberFormat="1" applyFont="1" applyFill="1" applyBorder="1" applyAlignment="1">
      <alignment vertical="center"/>
    </xf>
    <xf numFmtId="0" fontId="15" fillId="0" borderId="20" xfId="3" applyFont="1" applyFill="1" applyBorder="1" applyAlignment="1">
      <alignment vertical="center"/>
    </xf>
    <xf numFmtId="176" fontId="15" fillId="0" borderId="20" xfId="3" applyNumberFormat="1" applyFont="1" applyFill="1" applyBorder="1" applyAlignment="1">
      <alignment horizontal="center" vertical="center"/>
    </xf>
    <xf numFmtId="176" fontId="15" fillId="0" borderId="20" xfId="3" applyNumberFormat="1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5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5" xfId="3" applyNumberFormat="1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7" xfId="3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vertical="center"/>
    </xf>
    <xf numFmtId="0" fontId="12" fillId="0" borderId="31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178" fontId="12" fillId="0" borderId="25" xfId="3" applyNumberFormat="1" applyFont="1" applyFill="1" applyBorder="1" applyAlignment="1">
      <alignment vertical="center"/>
    </xf>
    <xf numFmtId="177" fontId="12" fillId="0" borderId="25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2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3" xfId="3" applyFont="1" applyFill="1" applyBorder="1" applyAlignment="1">
      <alignment vertical="center"/>
    </xf>
    <xf numFmtId="0" fontId="15" fillId="0" borderId="29" xfId="3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0" fontId="12" fillId="0" borderId="31" xfId="3" applyFont="1" applyFill="1" applyBorder="1" applyAlignment="1">
      <alignment vertical="center" wrapText="1"/>
    </xf>
    <xf numFmtId="0" fontId="18" fillId="0" borderId="27" xfId="3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8" xfId="3" applyNumberFormat="1" applyFont="1" applyFill="1" applyBorder="1" applyAlignment="1">
      <alignment vertical="center"/>
    </xf>
    <xf numFmtId="176" fontId="18" fillId="0" borderId="28" xfId="3" applyNumberFormat="1" applyFont="1" applyFill="1" applyBorder="1" applyAlignment="1">
      <alignment horizontal="right" vertical="center"/>
    </xf>
    <xf numFmtId="176" fontId="18" fillId="0" borderId="34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7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5" xfId="1" applyFont="1" applyFill="1" applyBorder="1" applyAlignment="1">
      <alignment horizontal="center" vertical="center"/>
    </xf>
    <xf numFmtId="0" fontId="12" fillId="0" borderId="35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6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vertical="center"/>
    </xf>
    <xf numFmtId="176" fontId="21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8" xfId="3" applyNumberFormat="1" applyFont="1" applyFill="1" applyBorder="1" applyAlignment="1">
      <alignment vertical="center"/>
    </xf>
    <xf numFmtId="176" fontId="20" fillId="0" borderId="28" xfId="3" applyNumberFormat="1" applyFont="1" applyFill="1" applyBorder="1" applyAlignment="1">
      <alignment horizontal="right" vertical="center"/>
    </xf>
    <xf numFmtId="176" fontId="20" fillId="0" borderId="34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29" xfId="3" applyNumberFormat="1" applyFont="1" applyFill="1" applyBorder="1" applyAlignment="1">
      <alignment vertical="center"/>
    </xf>
    <xf numFmtId="0" fontId="15" fillId="0" borderId="28" xfId="3" applyFont="1" applyFill="1" applyBorder="1" applyAlignment="1">
      <alignment vertical="center"/>
    </xf>
    <xf numFmtId="176" fontId="15" fillId="0" borderId="28" xfId="3" applyNumberFormat="1" applyFont="1" applyFill="1" applyBorder="1" applyAlignment="1">
      <alignment vertical="center"/>
    </xf>
    <xf numFmtId="176" fontId="15" fillId="0" borderId="28" xfId="3" applyNumberFormat="1" applyFont="1" applyFill="1" applyBorder="1" applyAlignment="1">
      <alignment horizontal="right" vertical="center"/>
    </xf>
    <xf numFmtId="176" fontId="15" fillId="0" borderId="34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vertical="center"/>
    </xf>
    <xf numFmtId="0" fontId="12" fillId="0" borderId="24" xfId="3" applyFont="1" applyFill="1" applyBorder="1" applyAlignment="1">
      <alignment horizontal="center" vertical="center"/>
    </xf>
    <xf numFmtId="0" fontId="14" fillId="0" borderId="40" xfId="3" applyFont="1" applyFill="1" applyBorder="1" applyAlignment="1">
      <alignment vertical="center"/>
    </xf>
    <xf numFmtId="0" fontId="12" fillId="0" borderId="24" xfId="3" applyFont="1" applyFill="1" applyBorder="1" applyAlignment="1">
      <alignment vertical="center"/>
    </xf>
    <xf numFmtId="0" fontId="14" fillId="0" borderId="35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38" fontId="12" fillId="0" borderId="12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5" xfId="3" applyNumberFormat="1" applyFont="1" applyFill="1" applyBorder="1" applyAlignment="1">
      <alignment vertical="center"/>
    </xf>
    <xf numFmtId="38" fontId="12" fillId="0" borderId="25" xfId="3" applyNumberFormat="1" applyFont="1" applyFill="1" applyBorder="1" applyAlignment="1">
      <alignment vertical="center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5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5" fillId="0" borderId="1" xfId="3" applyFont="1" applyFill="1" applyBorder="1" applyAlignment="1">
      <alignment horizontal="center" vertical="center" wrapText="1"/>
    </xf>
    <xf numFmtId="38" fontId="25" fillId="0" borderId="1" xfId="3" applyNumberFormat="1" applyFont="1" applyFill="1" applyBorder="1" applyAlignment="1">
      <alignment vertical="center"/>
    </xf>
    <xf numFmtId="0" fontId="12" fillId="0" borderId="36" xfId="0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176" fontId="13" fillId="0" borderId="3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38" fontId="12" fillId="0" borderId="13" xfId="3" applyNumberFormat="1" applyFont="1" applyFill="1" applyBorder="1" applyAlignment="1">
      <alignment vertical="center"/>
    </xf>
    <xf numFmtId="38" fontId="12" fillId="0" borderId="29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25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5" fillId="0" borderId="10" xfId="4" applyNumberFormat="1" applyFont="1" applyFill="1" applyBorder="1" applyAlignment="1">
      <alignment vertical="center"/>
    </xf>
    <xf numFmtId="0" fontId="25" fillId="0" borderId="0" xfId="4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4" fillId="0" borderId="0" xfId="5">
      <alignment vertical="center"/>
    </xf>
    <xf numFmtId="0" fontId="26" fillId="0" borderId="0" xfId="5" applyFont="1">
      <alignment vertical="center"/>
    </xf>
    <xf numFmtId="0" fontId="28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5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8" xfId="6" applyFont="1" applyBorder="1">
      <alignment vertical="center"/>
    </xf>
    <xf numFmtId="181" fontId="0" fillId="0" borderId="40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0" fontId="17" fillId="0" borderId="29" xfId="3" applyFont="1" applyFill="1" applyBorder="1" applyAlignment="1">
      <alignment vertical="center"/>
    </xf>
    <xf numFmtId="0" fontId="20" fillId="0" borderId="27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2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38" fontId="12" fillId="0" borderId="32" xfId="3" applyNumberFormat="1" applyFont="1" applyFill="1" applyBorder="1" applyAlignment="1">
      <alignment vertical="center"/>
    </xf>
    <xf numFmtId="38" fontId="12" fillId="0" borderId="35" xfId="3" applyNumberFormat="1" applyFont="1" applyFill="1" applyBorder="1" applyAlignment="1">
      <alignment vertical="center"/>
    </xf>
    <xf numFmtId="38" fontId="12" fillId="0" borderId="33" xfId="3" applyNumberFormat="1" applyFont="1" applyFill="1" applyBorder="1" applyAlignment="1">
      <alignment vertical="center"/>
    </xf>
    <xf numFmtId="3" fontId="24" fillId="0" borderId="32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0" fontId="12" fillId="0" borderId="29" xfId="3" applyFont="1" applyFill="1" applyBorder="1" applyAlignment="1">
      <alignment vertical="center"/>
    </xf>
    <xf numFmtId="41" fontId="14" fillId="0" borderId="25" xfId="0" applyNumberFormat="1" applyFont="1" applyFill="1" applyBorder="1" applyAlignment="1">
      <alignment vertical="center"/>
    </xf>
    <xf numFmtId="38" fontId="25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vertical="center"/>
    </xf>
    <xf numFmtId="0" fontId="14" fillId="0" borderId="43" xfId="3" applyFont="1" applyFill="1" applyBorder="1" applyAlignment="1">
      <alignment vertical="center"/>
    </xf>
    <xf numFmtId="176" fontId="14" fillId="0" borderId="43" xfId="3" applyNumberFormat="1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9" fontId="14" fillId="0" borderId="18" xfId="1" applyFont="1" applyFill="1" applyBorder="1" applyAlignment="1">
      <alignment horizontal="center" vertical="center"/>
    </xf>
    <xf numFmtId="9" fontId="12" fillId="0" borderId="12" xfId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vertical="center"/>
    </xf>
    <xf numFmtId="0" fontId="12" fillId="0" borderId="18" xfId="3" applyFont="1" applyFill="1" applyBorder="1" applyAlignment="1">
      <alignment horizontal="center" vertical="center" wrapText="1"/>
    </xf>
    <xf numFmtId="38" fontId="12" fillId="0" borderId="40" xfId="3" applyNumberFormat="1" applyFont="1" applyFill="1" applyBorder="1" applyAlignment="1">
      <alignment vertical="center"/>
    </xf>
    <xf numFmtId="38" fontId="12" fillId="0" borderId="18" xfId="3" applyNumberFormat="1" applyFont="1" applyFill="1" applyBorder="1" applyAlignment="1">
      <alignment vertical="center"/>
    </xf>
    <xf numFmtId="9" fontId="12" fillId="0" borderId="18" xfId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5" fillId="0" borderId="0" xfId="4" applyNumberFormat="1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14" fillId="0" borderId="52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horizontal="center" vertical="center" wrapText="1"/>
    </xf>
    <xf numFmtId="38" fontId="14" fillId="0" borderId="18" xfId="3" applyNumberFormat="1" applyFont="1" applyFill="1" applyBorder="1" applyAlignment="1">
      <alignment vertical="center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2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3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176" fontId="12" fillId="0" borderId="29" xfId="3" applyNumberFormat="1" applyFont="1" applyFill="1" applyBorder="1" applyAlignment="1">
      <alignment horizontal="center" vertical="center"/>
    </xf>
    <xf numFmtId="42" fontId="12" fillId="0" borderId="29" xfId="3" applyNumberFormat="1" applyFont="1" applyFill="1" applyBorder="1" applyAlignment="1">
      <alignment horizontal="center" vertical="center"/>
    </xf>
    <xf numFmtId="10" fontId="12" fillId="0" borderId="29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0" fontId="3" fillId="0" borderId="0" xfId="5" applyFont="1">
      <alignment vertical="center"/>
    </xf>
    <xf numFmtId="0" fontId="3" fillId="0" borderId="14" xfId="5" applyFont="1" applyBorder="1" applyAlignment="1">
      <alignment horizontal="center" vertical="center"/>
    </xf>
    <xf numFmtId="0" fontId="3" fillId="0" borderId="18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41" fontId="3" fillId="0" borderId="18" xfId="2" applyFont="1" applyBorder="1">
      <alignment vertical="center"/>
    </xf>
    <xf numFmtId="0" fontId="14" fillId="0" borderId="33" xfId="3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8" xfId="3" applyFont="1" applyFill="1" applyBorder="1" applyAlignment="1">
      <alignment vertical="center"/>
    </xf>
    <xf numFmtId="0" fontId="26" fillId="0" borderId="0" xfId="7" applyFont="1">
      <alignment vertical="center"/>
    </xf>
    <xf numFmtId="0" fontId="2" fillId="0" borderId="0" xfId="7">
      <alignment vertical="center"/>
    </xf>
    <xf numFmtId="0" fontId="28" fillId="0" borderId="0" xfId="7" applyFont="1" applyAlignment="1">
      <alignment horizontal="right"/>
    </xf>
    <xf numFmtId="41" fontId="12" fillId="0" borderId="0" xfId="2" applyNumberFormat="1" applyFont="1" applyFill="1" applyBorder="1" applyAlignment="1">
      <alignment horizontal="right" vertical="center"/>
    </xf>
    <xf numFmtId="0" fontId="25" fillId="0" borderId="25" xfId="3" applyFont="1" applyFill="1" applyBorder="1" applyAlignment="1">
      <alignment horizontal="center" vertical="center" wrapText="1"/>
    </xf>
    <xf numFmtId="38" fontId="25" fillId="0" borderId="25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38" fontId="23" fillId="0" borderId="25" xfId="3" applyNumberFormat="1" applyFont="1" applyFill="1" applyBorder="1" applyAlignment="1">
      <alignment vertical="center"/>
    </xf>
    <xf numFmtId="41" fontId="31" fillId="0" borderId="10" xfId="9" applyFont="1" applyBorder="1" applyAlignment="1">
      <alignment vertical="center"/>
    </xf>
    <xf numFmtId="181" fontId="31" fillId="0" borderId="55" xfId="10" applyNumberFormat="1" applyFont="1" applyBorder="1" applyAlignment="1">
      <alignment vertical="center"/>
    </xf>
    <xf numFmtId="181" fontId="31" fillId="0" borderId="13" xfId="10" applyNumberFormat="1" applyFont="1" applyBorder="1" applyAlignment="1">
      <alignment vertical="center"/>
    </xf>
    <xf numFmtId="181" fontId="31" fillId="0" borderId="36" xfId="10" applyNumberFormat="1" applyFont="1" applyBorder="1" applyAlignment="1">
      <alignment vertical="center"/>
    </xf>
    <xf numFmtId="0" fontId="28" fillId="0" borderId="14" xfId="7" applyFont="1" applyBorder="1" applyAlignment="1">
      <alignment horizontal="center" vertical="center" wrapText="1"/>
    </xf>
    <xf numFmtId="0" fontId="28" fillId="0" borderId="18" xfId="7" applyFont="1" applyBorder="1" applyAlignment="1">
      <alignment horizontal="center" vertical="center" wrapText="1"/>
    </xf>
    <xf numFmtId="41" fontId="31" fillId="0" borderId="18" xfId="9" applyFont="1" applyBorder="1">
      <alignment vertical="center"/>
    </xf>
    <xf numFmtId="181" fontId="31" fillId="0" borderId="40" xfId="10" applyNumberFormat="1" applyFont="1" applyBorder="1">
      <alignment vertical="center"/>
    </xf>
    <xf numFmtId="181" fontId="31" fillId="0" borderId="18" xfId="10" applyNumberFormat="1" applyFont="1" applyBorder="1">
      <alignment vertical="center"/>
    </xf>
    <xf numFmtId="181" fontId="31" fillId="0" borderId="17" xfId="10" applyNumberFormat="1" applyFont="1" applyBorder="1" applyAlignment="1">
      <alignment horizontal="center" vertical="center" wrapText="1"/>
    </xf>
    <xf numFmtId="181" fontId="31" fillId="0" borderId="40" xfId="10" applyNumberFormat="1" applyFont="1" applyBorder="1" applyAlignment="1">
      <alignment vertical="center" wrapText="1"/>
    </xf>
    <xf numFmtId="181" fontId="31" fillId="0" borderId="53" xfId="10" applyNumberFormat="1" applyFont="1" applyBorder="1" applyAlignment="1">
      <alignment vertical="center" wrapText="1"/>
    </xf>
    <xf numFmtId="41" fontId="31" fillId="0" borderId="0" xfId="2" applyFont="1" applyFill="1" applyAlignment="1">
      <alignment vertical="center"/>
    </xf>
    <xf numFmtId="0" fontId="28" fillId="0" borderId="14" xfId="7" applyFont="1" applyBorder="1" applyAlignment="1">
      <alignment horizontal="center" vertical="center"/>
    </xf>
    <xf numFmtId="181" fontId="31" fillId="0" borderId="53" xfId="10" applyNumberFormat="1" applyFont="1" applyBorder="1">
      <alignment vertical="center"/>
    </xf>
    <xf numFmtId="41" fontId="31" fillId="0" borderId="3" xfId="9" applyFont="1" applyBorder="1">
      <alignment vertical="center"/>
    </xf>
    <xf numFmtId="0" fontId="28" fillId="0" borderId="15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center" vertical="center" wrapText="1"/>
    </xf>
    <xf numFmtId="181" fontId="31" fillId="0" borderId="3" xfId="10" applyNumberFormat="1" applyFont="1" applyBorder="1">
      <alignment vertical="center"/>
    </xf>
    <xf numFmtId="0" fontId="31" fillId="0" borderId="18" xfId="0" applyFont="1" applyFill="1" applyBorder="1" applyAlignment="1">
      <alignment horizontal="center" vertical="center" wrapText="1"/>
    </xf>
    <xf numFmtId="0" fontId="28" fillId="0" borderId="15" xfId="7" applyFont="1" applyBorder="1" applyAlignment="1">
      <alignment horizontal="center" vertical="center"/>
    </xf>
    <xf numFmtId="181" fontId="31" fillId="0" borderId="4" xfId="10" applyNumberFormat="1" applyFont="1" applyBorder="1">
      <alignment vertical="center"/>
    </xf>
    <xf numFmtId="181" fontId="32" fillId="0" borderId="40" xfId="10" applyNumberFormat="1" applyFont="1" applyBorder="1" applyAlignment="1">
      <alignment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9" fontId="12" fillId="0" borderId="10" xfId="3" applyNumberFormat="1" applyFont="1" applyFill="1" applyBorder="1" applyAlignment="1">
      <alignment horizontal="center" vertical="center"/>
    </xf>
    <xf numFmtId="0" fontId="23" fillId="0" borderId="35" xfId="3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7" fontId="12" fillId="0" borderId="24" xfId="3" applyNumberFormat="1" applyFont="1" applyFill="1" applyBorder="1" applyAlignment="1">
      <alignment vertical="center"/>
    </xf>
    <xf numFmtId="177" fontId="12" fillId="0" borderId="41" xfId="3" applyNumberFormat="1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12" fillId="0" borderId="59" xfId="3" applyFont="1" applyFill="1" applyBorder="1" applyAlignment="1">
      <alignment vertical="center" wrapText="1"/>
    </xf>
    <xf numFmtId="181" fontId="31" fillId="0" borderId="53" xfId="10" applyNumberFormat="1" applyFont="1" applyBorder="1" applyAlignment="1">
      <alignment horizontal="center" vertical="center" wrapText="1"/>
    </xf>
    <xf numFmtId="176" fontId="14" fillId="0" borderId="12" xfId="3" applyNumberFormat="1" applyFont="1" applyFill="1" applyBorder="1" applyAlignment="1">
      <alignment vertical="center"/>
    </xf>
    <xf numFmtId="176" fontId="14" fillId="0" borderId="38" xfId="3" applyNumberFormat="1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4" xfId="3" applyFont="1" applyFill="1" applyBorder="1" applyAlignment="1">
      <alignment horizontal="center" vertical="center" wrapText="1"/>
    </xf>
    <xf numFmtId="3" fontId="31" fillId="0" borderId="18" xfId="0" applyNumberFormat="1" applyFont="1" applyFill="1" applyBorder="1" applyAlignment="1">
      <alignment vertical="center"/>
    </xf>
    <xf numFmtId="181" fontId="31" fillId="0" borderId="34" xfId="10" applyNumberFormat="1" applyFont="1" applyBorder="1" applyAlignment="1">
      <alignment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" fillId="0" borderId="18" xfId="5" applyFont="1" applyBorder="1" applyAlignment="1">
      <alignment horizontal="center" vertical="center"/>
    </xf>
    <xf numFmtId="0" fontId="36" fillId="0" borderId="14" xfId="3" applyFont="1" applyFill="1" applyBorder="1" applyAlignment="1">
      <alignment horizontal="center" vertical="center" wrapText="1"/>
    </xf>
    <xf numFmtId="38" fontId="37" fillId="0" borderId="18" xfId="3" applyNumberFormat="1" applyFont="1" applyFill="1" applyBorder="1" applyAlignment="1">
      <alignment vertical="center"/>
    </xf>
    <xf numFmtId="9" fontId="37" fillId="0" borderId="18" xfId="1" applyFont="1" applyFill="1" applyBorder="1" applyAlignment="1">
      <alignment horizontal="center" vertical="center"/>
    </xf>
    <xf numFmtId="0" fontId="37" fillId="0" borderId="18" xfId="3" applyFont="1" applyFill="1" applyBorder="1" applyAlignment="1">
      <alignment horizontal="center" vertical="center" wrapText="1"/>
    </xf>
    <xf numFmtId="0" fontId="37" fillId="0" borderId="14" xfId="3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/>
    </xf>
    <xf numFmtId="0" fontId="37" fillId="0" borderId="3" xfId="3" applyFont="1" applyFill="1" applyBorder="1" applyAlignment="1">
      <alignment horizontal="center" vertical="center" wrapText="1"/>
    </xf>
    <xf numFmtId="38" fontId="37" fillId="0" borderId="3" xfId="3" applyNumberFormat="1" applyFont="1" applyFill="1" applyBorder="1" applyAlignment="1">
      <alignment vertical="center"/>
    </xf>
    <xf numFmtId="9" fontId="37" fillId="0" borderId="3" xfId="1" applyFont="1" applyFill="1" applyBorder="1" applyAlignment="1">
      <alignment horizontal="center" vertical="center"/>
    </xf>
    <xf numFmtId="0" fontId="34" fillId="0" borderId="29" xfId="3" applyFont="1" applyFill="1" applyBorder="1" applyAlignment="1">
      <alignment vertical="center"/>
    </xf>
    <xf numFmtId="176" fontId="34" fillId="0" borderId="29" xfId="3" applyNumberFormat="1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0" fontId="37" fillId="0" borderId="12" xfId="3" applyFont="1" applyFill="1" applyBorder="1" applyAlignment="1">
      <alignment vertical="center"/>
    </xf>
    <xf numFmtId="176" fontId="37" fillId="0" borderId="12" xfId="3" applyNumberFormat="1" applyFont="1" applyFill="1" applyBorder="1" applyAlignment="1">
      <alignment vertical="center"/>
    </xf>
    <xf numFmtId="176" fontId="37" fillId="0" borderId="38" xfId="3" applyNumberFormat="1" applyFont="1" applyFill="1" applyBorder="1" applyAlignment="1">
      <alignment vertical="center"/>
    </xf>
    <xf numFmtId="0" fontId="34" fillId="0" borderId="40" xfId="3" applyFont="1" applyFill="1" applyBorder="1" applyAlignment="1">
      <alignment vertical="center"/>
    </xf>
    <xf numFmtId="0" fontId="35" fillId="0" borderId="40" xfId="3" applyFont="1" applyFill="1" applyBorder="1" applyAlignment="1">
      <alignment vertical="center"/>
    </xf>
    <xf numFmtId="9" fontId="12" fillId="0" borderId="0" xfId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41" fontId="30" fillId="0" borderId="0" xfId="2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37" fillId="0" borderId="27" xfId="3" applyFont="1" applyFill="1" applyBorder="1" applyAlignment="1">
      <alignment vertical="center"/>
    </xf>
    <xf numFmtId="178" fontId="12" fillId="0" borderId="18" xfId="3" applyNumberFormat="1" applyFont="1" applyFill="1" applyBorder="1" applyAlignment="1">
      <alignment vertical="center"/>
    </xf>
    <xf numFmtId="177" fontId="12" fillId="0" borderId="18" xfId="3" applyNumberFormat="1" applyFont="1" applyFill="1" applyBorder="1" applyAlignment="1">
      <alignment vertical="center"/>
    </xf>
    <xf numFmtId="9" fontId="12" fillId="0" borderId="18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29" fillId="0" borderId="18" xfId="5" applyFont="1" applyBorder="1" applyAlignment="1">
      <alignment horizontal="center" vertical="center" wrapText="1"/>
    </xf>
    <xf numFmtId="0" fontId="29" fillId="0" borderId="48" xfId="5" applyFont="1" applyBorder="1" applyAlignment="1">
      <alignment horizontal="center" vertical="center" wrapText="1"/>
    </xf>
    <xf numFmtId="0" fontId="29" fillId="0" borderId="42" xfId="5" applyFont="1" applyBorder="1" applyAlignment="1">
      <alignment horizontal="center" vertical="center"/>
    </xf>
    <xf numFmtId="0" fontId="29" fillId="0" borderId="7" xfId="5" applyFont="1" applyBorder="1" applyAlignment="1">
      <alignment horizontal="center" vertical="center"/>
    </xf>
    <xf numFmtId="0" fontId="29" fillId="0" borderId="9" xfId="5" applyFont="1" applyBorder="1" applyAlignment="1">
      <alignment horizontal="center" vertical="center"/>
    </xf>
    <xf numFmtId="0" fontId="29" fillId="0" borderId="8" xfId="5" applyFont="1" applyBorder="1" applyAlignment="1">
      <alignment horizontal="center" vertical="center"/>
    </xf>
    <xf numFmtId="0" fontId="29" fillId="0" borderId="14" xfId="5" applyFont="1" applyBorder="1" applyAlignment="1">
      <alignment horizontal="center" vertical="center"/>
    </xf>
    <xf numFmtId="0" fontId="29" fillId="0" borderId="18" xfId="5" applyFont="1" applyBorder="1" applyAlignment="1">
      <alignment horizontal="center" vertical="center"/>
    </xf>
    <xf numFmtId="0" fontId="29" fillId="0" borderId="47" xfId="5" applyFont="1" applyBorder="1" applyAlignment="1">
      <alignment horizontal="center" vertical="center"/>
    </xf>
    <xf numFmtId="0" fontId="29" fillId="0" borderId="48" xfId="5" applyFont="1" applyBorder="1" applyAlignment="1">
      <alignment horizontal="center" vertical="center"/>
    </xf>
    <xf numFmtId="0" fontId="29" fillId="0" borderId="40" xfId="5" applyFont="1" applyBorder="1" applyAlignment="1">
      <alignment horizontal="center" vertical="center"/>
    </xf>
    <xf numFmtId="0" fontId="29" fillId="0" borderId="49" xfId="5" applyFont="1" applyBorder="1" applyAlignment="1">
      <alignment horizontal="center" vertical="center"/>
    </xf>
    <xf numFmtId="0" fontId="29" fillId="0" borderId="17" xfId="5" applyFont="1" applyBorder="1" applyAlignment="1">
      <alignment horizontal="center" vertical="center"/>
    </xf>
    <xf numFmtId="0" fontId="29" fillId="0" borderId="50" xfId="5" applyFont="1" applyBorder="1" applyAlignment="1">
      <alignment horizontal="center" vertical="center"/>
    </xf>
    <xf numFmtId="0" fontId="3" fillId="0" borderId="51" xfId="5" applyFont="1" applyBorder="1" applyAlignment="1">
      <alignment horizontal="center" vertical="center"/>
    </xf>
    <xf numFmtId="0" fontId="3" fillId="0" borderId="29" xfId="5" applyFont="1" applyBorder="1" applyAlignment="1">
      <alignment horizontal="center" vertical="center"/>
    </xf>
    <xf numFmtId="0" fontId="3" fillId="0" borderId="30" xfId="5" applyFont="1" applyBorder="1" applyAlignment="1">
      <alignment horizontal="center" vertical="center"/>
    </xf>
    <xf numFmtId="0" fontId="3" fillId="0" borderId="23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45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38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3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4" fillId="0" borderId="12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3" xfId="3" applyNumberFormat="1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4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37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4" xfId="3" applyFont="1" applyFill="1" applyBorder="1" applyAlignment="1">
      <alignment horizontal="center" vertical="center" wrapText="1"/>
    </xf>
    <xf numFmtId="0" fontId="14" fillId="0" borderId="42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37" fillId="0" borderId="18" xfId="3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0" fontId="14" fillId="0" borderId="18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8" fillId="0" borderId="2" xfId="7" applyFont="1" applyBorder="1" applyAlignment="1">
      <alignment horizontal="center" vertical="center"/>
    </xf>
    <xf numFmtId="0" fontId="28" fillId="0" borderId="31" xfId="7" applyFont="1" applyBorder="1" applyAlignment="1">
      <alignment horizontal="center" vertical="center"/>
    </xf>
    <xf numFmtId="0" fontId="28" fillId="0" borderId="16" xfId="7" applyFont="1" applyBorder="1" applyAlignment="1">
      <alignment horizontal="center" vertical="center"/>
    </xf>
    <xf numFmtId="0" fontId="33" fillId="0" borderId="18" xfId="7" applyFont="1" applyBorder="1" applyAlignment="1">
      <alignment horizontal="center" vertical="center"/>
    </xf>
    <xf numFmtId="0" fontId="33" fillId="0" borderId="48" xfId="7" applyFont="1" applyBorder="1" applyAlignment="1">
      <alignment horizontal="center" vertical="center"/>
    </xf>
    <xf numFmtId="0" fontId="33" fillId="0" borderId="53" xfId="7" applyFont="1" applyBorder="1" applyAlignment="1">
      <alignment horizontal="center" vertical="center"/>
    </xf>
    <xf numFmtId="0" fontId="33" fillId="0" borderId="56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 wrapText="1"/>
    </xf>
    <xf numFmtId="0" fontId="28" fillId="0" borderId="31" xfId="7" applyFont="1" applyBorder="1" applyAlignment="1">
      <alignment horizontal="center" vertical="center" wrapText="1"/>
    </xf>
    <xf numFmtId="0" fontId="28" fillId="0" borderId="16" xfId="7" applyFont="1" applyBorder="1" applyAlignment="1">
      <alignment horizontal="center" vertical="center" wrapText="1"/>
    </xf>
    <xf numFmtId="181" fontId="31" fillId="0" borderId="58" xfId="10" applyNumberFormat="1" applyFont="1" applyBorder="1" applyAlignment="1">
      <alignment horizontal="center" vertical="center" wrapText="1"/>
    </xf>
    <xf numFmtId="181" fontId="31" fillId="0" borderId="57" xfId="10" applyNumberFormat="1" applyFont="1" applyBorder="1" applyAlignment="1">
      <alignment horizontal="center" vertical="center" wrapText="1"/>
    </xf>
    <xf numFmtId="181" fontId="31" fillId="0" borderId="11" xfId="10" applyNumberFormat="1" applyFont="1" applyBorder="1" applyAlignment="1">
      <alignment horizontal="center" vertical="center" wrapText="1"/>
    </xf>
    <xf numFmtId="181" fontId="31" fillId="0" borderId="1" xfId="10" applyNumberFormat="1" applyFont="1" applyBorder="1" applyAlignment="1">
      <alignment horizontal="center" vertical="center"/>
    </xf>
    <xf numFmtId="181" fontId="31" fillId="0" borderId="25" xfId="10" applyNumberFormat="1" applyFont="1" applyBorder="1" applyAlignment="1">
      <alignment horizontal="center" vertical="center"/>
    </xf>
    <xf numFmtId="181" fontId="31" fillId="0" borderId="10" xfId="10" applyNumberFormat="1" applyFont="1" applyBorder="1" applyAlignment="1">
      <alignment horizontal="center" vertical="center"/>
    </xf>
    <xf numFmtId="41" fontId="31" fillId="0" borderId="1" xfId="9" applyFont="1" applyBorder="1" applyAlignment="1">
      <alignment horizontal="center" vertical="center"/>
    </xf>
    <xf numFmtId="41" fontId="31" fillId="0" borderId="25" xfId="9" applyFont="1" applyBorder="1" applyAlignment="1">
      <alignment horizontal="center" vertical="center"/>
    </xf>
    <xf numFmtId="41" fontId="31" fillId="0" borderId="10" xfId="9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 wrapText="1"/>
    </xf>
    <xf numFmtId="0" fontId="28" fillId="0" borderId="25" xfId="7" applyFont="1" applyBorder="1" applyAlignment="1">
      <alignment horizontal="center" vertical="center" wrapText="1"/>
    </xf>
    <xf numFmtId="0" fontId="28" fillId="0" borderId="10" xfId="7" applyFont="1" applyBorder="1" applyAlignment="1">
      <alignment horizontal="center" vertical="center" wrapText="1"/>
    </xf>
    <xf numFmtId="0" fontId="29" fillId="0" borderId="42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0" fontId="33" fillId="0" borderId="47" xfId="7" applyFont="1" applyBorder="1" applyAlignment="1">
      <alignment horizontal="center" vertical="center"/>
    </xf>
    <xf numFmtId="0" fontId="33" fillId="0" borderId="18" xfId="8" applyFont="1" applyBorder="1" applyAlignment="1">
      <alignment horizontal="center" vertical="center" wrapText="1"/>
    </xf>
    <xf numFmtId="0" fontId="33" fillId="0" borderId="48" xfId="8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0" borderId="54" xfId="7" applyFont="1" applyBorder="1" applyAlignment="1">
      <alignment horizontal="center" vertical="center" wrapText="1"/>
    </xf>
    <xf numFmtId="0" fontId="33" fillId="0" borderId="40" xfId="7" applyFont="1" applyBorder="1" applyAlignment="1">
      <alignment horizontal="center" vertical="center"/>
    </xf>
    <xf numFmtId="0" fontId="33" fillId="0" borderId="49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54924;&#44228;&#50629;&#47924;/&#44536;&#47353;&#54856;2&#52264;&#52628;&#44221;/2&#52264;%20&#52628;&#44221;%20&#52572;&#51333;&#54200;(&#51228;&#52636;&#5085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세입세출총괄표"/>
      <sheetName val="세출(수정)"/>
      <sheetName val="증감사유 수정"/>
      <sheetName val="세입(수정)"/>
    </sheetNames>
    <sheetDataSet>
      <sheetData sheetId="0"/>
      <sheetData sheetId="1"/>
      <sheetData sheetId="2">
        <row r="6">
          <cell r="AD6">
            <v>39779400</v>
          </cell>
        </row>
        <row r="63">
          <cell r="AD63">
            <v>0</v>
          </cell>
        </row>
        <row r="115">
          <cell r="AD115">
            <v>11613095</v>
          </cell>
        </row>
        <row r="128">
          <cell r="AD128">
            <v>186000</v>
          </cell>
        </row>
        <row r="131">
          <cell r="AD131">
            <v>237082</v>
          </cell>
        </row>
        <row r="135">
          <cell r="AD135">
            <v>86720</v>
          </cell>
        </row>
        <row r="139">
          <cell r="AD139">
            <v>3542443</v>
          </cell>
        </row>
        <row r="169">
          <cell r="AD169">
            <v>136566</v>
          </cell>
        </row>
      </sheetData>
      <sheetData sheetId="3"/>
      <sheetData sheetId="4">
        <row r="5">
          <cell r="AC5">
            <v>8120082</v>
          </cell>
        </row>
        <row r="12">
          <cell r="AC12">
            <v>3375000</v>
          </cell>
        </row>
        <row r="17">
          <cell r="AC17">
            <v>46750000</v>
          </cell>
        </row>
        <row r="23">
          <cell r="AC23">
            <v>3791100</v>
          </cell>
        </row>
        <row r="33">
          <cell r="AC33">
            <v>316000</v>
          </cell>
        </row>
        <row r="38">
          <cell r="AC38">
            <v>0</v>
          </cell>
        </row>
        <row r="44">
          <cell r="AC44">
            <v>721432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세입세출총괄표"/>
      <sheetName val="세출(수정)"/>
      <sheetName val="증감사유 수정"/>
      <sheetName val="세입(수정)"/>
    </sheetNames>
    <sheetDataSet>
      <sheetData sheetId="0"/>
      <sheetData sheetId="1"/>
      <sheetData sheetId="2">
        <row r="6">
          <cell r="AD6">
            <v>39779400</v>
          </cell>
        </row>
        <row r="60">
          <cell r="AD60">
            <v>200000</v>
          </cell>
        </row>
        <row r="72">
          <cell r="AD72">
            <v>6561100</v>
          </cell>
        </row>
        <row r="106">
          <cell r="AD106">
            <v>128000</v>
          </cell>
        </row>
        <row r="115">
          <cell r="AD115">
            <v>11613095</v>
          </cell>
        </row>
        <row r="123">
          <cell r="AD123">
            <v>803208</v>
          </cell>
        </row>
        <row r="128">
          <cell r="AD128">
            <v>186000</v>
          </cell>
        </row>
        <row r="131">
          <cell r="AD131">
            <v>237082</v>
          </cell>
        </row>
        <row r="135">
          <cell r="AD135">
            <v>86720</v>
          </cell>
        </row>
        <row r="139">
          <cell r="AD139">
            <v>3542443</v>
          </cell>
        </row>
      </sheetData>
      <sheetData sheetId="3"/>
      <sheetData sheetId="4">
        <row r="5">
          <cell r="AC5">
            <v>8120082</v>
          </cell>
        </row>
        <row r="23">
          <cell r="AC23">
            <v>3791100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4"/>
  <sheetViews>
    <sheetView workbookViewId="0">
      <selection activeCell="J16" sqref="J16"/>
    </sheetView>
  </sheetViews>
  <sheetFormatPr defaultRowHeight="16.5"/>
  <cols>
    <col min="1" max="1" width="1.33203125" style="155" customWidth="1"/>
    <col min="2" max="2" width="11.5546875" style="155" hidden="1" customWidth="1"/>
    <col min="3" max="3" width="13.33203125" style="155" bestFit="1" customWidth="1"/>
    <col min="4" max="4" width="15.44140625" style="155" bestFit="1" customWidth="1"/>
    <col min="5" max="5" width="14.88671875" style="155" customWidth="1"/>
    <col min="6" max="6" width="14.44140625" style="155" customWidth="1"/>
    <col min="7" max="7" width="12.44140625" style="155" customWidth="1"/>
    <col min="8" max="8" width="11.33203125" style="155" customWidth="1"/>
    <col min="9" max="9" width="14.6640625" style="155" customWidth="1"/>
    <col min="10" max="10" width="13.5546875" style="155" customWidth="1"/>
    <col min="11" max="11" width="16.6640625" style="155" customWidth="1"/>
    <col min="12" max="12" width="11.5546875" style="155" customWidth="1"/>
    <col min="13" max="16384" width="8.88671875" style="155"/>
  </cols>
  <sheetData>
    <row r="1" spans="2:13" ht="9.9499999999999993" customHeight="1"/>
    <row r="2" spans="2:13" ht="26.25">
      <c r="B2" s="236"/>
      <c r="C2" s="156" t="s">
        <v>208</v>
      </c>
      <c r="D2" s="236"/>
      <c r="E2" s="236"/>
      <c r="F2" s="236"/>
      <c r="G2" s="236"/>
      <c r="H2" s="236"/>
      <c r="I2" s="236"/>
      <c r="J2" s="236"/>
      <c r="K2" s="236"/>
      <c r="L2" s="157" t="s">
        <v>209</v>
      </c>
      <c r="M2" s="236"/>
    </row>
    <row r="3" spans="2:13" ht="9.9499999999999993" customHeight="1" thickBot="1"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</row>
    <row r="4" spans="2:13" ht="30" customHeight="1">
      <c r="B4" s="236"/>
      <c r="C4" s="356" t="s">
        <v>210</v>
      </c>
      <c r="D4" s="357"/>
      <c r="E4" s="357"/>
      <c r="F4" s="357"/>
      <c r="G4" s="358"/>
      <c r="H4" s="356" t="s">
        <v>211</v>
      </c>
      <c r="I4" s="357"/>
      <c r="J4" s="357"/>
      <c r="K4" s="357"/>
      <c r="L4" s="359"/>
      <c r="M4" s="236"/>
    </row>
    <row r="5" spans="2:13" ht="16.5" customHeight="1">
      <c r="B5" s="236"/>
      <c r="C5" s="360" t="s">
        <v>212</v>
      </c>
      <c r="D5" s="361"/>
      <c r="E5" s="354" t="s">
        <v>359</v>
      </c>
      <c r="F5" s="354" t="s">
        <v>360</v>
      </c>
      <c r="G5" s="364" t="s">
        <v>213</v>
      </c>
      <c r="H5" s="360" t="s">
        <v>212</v>
      </c>
      <c r="I5" s="361"/>
      <c r="J5" s="354" t="s">
        <v>361</v>
      </c>
      <c r="K5" s="354" t="s">
        <v>360</v>
      </c>
      <c r="L5" s="366" t="s">
        <v>213</v>
      </c>
      <c r="M5" s="236"/>
    </row>
    <row r="6" spans="2:13" ht="22.5" customHeight="1" thickBot="1">
      <c r="B6" s="236"/>
      <c r="C6" s="362"/>
      <c r="D6" s="363"/>
      <c r="E6" s="355"/>
      <c r="F6" s="355"/>
      <c r="G6" s="365"/>
      <c r="H6" s="362"/>
      <c r="I6" s="363"/>
      <c r="J6" s="355"/>
      <c r="K6" s="355"/>
      <c r="L6" s="367"/>
      <c r="M6" s="236"/>
    </row>
    <row r="7" spans="2:13" ht="24.95" customHeight="1" thickTop="1">
      <c r="B7" s="236"/>
      <c r="C7" s="377" t="s">
        <v>214</v>
      </c>
      <c r="D7" s="378"/>
      <c r="E7" s="158">
        <f>SUM(E8:E16)</f>
        <v>63073614</v>
      </c>
      <c r="F7" s="158">
        <f>SUM(F8:F16)</f>
        <v>58870484</v>
      </c>
      <c r="G7" s="159">
        <f>SUM(G8:G16)</f>
        <v>-4203130</v>
      </c>
      <c r="H7" s="377" t="s">
        <v>214</v>
      </c>
      <c r="I7" s="378"/>
      <c r="J7" s="158">
        <f>SUM(J8:J23)</f>
        <v>63073614</v>
      </c>
      <c r="K7" s="158">
        <f>SUM(K8:K23)</f>
        <v>58870484</v>
      </c>
      <c r="L7" s="160">
        <f>SUM(L8:L23)</f>
        <v>-4203130</v>
      </c>
      <c r="M7" s="236"/>
    </row>
    <row r="8" spans="2:13" ht="24.95" customHeight="1">
      <c r="B8" s="236"/>
      <c r="C8" s="237" t="s">
        <v>215</v>
      </c>
      <c r="D8" s="238" t="s">
        <v>216</v>
      </c>
      <c r="E8" s="161">
        <f>'[1]세입(수정)'!$AC$5</f>
        <v>8120082</v>
      </c>
      <c r="F8" s="161">
        <f>세입!AB5</f>
        <v>7200000</v>
      </c>
      <c r="G8" s="162">
        <f>F8-E8</f>
        <v>-920082</v>
      </c>
      <c r="H8" s="379" t="s">
        <v>217</v>
      </c>
      <c r="I8" s="238" t="s">
        <v>218</v>
      </c>
      <c r="J8" s="161">
        <f>'[2]세출(수정)'!$AD$6-200000</f>
        <v>39579400</v>
      </c>
      <c r="K8" s="161">
        <f>세출!AC6</f>
        <v>34268640</v>
      </c>
      <c r="L8" s="163">
        <f>K8-J8</f>
        <v>-5310760</v>
      </c>
      <c r="M8" s="236"/>
    </row>
    <row r="9" spans="2:13" ht="24.95" customHeight="1">
      <c r="B9" s="236"/>
      <c r="C9" s="381" t="s">
        <v>219</v>
      </c>
      <c r="D9" s="318" t="s">
        <v>368</v>
      </c>
      <c r="E9" s="161">
        <f>'[1]세입(수정)'!$AC$12</f>
        <v>3375000</v>
      </c>
      <c r="F9" s="161">
        <f>세입!AB9</f>
        <v>3475000</v>
      </c>
      <c r="G9" s="162">
        <f t="shared" ref="G9:G16" si="0">F9-E9</f>
        <v>100000</v>
      </c>
      <c r="H9" s="380"/>
      <c r="I9" s="238" t="s">
        <v>220</v>
      </c>
      <c r="J9" s="161">
        <f>'[2]세출(수정)'!$AD$60</f>
        <v>200000</v>
      </c>
      <c r="K9" s="161">
        <v>0</v>
      </c>
      <c r="L9" s="163">
        <f>K9-J9</f>
        <v>-200000</v>
      </c>
      <c r="M9" s="236"/>
    </row>
    <row r="10" spans="2:13" ht="24.95" customHeight="1">
      <c r="B10" s="236"/>
      <c r="C10" s="381"/>
      <c r="D10" s="318" t="s">
        <v>369</v>
      </c>
      <c r="E10" s="161">
        <f>'[1]세입(수정)'!$AC$17</f>
        <v>46750000</v>
      </c>
      <c r="F10" s="161">
        <f>세입!AB14</f>
        <v>46850000</v>
      </c>
      <c r="G10" s="162">
        <f t="shared" si="0"/>
        <v>100000</v>
      </c>
      <c r="H10" s="380"/>
      <c r="I10" s="238" t="s">
        <v>221</v>
      </c>
      <c r="J10" s="161">
        <v>0</v>
      </c>
      <c r="K10" s="161">
        <f>세출!AC39</f>
        <v>140000</v>
      </c>
      <c r="L10" s="163">
        <f t="shared" ref="L10:L22" si="1">K10-J10</f>
        <v>140000</v>
      </c>
      <c r="M10" s="236"/>
    </row>
    <row r="11" spans="2:13" ht="24.95" customHeight="1">
      <c r="B11" s="236"/>
      <c r="C11" s="381"/>
      <c r="D11" s="238" t="s">
        <v>222</v>
      </c>
      <c r="E11" s="161">
        <v>0</v>
      </c>
      <c r="F11" s="161">
        <v>0</v>
      </c>
      <c r="G11" s="162">
        <f t="shared" si="0"/>
        <v>0</v>
      </c>
      <c r="H11" s="377"/>
      <c r="I11" s="238" t="s">
        <v>223</v>
      </c>
      <c r="J11" s="161">
        <f>'[2]세출(수정)'!$AD$72</f>
        <v>6561100</v>
      </c>
      <c r="K11" s="161">
        <f>세출!AC48</f>
        <v>4565364</v>
      </c>
      <c r="L11" s="163">
        <f t="shared" si="1"/>
        <v>-1995736</v>
      </c>
      <c r="M11" s="236"/>
    </row>
    <row r="12" spans="2:13" ht="24.95" customHeight="1">
      <c r="B12" s="236"/>
      <c r="C12" s="381" t="s">
        <v>224</v>
      </c>
      <c r="D12" s="238" t="s">
        <v>225</v>
      </c>
      <c r="E12" s="161">
        <v>0</v>
      </c>
      <c r="F12" s="161">
        <v>0</v>
      </c>
      <c r="G12" s="162">
        <f>F12-E12</f>
        <v>0</v>
      </c>
      <c r="H12" s="379" t="s">
        <v>226</v>
      </c>
      <c r="I12" s="238" t="s">
        <v>227</v>
      </c>
      <c r="J12" s="161">
        <v>0</v>
      </c>
      <c r="K12" s="161">
        <v>0</v>
      </c>
      <c r="L12" s="163">
        <f t="shared" si="1"/>
        <v>0</v>
      </c>
      <c r="M12" s="236"/>
    </row>
    <row r="13" spans="2:13" ht="24.95" customHeight="1">
      <c r="B13" s="236"/>
      <c r="C13" s="381"/>
      <c r="D13" s="238" t="s">
        <v>228</v>
      </c>
      <c r="E13" s="161">
        <f>'[1]세입(수정)'!$AC$33</f>
        <v>316000</v>
      </c>
      <c r="F13" s="161">
        <v>300000</v>
      </c>
      <c r="G13" s="162">
        <f t="shared" si="0"/>
        <v>-16000</v>
      </c>
      <c r="H13" s="380"/>
      <c r="I13" s="238" t="s">
        <v>229</v>
      </c>
      <c r="J13" s="161">
        <f>'[2]세출(수정)'!$AD$106</f>
        <v>128000</v>
      </c>
      <c r="K13" s="161">
        <f>세출!AC81</f>
        <v>750000</v>
      </c>
      <c r="L13" s="163">
        <f t="shared" si="1"/>
        <v>622000</v>
      </c>
      <c r="M13" s="236"/>
    </row>
    <row r="14" spans="2:13" ht="24.95" customHeight="1">
      <c r="B14" s="236"/>
      <c r="C14" s="237" t="s">
        <v>230</v>
      </c>
      <c r="D14" s="238" t="s">
        <v>231</v>
      </c>
      <c r="E14" s="241">
        <f>'[1]세입(수정)'!$AC$23</f>
        <v>3791100</v>
      </c>
      <c r="F14" s="241">
        <v>0</v>
      </c>
      <c r="G14" s="162">
        <f t="shared" si="0"/>
        <v>-3791100</v>
      </c>
      <c r="H14" s="377"/>
      <c r="I14" s="238" t="s">
        <v>232</v>
      </c>
      <c r="J14" s="161">
        <v>0</v>
      </c>
      <c r="K14" s="161">
        <f>세출!AC84</f>
        <v>1200000</v>
      </c>
      <c r="L14" s="163">
        <f t="shared" si="1"/>
        <v>1200000</v>
      </c>
      <c r="M14" s="236"/>
    </row>
    <row r="15" spans="2:13" ht="24.95" customHeight="1">
      <c r="B15" s="236"/>
      <c r="C15" s="237" t="s">
        <v>233</v>
      </c>
      <c r="D15" s="238" t="s">
        <v>234</v>
      </c>
      <c r="E15" s="161">
        <v>0</v>
      </c>
      <c r="F15" s="161">
        <f>세입!AB34</f>
        <v>1034484</v>
      </c>
      <c r="G15" s="162">
        <f t="shared" si="0"/>
        <v>1034484</v>
      </c>
      <c r="H15" s="379" t="s">
        <v>235</v>
      </c>
      <c r="I15" s="238" t="s">
        <v>236</v>
      </c>
      <c r="J15" s="161">
        <f>'[2]세출(수정)'!$AD$115</f>
        <v>11613095</v>
      </c>
      <c r="K15" s="161">
        <f>세출!AC89</f>
        <v>10190000</v>
      </c>
      <c r="L15" s="163">
        <f t="shared" si="1"/>
        <v>-1423095</v>
      </c>
      <c r="M15" s="236"/>
    </row>
    <row r="16" spans="2:13" ht="24.95" customHeight="1">
      <c r="B16" s="236"/>
      <c r="C16" s="237" t="s">
        <v>237</v>
      </c>
      <c r="D16" s="238" t="s">
        <v>238</v>
      </c>
      <c r="E16" s="161">
        <f>'[1]세입(수정)'!$AC$44</f>
        <v>721432</v>
      </c>
      <c r="F16" s="161">
        <f>세입!E41*1000</f>
        <v>11000</v>
      </c>
      <c r="G16" s="162">
        <f t="shared" si="0"/>
        <v>-710432</v>
      </c>
      <c r="H16" s="380"/>
      <c r="I16" s="238" t="s">
        <v>239</v>
      </c>
      <c r="J16" s="161">
        <f>'[2]세출(수정)'!$AD$123</f>
        <v>803208</v>
      </c>
      <c r="K16" s="161">
        <f>세출!AC95</f>
        <v>702000</v>
      </c>
      <c r="L16" s="163">
        <f t="shared" si="1"/>
        <v>-101208</v>
      </c>
      <c r="M16" s="236"/>
    </row>
    <row r="17" spans="2:13" ht="24.95" customHeight="1">
      <c r="B17" s="236"/>
      <c r="C17" s="368"/>
      <c r="D17" s="369"/>
      <c r="E17" s="369"/>
      <c r="F17" s="369"/>
      <c r="G17" s="370"/>
      <c r="H17" s="380"/>
      <c r="I17" s="238" t="s">
        <v>240</v>
      </c>
      <c r="J17" s="161">
        <f>'[2]세출(수정)'!$AD$128</f>
        <v>186000</v>
      </c>
      <c r="K17" s="161">
        <f>세출!AC98</f>
        <v>200000</v>
      </c>
      <c r="L17" s="163">
        <f t="shared" si="1"/>
        <v>14000</v>
      </c>
      <c r="M17" s="236"/>
    </row>
    <row r="18" spans="2:13" ht="24.95" customHeight="1">
      <c r="B18" s="236"/>
      <c r="C18" s="371"/>
      <c r="D18" s="372"/>
      <c r="E18" s="372"/>
      <c r="F18" s="372"/>
      <c r="G18" s="373"/>
      <c r="H18" s="380"/>
      <c r="I18" s="238" t="s">
        <v>241</v>
      </c>
      <c r="J18" s="161">
        <f>'[2]세출(수정)'!$AD$131</f>
        <v>237082</v>
      </c>
      <c r="K18" s="161">
        <f>세출!AC101</f>
        <v>260000</v>
      </c>
      <c r="L18" s="163">
        <f t="shared" si="1"/>
        <v>22918</v>
      </c>
      <c r="M18" s="236"/>
    </row>
    <row r="19" spans="2:13" ht="24.95" customHeight="1">
      <c r="B19" s="236"/>
      <c r="C19" s="371"/>
      <c r="D19" s="372"/>
      <c r="E19" s="372"/>
      <c r="F19" s="372"/>
      <c r="G19" s="373"/>
      <c r="H19" s="380"/>
      <c r="I19" s="238" t="s">
        <v>242</v>
      </c>
      <c r="J19" s="161">
        <f>'[2]세출(수정)'!$AD$135</f>
        <v>86720</v>
      </c>
      <c r="K19" s="161">
        <f>세출!AC105</f>
        <v>120000</v>
      </c>
      <c r="L19" s="163">
        <f t="shared" si="1"/>
        <v>33280</v>
      </c>
      <c r="M19" s="236"/>
    </row>
    <row r="20" spans="2:13" ht="24.95" customHeight="1">
      <c r="B20" s="236"/>
      <c r="C20" s="371"/>
      <c r="D20" s="372"/>
      <c r="E20" s="372"/>
      <c r="F20" s="372"/>
      <c r="G20" s="373"/>
      <c r="H20" s="377"/>
      <c r="I20" s="238" t="s">
        <v>243</v>
      </c>
      <c r="J20" s="161">
        <f>'[2]세출(수정)'!$AD$139</f>
        <v>3542443</v>
      </c>
      <c r="K20" s="161">
        <f>세출!AC108</f>
        <v>6340000</v>
      </c>
      <c r="L20" s="163">
        <f t="shared" si="1"/>
        <v>2797557</v>
      </c>
      <c r="M20" s="236"/>
    </row>
    <row r="21" spans="2:13" ht="24.95" customHeight="1">
      <c r="B21" s="236"/>
      <c r="C21" s="371"/>
      <c r="D21" s="372"/>
      <c r="E21" s="372"/>
      <c r="F21" s="372"/>
      <c r="G21" s="373"/>
      <c r="H21" s="237" t="s">
        <v>244</v>
      </c>
      <c r="I21" s="238" t="s">
        <v>245</v>
      </c>
      <c r="J21" s="161">
        <f>'[1]세출(수정)'!$AD$169</f>
        <v>136566</v>
      </c>
      <c r="K21" s="161">
        <f>세출!AC142</f>
        <v>134480</v>
      </c>
      <c r="L21" s="163">
        <f t="shared" si="1"/>
        <v>-2086</v>
      </c>
      <c r="M21" s="236"/>
    </row>
    <row r="22" spans="2:13" ht="24.95" customHeight="1">
      <c r="B22" s="236"/>
      <c r="C22" s="371"/>
      <c r="D22" s="372"/>
      <c r="E22" s="372"/>
      <c r="F22" s="372"/>
      <c r="G22" s="373"/>
      <c r="H22" s="237" t="s">
        <v>246</v>
      </c>
      <c r="I22" s="238" t="s">
        <v>247</v>
      </c>
      <c r="J22" s="161">
        <v>0</v>
      </c>
      <c r="K22" s="161">
        <v>0</v>
      </c>
      <c r="L22" s="163">
        <f t="shared" si="1"/>
        <v>0</v>
      </c>
      <c r="M22" s="236"/>
    </row>
    <row r="23" spans="2:13" ht="17.25" thickBot="1">
      <c r="B23" s="236"/>
      <c r="C23" s="374"/>
      <c r="D23" s="375"/>
      <c r="E23" s="375"/>
      <c r="F23" s="375"/>
      <c r="G23" s="376"/>
      <c r="H23" s="239" t="s">
        <v>248</v>
      </c>
      <c r="I23" s="240" t="s">
        <v>249</v>
      </c>
      <c r="J23" s="164">
        <v>0</v>
      </c>
      <c r="K23" s="164">
        <v>0</v>
      </c>
      <c r="L23" s="165">
        <f>K23-J23</f>
        <v>0</v>
      </c>
      <c r="M23" s="236"/>
    </row>
    <row r="24" spans="2:13"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</row>
  </sheetData>
  <mergeCells count="18">
    <mergeCell ref="C17:G23"/>
    <mergeCell ref="C7:D7"/>
    <mergeCell ref="H7:I7"/>
    <mergeCell ref="H8:H11"/>
    <mergeCell ref="C9:C11"/>
    <mergeCell ref="C12:C13"/>
    <mergeCell ref="H12:H14"/>
    <mergeCell ref="H15:H20"/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56"/>
  <sheetViews>
    <sheetView showRowColHeaders="0" view="pageLayout" zoomScaleNormal="83" zoomScaleSheetLayoutView="85" workbookViewId="0">
      <selection activeCell="I15" sqref="I15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0" s="12" customFormat="1" ht="19.5" customHeight="1" thickBot="1">
      <c r="A1" s="389" t="s">
        <v>363</v>
      </c>
      <c r="B1" s="389"/>
      <c r="C1" s="389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0" s="3" customFormat="1" ht="27" customHeight="1">
      <c r="A2" s="390" t="s">
        <v>64</v>
      </c>
      <c r="B2" s="391"/>
      <c r="C2" s="391"/>
      <c r="D2" s="392" t="s">
        <v>353</v>
      </c>
      <c r="E2" s="394" t="s">
        <v>348</v>
      </c>
      <c r="F2" s="395"/>
      <c r="G2" s="395"/>
      <c r="H2" s="395"/>
      <c r="I2" s="395"/>
      <c r="J2" s="395"/>
      <c r="K2" s="385" t="s">
        <v>23</v>
      </c>
      <c r="L2" s="385"/>
      <c r="M2" s="385" t="s">
        <v>54</v>
      </c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6"/>
      <c r="AD2" s="9"/>
    </row>
    <row r="3" spans="1:30" s="3" customFormat="1" ht="45.75" customHeight="1" thickBot="1">
      <c r="A3" s="25" t="s">
        <v>1</v>
      </c>
      <c r="B3" s="26" t="s">
        <v>2</v>
      </c>
      <c r="C3" s="26" t="s">
        <v>3</v>
      </c>
      <c r="D3" s="393"/>
      <c r="E3" s="279" t="s">
        <v>121</v>
      </c>
      <c r="F3" s="279" t="s">
        <v>317</v>
      </c>
      <c r="G3" s="279" t="s">
        <v>156</v>
      </c>
      <c r="H3" s="279" t="s">
        <v>112</v>
      </c>
      <c r="I3" s="279" t="s">
        <v>255</v>
      </c>
      <c r="J3" s="279" t="s">
        <v>114</v>
      </c>
      <c r="K3" s="170" t="s">
        <v>122</v>
      </c>
      <c r="L3" s="27" t="s">
        <v>4</v>
      </c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8"/>
      <c r="AD3" s="9"/>
    </row>
    <row r="4" spans="1:30" s="3" customFormat="1" ht="19.5" customHeight="1">
      <c r="A4" s="396" t="s">
        <v>24</v>
      </c>
      <c r="B4" s="397"/>
      <c r="C4" s="398"/>
      <c r="D4" s="28">
        <v>63073</v>
      </c>
      <c r="E4" s="77">
        <f>(F4+G4+H4+I4+J4)</f>
        <v>58870.48</v>
      </c>
      <c r="F4" s="28">
        <f>F5+F7+F26+F34+F41</f>
        <v>48137.48</v>
      </c>
      <c r="G4" s="28">
        <f>G5+G7+G26+G34+G41</f>
        <v>2330</v>
      </c>
      <c r="H4" s="28">
        <f>H5+H7+H26+H34+H41</f>
        <v>7803</v>
      </c>
      <c r="I4" s="28">
        <f>I5+I7+I26+I31+I34+I41</f>
        <v>600</v>
      </c>
      <c r="J4" s="28">
        <f>J5+J7+J26+J34+J41</f>
        <v>0</v>
      </c>
      <c r="K4" s="29">
        <f>E4-D4</f>
        <v>-4202.5199999999968</v>
      </c>
      <c r="L4" s="42">
        <f>IF(D4=0,0,K4/D4)</f>
        <v>-6.6629461100629381E-2</v>
      </c>
      <c r="M4" s="30" t="s">
        <v>191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SUM(AB5,AB7,AB26,AB34,AB41,AB31)</f>
        <v>58870484</v>
      </c>
      <c r="AC4" s="33" t="s">
        <v>190</v>
      </c>
      <c r="AD4" s="9"/>
    </row>
    <row r="5" spans="1:30" ht="21" customHeight="1" thickBot="1">
      <c r="A5" s="39" t="s">
        <v>59</v>
      </c>
      <c r="B5" s="284" t="s">
        <v>59</v>
      </c>
      <c r="C5" s="278" t="s">
        <v>120</v>
      </c>
      <c r="D5" s="40">
        <f>'[2]세입(수정)'!$AC$5/1000</f>
        <v>8120.0820000000003</v>
      </c>
      <c r="E5" s="40">
        <f>SUM(F5:J5)</f>
        <v>7200</v>
      </c>
      <c r="F5" s="40">
        <v>0</v>
      </c>
      <c r="G5" s="40">
        <v>0</v>
      </c>
      <c r="H5" s="40">
        <f>AB5/1000</f>
        <v>7200</v>
      </c>
      <c r="I5" s="40"/>
      <c r="J5" s="40">
        <v>0</v>
      </c>
      <c r="K5" s="41">
        <f>E5-D5</f>
        <v>-920.08200000000033</v>
      </c>
      <c r="L5" s="42">
        <f>IF(D5=0,0,K5/D5)</f>
        <v>-0.11330944687504391</v>
      </c>
      <c r="M5" s="43" t="s">
        <v>314</v>
      </c>
      <c r="N5" s="166"/>
      <c r="O5" s="44"/>
      <c r="P5" s="44"/>
      <c r="Q5" s="44"/>
      <c r="R5" s="44"/>
      <c r="S5" s="44"/>
      <c r="T5" s="45"/>
      <c r="U5" s="45" t="s">
        <v>62</v>
      </c>
      <c r="V5" s="45"/>
      <c r="W5" s="45"/>
      <c r="X5" s="45"/>
      <c r="Y5" s="45"/>
      <c r="Z5" s="45"/>
      <c r="AA5" s="46"/>
      <c r="AB5" s="46">
        <f>AB6</f>
        <v>7200000</v>
      </c>
      <c r="AC5" s="47" t="s">
        <v>25</v>
      </c>
    </row>
    <row r="6" spans="1:30" ht="21" customHeight="1">
      <c r="A6" s="48" t="s">
        <v>60</v>
      </c>
      <c r="B6" s="285" t="s">
        <v>113</v>
      </c>
      <c r="C6" s="49" t="s">
        <v>113</v>
      </c>
      <c r="D6" s="50"/>
      <c r="E6" s="50"/>
      <c r="F6" s="50"/>
      <c r="G6" s="50"/>
      <c r="H6" s="50"/>
      <c r="I6" s="50"/>
      <c r="J6" s="50"/>
      <c r="K6" s="51"/>
      <c r="L6" s="37"/>
      <c r="M6" s="53" t="s">
        <v>315</v>
      </c>
      <c r="N6" s="54"/>
      <c r="O6" s="55"/>
      <c r="P6" s="55"/>
      <c r="Q6" s="282">
        <v>150000</v>
      </c>
      <c r="R6" s="282" t="s">
        <v>56</v>
      </c>
      <c r="S6" s="283" t="s">
        <v>57</v>
      </c>
      <c r="T6" s="282">
        <v>4</v>
      </c>
      <c r="U6" s="282" t="s">
        <v>55</v>
      </c>
      <c r="V6" s="283" t="s">
        <v>57</v>
      </c>
      <c r="W6" s="56">
        <v>12</v>
      </c>
      <c r="X6" s="211" t="s">
        <v>0</v>
      </c>
      <c r="Y6" s="211" t="s">
        <v>52</v>
      </c>
      <c r="Z6" s="211"/>
      <c r="AA6" s="282"/>
      <c r="AB6" s="282">
        <f>Q6*T6*W6</f>
        <v>7200000</v>
      </c>
      <c r="AC6" s="57" t="s">
        <v>56</v>
      </c>
    </row>
    <row r="7" spans="1:30" s="12" customFormat="1" ht="19.5" customHeight="1">
      <c r="A7" s="39" t="s">
        <v>30</v>
      </c>
      <c r="B7" s="382" t="s">
        <v>17</v>
      </c>
      <c r="C7" s="383"/>
      <c r="D7" s="196">
        <v>50125</v>
      </c>
      <c r="E7" s="196">
        <f>SUM(E9,E14)</f>
        <v>50325</v>
      </c>
      <c r="F7" s="196">
        <f>SUM(F9,F14)</f>
        <v>48125</v>
      </c>
      <c r="G7" s="196">
        <f>SUM(G9,G14)</f>
        <v>2200</v>
      </c>
      <c r="H7" s="196">
        <f t="shared" ref="H7:J7" si="0">H8</f>
        <v>0</v>
      </c>
      <c r="I7" s="196">
        <v>0</v>
      </c>
      <c r="J7" s="196">
        <f t="shared" si="0"/>
        <v>0</v>
      </c>
      <c r="K7" s="197">
        <f>E7-D7</f>
        <v>200</v>
      </c>
      <c r="L7" s="198">
        <f>IF(D7=0,0,K7/D7)</f>
        <v>3.9900249376558601E-3</v>
      </c>
      <c r="M7" s="60" t="s">
        <v>65</v>
      </c>
      <c r="N7" s="45"/>
      <c r="O7" s="61"/>
      <c r="P7" s="61"/>
      <c r="Q7" s="45"/>
      <c r="R7" s="45"/>
      <c r="S7" s="45"/>
      <c r="T7" s="45"/>
      <c r="U7" s="45"/>
      <c r="V7" s="62"/>
      <c r="W7" s="62"/>
      <c r="X7" s="62"/>
      <c r="Y7" s="62"/>
      <c r="Z7" s="62"/>
      <c r="AA7" s="62"/>
      <c r="AB7" s="45">
        <f>AB8</f>
        <v>50325000</v>
      </c>
      <c r="AC7" s="47" t="s">
        <v>25</v>
      </c>
      <c r="AD7" s="6"/>
    </row>
    <row r="8" spans="1:30" ht="21" customHeight="1" thickBot="1">
      <c r="A8" s="48"/>
      <c r="B8" s="189" t="s">
        <v>69</v>
      </c>
      <c r="C8" s="284" t="s">
        <v>67</v>
      </c>
      <c r="D8" s="40">
        <v>50125</v>
      </c>
      <c r="E8" s="40">
        <f>SUM(E9,E14)</f>
        <v>50325</v>
      </c>
      <c r="F8" s="40">
        <f>SUM(F9,F14)</f>
        <v>48125</v>
      </c>
      <c r="G8" s="40">
        <f>SUM(G9,G14)</f>
        <v>2200</v>
      </c>
      <c r="H8" s="40">
        <f t="shared" ref="H8:J8" si="1">H9</f>
        <v>0</v>
      </c>
      <c r="I8" s="196">
        <v>0</v>
      </c>
      <c r="J8" s="40">
        <f t="shared" si="1"/>
        <v>0</v>
      </c>
      <c r="K8" s="41">
        <f>E8-D8</f>
        <v>200</v>
      </c>
      <c r="L8" s="42">
        <f>IF(D8=0,0,K8/D8)</f>
        <v>3.9900249376558601E-3</v>
      </c>
      <c r="M8" s="64" t="s">
        <v>65</v>
      </c>
      <c r="N8" s="65"/>
      <c r="O8" s="66"/>
      <c r="P8" s="66"/>
      <c r="Q8" s="66"/>
      <c r="R8" s="66"/>
      <c r="S8" s="66"/>
      <c r="T8" s="67"/>
      <c r="U8" s="68" t="s">
        <v>68</v>
      </c>
      <c r="V8" s="68"/>
      <c r="W8" s="68"/>
      <c r="X8" s="68"/>
      <c r="Y8" s="68"/>
      <c r="Z8" s="68"/>
      <c r="AA8" s="69"/>
      <c r="AB8" s="69">
        <f>SUM(AB14,AB9)</f>
        <v>50325000</v>
      </c>
      <c r="AC8" s="70" t="s">
        <v>66</v>
      </c>
    </row>
    <row r="9" spans="1:30" ht="21" customHeight="1" thickBot="1">
      <c r="A9" s="48"/>
      <c r="B9" s="285"/>
      <c r="C9" s="399" t="s">
        <v>313</v>
      </c>
      <c r="D9" s="40">
        <v>3375</v>
      </c>
      <c r="E9" s="40">
        <f>AB9/1000</f>
        <v>3475</v>
      </c>
      <c r="F9" s="40">
        <f>(AB10)/1000</f>
        <v>3224</v>
      </c>
      <c r="G9" s="40">
        <f>SUM(AB11:AB12)/1000</f>
        <v>251</v>
      </c>
      <c r="H9" s="40">
        <v>0</v>
      </c>
      <c r="I9" s="40">
        <v>0</v>
      </c>
      <c r="J9" s="40">
        <v>0</v>
      </c>
      <c r="K9" s="41">
        <f>E9-D9</f>
        <v>100</v>
      </c>
      <c r="L9" s="42">
        <f>IF(D9=0,0,K9/D9)</f>
        <v>2.9629629629629631E-2</v>
      </c>
      <c r="M9" s="167" t="s">
        <v>384</v>
      </c>
      <c r="N9" s="90"/>
      <c r="O9" s="91"/>
      <c r="P9" s="91"/>
      <c r="Q9" s="91"/>
      <c r="R9" s="91"/>
      <c r="S9" s="91"/>
      <c r="T9" s="92"/>
      <c r="U9" s="93" t="s">
        <v>70</v>
      </c>
      <c r="V9" s="93"/>
      <c r="W9" s="93"/>
      <c r="X9" s="93"/>
      <c r="Y9" s="93"/>
      <c r="Z9" s="93"/>
      <c r="AA9" s="94"/>
      <c r="AB9" s="94">
        <f>SUM(AB10:AB12)</f>
        <v>3475000</v>
      </c>
      <c r="AC9" s="95" t="s">
        <v>25</v>
      </c>
    </row>
    <row r="10" spans="1:30" ht="21" customHeight="1">
      <c r="A10" s="48"/>
      <c r="B10" s="285"/>
      <c r="C10" s="400"/>
      <c r="D10" s="50"/>
      <c r="E10" s="50"/>
      <c r="F10" s="50"/>
      <c r="G10" s="50"/>
      <c r="H10" s="50"/>
      <c r="I10" s="50"/>
      <c r="J10" s="50"/>
      <c r="K10" s="290"/>
      <c r="L10" s="37"/>
      <c r="M10" s="214" t="s">
        <v>383</v>
      </c>
      <c r="N10" s="212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5"/>
      <c r="AB10" s="216">
        <v>3224000</v>
      </c>
      <c r="AC10" s="217" t="s">
        <v>56</v>
      </c>
    </row>
    <row r="11" spans="1:30" ht="21" customHeight="1">
      <c r="A11" s="48"/>
      <c r="B11" s="285"/>
      <c r="C11" s="285"/>
      <c r="D11" s="50"/>
      <c r="E11" s="50"/>
      <c r="F11" s="50"/>
      <c r="G11" s="50"/>
      <c r="H11" s="50"/>
      <c r="I11" s="50"/>
      <c r="J11" s="50"/>
      <c r="K11" s="290"/>
      <c r="L11" s="37"/>
      <c r="M11" s="214" t="s">
        <v>286</v>
      </c>
      <c r="N11" s="218"/>
      <c r="O11" s="219"/>
      <c r="P11" s="219"/>
      <c r="Q11" s="282"/>
      <c r="R11" s="282"/>
      <c r="S11" s="283"/>
      <c r="T11" s="282"/>
      <c r="U11" s="282"/>
      <c r="V11" s="283"/>
      <c r="W11" s="282"/>
      <c r="X11" s="282"/>
      <c r="Y11" s="282"/>
      <c r="Z11" s="282"/>
      <c r="AA11" s="77"/>
      <c r="AB11" s="77">
        <v>150000</v>
      </c>
      <c r="AC11" s="57" t="s">
        <v>56</v>
      </c>
    </row>
    <row r="12" spans="1:30" ht="21" customHeight="1">
      <c r="A12" s="48"/>
      <c r="B12" s="285"/>
      <c r="C12" s="285"/>
      <c r="D12" s="50"/>
      <c r="E12" s="50"/>
      <c r="F12" s="50"/>
      <c r="G12" s="50"/>
      <c r="H12" s="50"/>
      <c r="I12" s="50"/>
      <c r="J12" s="50"/>
      <c r="K12" s="290"/>
      <c r="L12" s="37"/>
      <c r="M12" s="214" t="s">
        <v>288</v>
      </c>
      <c r="N12" s="212"/>
      <c r="O12" s="213"/>
      <c r="P12" s="213"/>
      <c r="Q12" s="282">
        <v>8400</v>
      </c>
      <c r="R12" s="282" t="s">
        <v>56</v>
      </c>
      <c r="S12" s="283" t="s">
        <v>57</v>
      </c>
      <c r="T12" s="282">
        <v>1</v>
      </c>
      <c r="U12" s="282" t="s">
        <v>55</v>
      </c>
      <c r="V12" s="283" t="s">
        <v>57</v>
      </c>
      <c r="W12" s="282">
        <v>12</v>
      </c>
      <c r="X12" s="282" t="s">
        <v>0</v>
      </c>
      <c r="Y12" s="282" t="s">
        <v>52</v>
      </c>
      <c r="Z12" s="282"/>
      <c r="AA12" s="77"/>
      <c r="AB12" s="77">
        <f>SUM(Q12*T12*W12)+200</f>
        <v>101000</v>
      </c>
      <c r="AC12" s="57" t="s">
        <v>56</v>
      </c>
    </row>
    <row r="13" spans="1:30" ht="21" customHeight="1">
      <c r="A13" s="58"/>
      <c r="B13" s="59"/>
      <c r="C13" s="59"/>
      <c r="D13" s="71"/>
      <c r="E13" s="71"/>
      <c r="F13" s="71"/>
      <c r="G13" s="71"/>
      <c r="H13" s="71"/>
      <c r="I13" s="71"/>
      <c r="J13" s="71"/>
      <c r="K13" s="291"/>
      <c r="L13" s="286"/>
      <c r="M13" s="287"/>
      <c r="N13" s="288"/>
      <c r="O13" s="289"/>
      <c r="P13" s="289"/>
      <c r="Q13" s="280"/>
      <c r="R13" s="280"/>
      <c r="S13" s="281"/>
      <c r="T13" s="280"/>
      <c r="U13" s="280"/>
      <c r="V13" s="281"/>
      <c r="W13" s="280"/>
      <c r="X13" s="280"/>
      <c r="Y13" s="280"/>
      <c r="Z13" s="280"/>
      <c r="AA13" s="82"/>
      <c r="AB13" s="82"/>
      <c r="AC13" s="83"/>
    </row>
    <row r="14" spans="1:30" ht="21" customHeight="1" thickBot="1">
      <c r="A14" s="48"/>
      <c r="B14" s="285"/>
      <c r="C14" s="399" t="s">
        <v>318</v>
      </c>
      <c r="D14" s="50">
        <v>46750</v>
      </c>
      <c r="E14" s="40">
        <f>AB14/1000</f>
        <v>46850</v>
      </c>
      <c r="F14" s="50">
        <f>SUM(AB15,AB19:AB23)/1000</f>
        <v>44901</v>
      </c>
      <c r="G14" s="50">
        <f>SUM(AB16:AB18)/1000</f>
        <v>1949</v>
      </c>
      <c r="H14" s="40">
        <v>0</v>
      </c>
      <c r="I14" s="40">
        <v>0</v>
      </c>
      <c r="J14" s="40">
        <v>0</v>
      </c>
      <c r="K14" s="41">
        <f>E14-D14</f>
        <v>100</v>
      </c>
      <c r="L14" s="42">
        <f>IF(D14=0,0,K14/D14)</f>
        <v>2.1390374331550803E-3</v>
      </c>
      <c r="M14" s="167" t="s">
        <v>316</v>
      </c>
      <c r="N14" s="90"/>
      <c r="O14" s="91"/>
      <c r="P14" s="91"/>
      <c r="Q14" s="91"/>
      <c r="R14" s="91"/>
      <c r="S14" s="91"/>
      <c r="T14" s="92"/>
      <c r="U14" s="93" t="s">
        <v>68</v>
      </c>
      <c r="V14" s="93"/>
      <c r="W14" s="93"/>
      <c r="X14" s="93"/>
      <c r="Y14" s="93"/>
      <c r="Z14" s="93"/>
      <c r="AA14" s="94"/>
      <c r="AB14" s="94">
        <f>SUM(AB15:AB23)</f>
        <v>46850000</v>
      </c>
      <c r="AC14" s="95" t="s">
        <v>25</v>
      </c>
    </row>
    <row r="15" spans="1:30" ht="21" customHeight="1">
      <c r="A15" s="48"/>
      <c r="B15" s="285"/>
      <c r="C15" s="400"/>
      <c r="D15" s="50"/>
      <c r="E15" s="50"/>
      <c r="F15" s="50"/>
      <c r="G15" s="50"/>
      <c r="H15" s="50"/>
      <c r="I15" s="50"/>
      <c r="J15" s="50"/>
      <c r="K15" s="51"/>
      <c r="L15" s="37"/>
      <c r="M15" s="214" t="s">
        <v>356</v>
      </c>
      <c r="N15" s="212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5"/>
      <c r="AB15" s="216">
        <v>44901000</v>
      </c>
      <c r="AC15" s="217" t="s">
        <v>56</v>
      </c>
    </row>
    <row r="16" spans="1:30" ht="21" customHeight="1">
      <c r="A16" s="48"/>
      <c r="B16" s="285"/>
      <c r="C16" s="285"/>
      <c r="D16" s="50"/>
      <c r="E16" s="50"/>
      <c r="F16" s="50"/>
      <c r="G16" s="50"/>
      <c r="H16" s="50"/>
      <c r="I16" s="50"/>
      <c r="J16" s="50"/>
      <c r="K16" s="51"/>
      <c r="L16" s="37"/>
      <c r="M16" s="214" t="s">
        <v>285</v>
      </c>
      <c r="N16" s="218"/>
      <c r="O16" s="219"/>
      <c r="P16" s="219"/>
      <c r="Q16" s="282"/>
      <c r="R16" s="282"/>
      <c r="S16" s="283"/>
      <c r="T16" s="282"/>
      <c r="U16" s="282"/>
      <c r="V16" s="283"/>
      <c r="W16" s="282"/>
      <c r="X16" s="282"/>
      <c r="Y16" s="282"/>
      <c r="Z16" s="282"/>
      <c r="AA16" s="77"/>
      <c r="AB16" s="77">
        <v>850000</v>
      </c>
      <c r="AC16" s="57" t="s">
        <v>56</v>
      </c>
    </row>
    <row r="17" spans="1:31" ht="21" customHeight="1">
      <c r="A17" s="48"/>
      <c r="B17" s="285"/>
      <c r="C17" s="285"/>
      <c r="D17" s="50"/>
      <c r="E17" s="50"/>
      <c r="F17" s="50"/>
      <c r="G17" s="50"/>
      <c r="H17" s="50"/>
      <c r="I17" s="50"/>
      <c r="J17" s="50"/>
      <c r="K17" s="51"/>
      <c r="L17" s="37"/>
      <c r="M17" s="214" t="s">
        <v>302</v>
      </c>
      <c r="N17" s="218"/>
      <c r="O17" s="219"/>
      <c r="P17" s="219"/>
      <c r="Q17" s="282"/>
      <c r="R17" s="282"/>
      <c r="S17" s="283"/>
      <c r="T17" s="282"/>
      <c r="U17" s="282"/>
      <c r="V17" s="283"/>
      <c r="W17" s="282"/>
      <c r="X17" s="282"/>
      <c r="Y17" s="282"/>
      <c r="Z17" s="282"/>
      <c r="AA17" s="77"/>
      <c r="AB17" s="77">
        <v>0</v>
      </c>
      <c r="AC17" s="57" t="s">
        <v>56</v>
      </c>
    </row>
    <row r="18" spans="1:31" ht="21" customHeight="1">
      <c r="A18" s="48"/>
      <c r="B18" s="285"/>
      <c r="C18" s="285"/>
      <c r="D18" s="50"/>
      <c r="E18" s="50"/>
      <c r="F18" s="50"/>
      <c r="G18" s="50"/>
      <c r="H18" s="50"/>
      <c r="I18" s="50"/>
      <c r="J18" s="50"/>
      <c r="K18" s="51"/>
      <c r="L18" s="37"/>
      <c r="M18" s="214" t="s">
        <v>287</v>
      </c>
      <c r="N18" s="212"/>
      <c r="O18" s="213"/>
      <c r="P18" s="213"/>
      <c r="Q18" s="282">
        <v>91600</v>
      </c>
      <c r="R18" s="282" t="s">
        <v>56</v>
      </c>
      <c r="S18" s="283" t="s">
        <v>57</v>
      </c>
      <c r="T18" s="282">
        <v>1</v>
      </c>
      <c r="U18" s="282" t="s">
        <v>55</v>
      </c>
      <c r="V18" s="283" t="s">
        <v>57</v>
      </c>
      <c r="W18" s="282">
        <v>12</v>
      </c>
      <c r="X18" s="282" t="s">
        <v>0</v>
      </c>
      <c r="Y18" s="282" t="s">
        <v>52</v>
      </c>
      <c r="Z18" s="282"/>
      <c r="AA18" s="77"/>
      <c r="AB18" s="77">
        <f>SUM(Q18*T18*W18)-200</f>
        <v>1099000</v>
      </c>
      <c r="AC18" s="57" t="s">
        <v>56</v>
      </c>
    </row>
    <row r="19" spans="1:31" ht="9" customHeight="1">
      <c r="A19" s="48"/>
      <c r="B19" s="302"/>
      <c r="C19" s="302"/>
      <c r="D19" s="50"/>
      <c r="E19" s="50"/>
      <c r="F19" s="50"/>
      <c r="G19" s="50"/>
      <c r="H19" s="50"/>
      <c r="I19" s="50"/>
      <c r="J19" s="50"/>
      <c r="K19" s="51"/>
      <c r="L19" s="37"/>
      <c r="M19" s="304"/>
      <c r="N19" s="304"/>
      <c r="O19" s="303"/>
      <c r="P19" s="303"/>
      <c r="Q19" s="78"/>
      <c r="R19" s="79"/>
      <c r="S19" s="220"/>
      <c r="T19" s="84"/>
      <c r="U19" s="221"/>
      <c r="V19" s="222"/>
      <c r="W19" s="211"/>
      <c r="X19" s="211"/>
      <c r="Y19" s="211"/>
      <c r="Z19" s="303"/>
      <c r="AA19" s="77"/>
      <c r="AB19" s="77"/>
      <c r="AC19" s="57"/>
    </row>
    <row r="20" spans="1:31" ht="0.75" customHeight="1">
      <c r="A20" s="48"/>
      <c r="B20" s="302"/>
      <c r="C20" s="302"/>
      <c r="D20" s="50"/>
      <c r="E20" s="50"/>
      <c r="F20" s="50"/>
      <c r="G20" s="50"/>
      <c r="H20" s="50"/>
      <c r="I20" s="50"/>
      <c r="J20" s="50"/>
      <c r="K20" s="51"/>
      <c r="L20" s="37"/>
      <c r="M20" s="201"/>
      <c r="N20" s="304"/>
      <c r="O20" s="200"/>
      <c r="P20" s="200"/>
      <c r="Q20" s="78"/>
      <c r="R20" s="79"/>
      <c r="S20" s="220"/>
      <c r="T20" s="84"/>
      <c r="U20" s="221"/>
      <c r="V20" s="222"/>
      <c r="W20" s="211"/>
      <c r="X20" s="211"/>
      <c r="Y20" s="211"/>
      <c r="Z20" s="303"/>
      <c r="AA20" s="77"/>
      <c r="AB20" s="77"/>
      <c r="AC20" s="57"/>
    </row>
    <row r="21" spans="1:31" ht="9" hidden="1" customHeight="1">
      <c r="A21" s="48"/>
      <c r="B21" s="302"/>
      <c r="C21" s="302"/>
      <c r="D21" s="50"/>
      <c r="E21" s="50"/>
      <c r="F21" s="50"/>
      <c r="G21" s="50"/>
      <c r="H21" s="50"/>
      <c r="I21" s="50"/>
      <c r="J21" s="50"/>
      <c r="K21" s="51"/>
      <c r="L21" s="37"/>
      <c r="M21" s="304"/>
      <c r="N21" s="201"/>
      <c r="O21" s="200"/>
      <c r="P21" s="200"/>
      <c r="Q21" s="78"/>
      <c r="R21" s="79"/>
      <c r="S21" s="220"/>
      <c r="T21" s="84"/>
      <c r="U21" s="221"/>
      <c r="V21" s="222"/>
      <c r="W21" s="211"/>
      <c r="X21" s="211"/>
      <c r="Y21" s="211"/>
      <c r="Z21" s="303"/>
      <c r="AA21" s="77"/>
      <c r="AB21" s="77"/>
      <c r="AC21" s="57"/>
    </row>
    <row r="22" spans="1:31" ht="9" hidden="1" customHeight="1">
      <c r="A22" s="48"/>
      <c r="B22" s="302"/>
      <c r="C22" s="302"/>
      <c r="D22" s="50"/>
      <c r="E22" s="50"/>
      <c r="F22" s="50"/>
      <c r="G22" s="50"/>
      <c r="H22" s="50"/>
      <c r="I22" s="50"/>
      <c r="J22" s="50"/>
      <c r="K22" s="51"/>
      <c r="L22" s="37"/>
      <c r="M22" s="304"/>
      <c r="N22" s="201"/>
      <c r="O22" s="200"/>
      <c r="P22" s="200"/>
      <c r="Q22" s="78"/>
      <c r="R22" s="79"/>
      <c r="S22" s="220"/>
      <c r="T22" s="84"/>
      <c r="U22" s="221"/>
      <c r="V22" s="222"/>
      <c r="W22" s="211"/>
      <c r="X22" s="211"/>
      <c r="Y22" s="211"/>
      <c r="Z22" s="303"/>
      <c r="AA22" s="77"/>
      <c r="AB22" s="77"/>
      <c r="AC22" s="57"/>
    </row>
    <row r="23" spans="1:31" ht="9" hidden="1" customHeight="1">
      <c r="A23" s="48"/>
      <c r="B23" s="302"/>
      <c r="C23" s="302"/>
      <c r="D23" s="50"/>
      <c r="E23" s="50"/>
      <c r="F23" s="50"/>
      <c r="G23" s="50"/>
      <c r="H23" s="50"/>
      <c r="I23" s="50"/>
      <c r="J23" s="50"/>
      <c r="K23" s="51"/>
      <c r="L23" s="37"/>
      <c r="M23" s="304"/>
      <c r="N23" s="201"/>
      <c r="O23" s="200"/>
      <c r="P23" s="200"/>
      <c r="Q23" s="78"/>
      <c r="R23" s="79"/>
      <c r="S23" s="220"/>
      <c r="T23" s="84"/>
      <c r="U23" s="221"/>
      <c r="V23" s="222"/>
      <c r="W23" s="211"/>
      <c r="X23" s="211"/>
      <c r="Y23" s="211"/>
      <c r="Z23" s="303"/>
      <c r="AA23" s="77"/>
      <c r="AB23" s="77"/>
      <c r="AC23" s="57"/>
    </row>
    <row r="24" spans="1:31" ht="9" hidden="1" customHeight="1">
      <c r="A24" s="48"/>
      <c r="B24" s="302"/>
      <c r="C24" s="302"/>
      <c r="D24" s="50"/>
      <c r="E24" s="50"/>
      <c r="F24" s="50"/>
      <c r="G24" s="50"/>
      <c r="H24" s="50"/>
      <c r="I24" s="50"/>
      <c r="J24" s="50"/>
      <c r="K24" s="51"/>
      <c r="L24" s="37"/>
      <c r="M24" s="304"/>
    </row>
    <row r="25" spans="1:31" s="12" customFormat="1" ht="9" hidden="1" customHeight="1">
      <c r="A25" s="58"/>
      <c r="B25" s="59"/>
      <c r="C25" s="285"/>
      <c r="D25" s="50"/>
      <c r="E25" s="50"/>
      <c r="F25" s="50"/>
      <c r="G25" s="50"/>
      <c r="H25" s="50"/>
      <c r="I25" s="50"/>
      <c r="J25" s="50"/>
      <c r="K25" s="51"/>
      <c r="L25" s="80"/>
      <c r="M25" s="81"/>
      <c r="N25" s="280"/>
      <c r="O25" s="97"/>
      <c r="P25" s="97"/>
      <c r="Q25" s="280"/>
      <c r="R25" s="280"/>
      <c r="S25" s="280"/>
      <c r="T25" s="280"/>
      <c r="U25" s="280"/>
      <c r="V25" s="281"/>
      <c r="W25" s="281"/>
      <c r="X25" s="281"/>
      <c r="Y25" s="281"/>
      <c r="Z25" s="281"/>
      <c r="AA25" s="281"/>
      <c r="AB25" s="280"/>
      <c r="AC25" s="83"/>
      <c r="AD25" s="6"/>
    </row>
    <row r="26" spans="1:31" ht="21" customHeight="1" thickBot="1">
      <c r="A26" s="305" t="s">
        <v>75</v>
      </c>
      <c r="B26" s="311" t="s">
        <v>13</v>
      </c>
      <c r="C26" s="311" t="s">
        <v>117</v>
      </c>
      <c r="D26" s="350">
        <f>'[2]세입(수정)'!$AC$23/1000</f>
        <v>3791.1</v>
      </c>
      <c r="E26" s="350">
        <f>SUM(F26:J26)</f>
        <v>0</v>
      </c>
      <c r="F26" s="350">
        <v>0</v>
      </c>
      <c r="G26" s="350">
        <v>0</v>
      </c>
      <c r="H26" s="350">
        <v>0</v>
      </c>
      <c r="I26" s="350">
        <v>0</v>
      </c>
      <c r="J26" s="350">
        <f>AB26/1000</f>
        <v>0</v>
      </c>
      <c r="K26" s="351">
        <f>E26-D26</f>
        <v>-3791.1</v>
      </c>
      <c r="L26" s="352">
        <f>IF(D26=0,0,K26/D26)</f>
        <v>-1</v>
      </c>
      <c r="M26" s="43" t="s">
        <v>321</v>
      </c>
      <c r="N26" s="101"/>
      <c r="O26" s="36"/>
      <c r="P26" s="36"/>
      <c r="Q26" s="36"/>
      <c r="R26" s="36"/>
      <c r="S26" s="36"/>
      <c r="T26" s="36"/>
      <c r="U26" s="102" t="s">
        <v>70</v>
      </c>
      <c r="V26" s="102"/>
      <c r="W26" s="102"/>
      <c r="X26" s="102"/>
      <c r="Y26" s="102"/>
      <c r="Z26" s="102"/>
      <c r="AA26" s="103"/>
      <c r="AB26" s="103">
        <f>SUM(AB27:AB29)</f>
        <v>0</v>
      </c>
      <c r="AC26" s="104" t="s">
        <v>25</v>
      </c>
      <c r="AD26" s="23"/>
      <c r="AE26" s="24"/>
    </row>
    <row r="27" spans="1:31" ht="6.75" hidden="1" customHeight="1">
      <c r="A27" s="48"/>
      <c r="B27" s="285"/>
      <c r="C27" s="285"/>
      <c r="D27" s="50"/>
      <c r="E27" s="50"/>
      <c r="F27" s="50"/>
      <c r="G27" s="50"/>
      <c r="H27" s="50"/>
      <c r="I27" s="50"/>
      <c r="J27" s="50"/>
      <c r="K27" s="51"/>
      <c r="L27" s="35"/>
      <c r="M27" s="283"/>
      <c r="N27" s="283"/>
      <c r="O27" s="282"/>
      <c r="P27" s="282"/>
      <c r="Q27" s="78"/>
      <c r="R27" s="79"/>
      <c r="S27" s="220"/>
      <c r="T27" s="84"/>
      <c r="U27" s="221"/>
      <c r="V27" s="222"/>
      <c r="W27" s="211"/>
      <c r="X27" s="211"/>
      <c r="Y27" s="211"/>
      <c r="Z27" s="282"/>
      <c r="AA27" s="77"/>
      <c r="AB27" s="77"/>
      <c r="AC27" s="57"/>
      <c r="AD27" s="23"/>
      <c r="AE27" s="24"/>
    </row>
    <row r="28" spans="1:31" ht="21" hidden="1" customHeight="1">
      <c r="A28" s="48"/>
      <c r="B28" s="285"/>
      <c r="C28" s="285"/>
      <c r="D28" s="50"/>
      <c r="E28" s="50"/>
      <c r="F28" s="50"/>
      <c r="G28" s="50"/>
      <c r="H28" s="50"/>
      <c r="I28" s="50"/>
      <c r="J28" s="50"/>
      <c r="K28" s="51"/>
      <c r="L28" s="35"/>
      <c r="M28" s="201"/>
      <c r="N28" s="283"/>
      <c r="O28" s="200"/>
      <c r="P28" s="200"/>
      <c r="Q28" s="78"/>
      <c r="R28" s="79"/>
      <c r="S28" s="220"/>
      <c r="T28" s="84"/>
      <c r="U28" s="221"/>
      <c r="V28" s="222"/>
      <c r="W28" s="211"/>
      <c r="X28" s="211"/>
      <c r="Y28" s="211"/>
      <c r="Z28" s="282"/>
      <c r="AA28" s="77"/>
      <c r="AB28" s="77"/>
      <c r="AC28" s="57"/>
      <c r="AD28" s="23"/>
      <c r="AE28" s="24"/>
    </row>
    <row r="29" spans="1:31" ht="21" hidden="1" customHeight="1">
      <c r="A29" s="48"/>
      <c r="B29" s="285"/>
      <c r="C29" s="285"/>
      <c r="D29" s="50"/>
      <c r="E29" s="50"/>
      <c r="F29" s="50"/>
      <c r="G29" s="50"/>
      <c r="H29" s="50"/>
      <c r="I29" s="50"/>
      <c r="J29" s="50"/>
      <c r="K29" s="51"/>
      <c r="L29" s="35"/>
      <c r="M29" s="283"/>
      <c r="N29" s="201"/>
      <c r="O29" s="200"/>
      <c r="P29" s="200"/>
      <c r="Q29" s="78"/>
      <c r="R29" s="79"/>
      <c r="S29" s="220"/>
      <c r="T29" s="84"/>
      <c r="U29" s="221"/>
      <c r="V29" s="222"/>
      <c r="W29" s="211"/>
      <c r="X29" s="211"/>
      <c r="Y29" s="211"/>
      <c r="Z29" s="282"/>
      <c r="AA29" s="77"/>
      <c r="AB29" s="77"/>
      <c r="AC29" s="57"/>
      <c r="AD29" s="23"/>
      <c r="AE29" s="24"/>
    </row>
    <row r="30" spans="1:31" ht="21" hidden="1" customHeight="1">
      <c r="A30" s="48"/>
      <c r="B30" s="59"/>
      <c r="C30" s="59"/>
      <c r="D30" s="71"/>
      <c r="E30" s="71"/>
      <c r="F30" s="71"/>
      <c r="G30" s="71"/>
      <c r="H30" s="71"/>
      <c r="I30" s="71"/>
      <c r="J30" s="71"/>
      <c r="K30" s="51"/>
      <c r="L30" s="35"/>
      <c r="M30" s="283"/>
      <c r="N30" s="201"/>
      <c r="O30" s="200"/>
      <c r="P30" s="200"/>
      <c r="Q30" s="78"/>
      <c r="R30" s="79"/>
      <c r="S30" s="220"/>
      <c r="T30" s="84"/>
      <c r="U30" s="221"/>
      <c r="V30" s="222"/>
      <c r="W30" s="211"/>
      <c r="X30" s="211"/>
      <c r="Y30" s="211"/>
      <c r="Z30" s="282"/>
      <c r="AA30" s="77"/>
      <c r="AB30" s="77"/>
      <c r="AC30" s="57"/>
      <c r="AD30" s="23"/>
      <c r="AE30" s="24"/>
    </row>
    <row r="31" spans="1:31" s="4" customFormat="1" ht="21" customHeight="1" thickBot="1">
      <c r="A31" s="39" t="s">
        <v>255</v>
      </c>
      <c r="B31" s="285" t="s">
        <v>255</v>
      </c>
      <c r="C31" s="285" t="s">
        <v>256</v>
      </c>
      <c r="D31" s="50">
        <v>316</v>
      </c>
      <c r="E31" s="50">
        <f>I31</f>
        <v>300</v>
      </c>
      <c r="F31" s="50"/>
      <c r="G31" s="50"/>
      <c r="H31" s="50"/>
      <c r="I31" s="50">
        <f>AB32/1000</f>
        <v>300</v>
      </c>
      <c r="J31" s="50"/>
      <c r="K31" s="41">
        <f>E31-D31</f>
        <v>-16</v>
      </c>
      <c r="L31" s="42">
        <f>IF(D31=0,0,K31/D31)</f>
        <v>-5.0632911392405063E-2</v>
      </c>
      <c r="M31" s="43" t="s">
        <v>252</v>
      </c>
      <c r="N31" s="246"/>
      <c r="O31" s="200"/>
      <c r="P31" s="200"/>
      <c r="Q31" s="78"/>
      <c r="R31" s="79"/>
      <c r="S31" s="220"/>
      <c r="T31" s="84"/>
      <c r="U31" s="102" t="s">
        <v>68</v>
      </c>
      <c r="V31" s="102"/>
      <c r="W31" s="102"/>
      <c r="X31" s="102"/>
      <c r="Y31" s="102"/>
      <c r="Z31" s="102"/>
      <c r="AA31" s="103"/>
      <c r="AB31" s="103">
        <f>SUM(AB32:AB33)</f>
        <v>300000</v>
      </c>
      <c r="AC31" s="104" t="s">
        <v>25</v>
      </c>
      <c r="AD31" s="244"/>
      <c r="AE31" s="245"/>
    </row>
    <row r="32" spans="1:31" ht="21" customHeight="1">
      <c r="A32" s="48"/>
      <c r="B32" s="285"/>
      <c r="C32" s="285" t="s">
        <v>255</v>
      </c>
      <c r="D32" s="50"/>
      <c r="E32" s="50"/>
      <c r="F32" s="50"/>
      <c r="G32" s="50"/>
      <c r="H32" s="50"/>
      <c r="I32" s="50"/>
      <c r="J32" s="50"/>
      <c r="K32" s="51"/>
      <c r="L32" s="35"/>
      <c r="M32" s="283" t="s">
        <v>254</v>
      </c>
      <c r="N32" s="201"/>
      <c r="O32" s="200"/>
      <c r="P32" s="200"/>
      <c r="Q32" s="78"/>
      <c r="R32" s="79"/>
      <c r="S32" s="220"/>
      <c r="T32" s="84"/>
      <c r="U32" s="221"/>
      <c r="V32" s="222"/>
      <c r="W32" s="211"/>
      <c r="X32" s="211"/>
      <c r="Y32" s="211"/>
      <c r="Z32" s="282"/>
      <c r="AA32" s="77"/>
      <c r="AB32" s="77">
        <v>300000</v>
      </c>
      <c r="AC32" s="57" t="s">
        <v>251</v>
      </c>
      <c r="AD32" s="23"/>
      <c r="AE32" s="24"/>
    </row>
    <row r="33" spans="1:30" s="4" customFormat="1" ht="21" customHeight="1">
      <c r="A33" s="48"/>
      <c r="B33" s="285"/>
      <c r="C33" s="285"/>
      <c r="D33" s="50"/>
      <c r="E33" s="50"/>
      <c r="F33" s="50"/>
      <c r="G33" s="50"/>
      <c r="H33" s="50"/>
      <c r="I33" s="50"/>
      <c r="J33" s="50"/>
      <c r="K33" s="51"/>
      <c r="L33" s="80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105"/>
      <c r="AC33" s="57"/>
      <c r="AD33" s="7"/>
    </row>
    <row r="34" spans="1:30" ht="21" customHeight="1" thickBot="1">
      <c r="A34" s="39" t="s">
        <v>14</v>
      </c>
      <c r="B34" s="284" t="s">
        <v>14</v>
      </c>
      <c r="C34" s="284" t="s">
        <v>76</v>
      </c>
      <c r="D34" s="40">
        <v>0</v>
      </c>
      <c r="E34" s="40">
        <f>SUM(F34:J34)</f>
        <v>1034.48</v>
      </c>
      <c r="F34" s="40">
        <f>SUM(AB35,AB40)/1000</f>
        <v>4.4800000000000004</v>
      </c>
      <c r="G34" s="40">
        <f>AB39/1000</f>
        <v>130</v>
      </c>
      <c r="H34" s="40">
        <f>AB36/1000</f>
        <v>600</v>
      </c>
      <c r="I34" s="40">
        <f>AB38/1000</f>
        <v>300</v>
      </c>
      <c r="J34" s="40"/>
      <c r="K34" s="41">
        <f>E34-D34</f>
        <v>1034.48</v>
      </c>
      <c r="L34" s="42">
        <f>IF(D34=0,0,K34/D34)</f>
        <v>0</v>
      </c>
      <c r="M34" s="43" t="s">
        <v>253</v>
      </c>
      <c r="N34" s="101"/>
      <c r="O34" s="45"/>
      <c r="P34" s="45"/>
      <c r="Q34" s="45"/>
      <c r="R34" s="45"/>
      <c r="S34" s="45"/>
      <c r="T34" s="45"/>
      <c r="U34" s="102" t="s">
        <v>68</v>
      </c>
      <c r="V34" s="102"/>
      <c r="W34" s="102"/>
      <c r="X34" s="102"/>
      <c r="Y34" s="102"/>
      <c r="Z34" s="102"/>
      <c r="AA34" s="103"/>
      <c r="AB34" s="103">
        <f>SUM(AB35:AB40)</f>
        <v>1034484</v>
      </c>
      <c r="AC34" s="104" t="s">
        <v>25</v>
      </c>
    </row>
    <row r="35" spans="1:30" ht="21" customHeight="1">
      <c r="A35" s="48"/>
      <c r="B35" s="285"/>
      <c r="C35" s="285" t="s">
        <v>289</v>
      </c>
      <c r="D35" s="50"/>
      <c r="E35" s="50"/>
      <c r="F35" s="50"/>
      <c r="G35" s="50"/>
      <c r="H35" s="50"/>
      <c r="I35" s="50"/>
      <c r="J35" s="50"/>
      <c r="K35" s="51"/>
      <c r="L35" s="80"/>
      <c r="M35" s="76" t="s">
        <v>155</v>
      </c>
      <c r="N35" s="283"/>
      <c r="O35" s="282"/>
      <c r="P35" s="282"/>
      <c r="Q35" s="282"/>
      <c r="R35" s="282"/>
      <c r="S35" s="282"/>
      <c r="T35" s="282"/>
      <c r="U35" s="54"/>
      <c r="V35" s="54"/>
      <c r="W35" s="54"/>
      <c r="X35" s="282"/>
      <c r="Y35" s="282"/>
      <c r="Z35" s="303" t="s">
        <v>327</v>
      </c>
      <c r="AA35" s="77"/>
      <c r="AB35" s="77">
        <v>4480</v>
      </c>
      <c r="AC35" s="57" t="s">
        <v>152</v>
      </c>
    </row>
    <row r="36" spans="1:30" ht="21" customHeight="1">
      <c r="A36" s="48"/>
      <c r="B36" s="285"/>
      <c r="C36" s="285"/>
      <c r="D36" s="50"/>
      <c r="E36" s="50"/>
      <c r="F36" s="50"/>
      <c r="G36" s="50"/>
      <c r="H36" s="50"/>
      <c r="I36" s="50"/>
      <c r="J36" s="50"/>
      <c r="K36" s="51"/>
      <c r="L36" s="80"/>
      <c r="M36" s="76" t="s">
        <v>153</v>
      </c>
      <c r="N36" s="283"/>
      <c r="O36" s="282"/>
      <c r="P36" s="282"/>
      <c r="Q36" s="282"/>
      <c r="R36" s="353"/>
      <c r="S36" s="353"/>
      <c r="T36" s="353"/>
      <c r="U36" s="282"/>
      <c r="V36" s="282"/>
      <c r="W36" s="282"/>
      <c r="X36" s="282"/>
      <c r="Y36" s="282"/>
      <c r="Z36" s="303" t="s">
        <v>329</v>
      </c>
      <c r="AA36" s="282"/>
      <c r="AB36" s="282">
        <v>600000</v>
      </c>
      <c r="AC36" s="57" t="s">
        <v>152</v>
      </c>
    </row>
    <row r="37" spans="1:30" ht="21" customHeight="1">
      <c r="A37" s="48"/>
      <c r="B37" s="285"/>
      <c r="C37" s="285"/>
      <c r="D37" s="50"/>
      <c r="E37" s="50"/>
      <c r="F37" s="50"/>
      <c r="G37" s="50"/>
      <c r="H37" s="50"/>
      <c r="I37" s="50"/>
      <c r="J37" s="50"/>
      <c r="K37" s="51"/>
      <c r="L37" s="80"/>
      <c r="M37" s="76" t="s">
        <v>154</v>
      </c>
      <c r="N37" s="283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303" t="s">
        <v>358</v>
      </c>
      <c r="AA37" s="282"/>
      <c r="AB37" s="282">
        <v>4</v>
      </c>
      <c r="AC37" s="57" t="s">
        <v>152</v>
      </c>
    </row>
    <row r="38" spans="1:30" ht="21" customHeight="1">
      <c r="A38" s="48"/>
      <c r="B38" s="302"/>
      <c r="C38" s="302"/>
      <c r="D38" s="50"/>
      <c r="E38" s="50"/>
      <c r="F38" s="50"/>
      <c r="G38" s="50"/>
      <c r="H38" s="50"/>
      <c r="I38" s="50"/>
      <c r="J38" s="50"/>
      <c r="K38" s="51"/>
      <c r="L38" s="80"/>
      <c r="M38" s="76" t="s">
        <v>282</v>
      </c>
      <c r="N38" s="283"/>
      <c r="O38" s="282"/>
      <c r="P38" s="282"/>
      <c r="Q38" s="282"/>
      <c r="R38" s="36"/>
      <c r="S38" s="282"/>
      <c r="T38" s="282"/>
      <c r="U38" s="282"/>
      <c r="V38" s="282"/>
      <c r="W38" s="282"/>
      <c r="X38" s="282"/>
      <c r="Y38" s="282"/>
      <c r="Z38" s="303" t="s">
        <v>350</v>
      </c>
      <c r="AA38" s="282"/>
      <c r="AB38" s="282">
        <v>300000</v>
      </c>
      <c r="AC38" s="57" t="s">
        <v>56</v>
      </c>
    </row>
    <row r="39" spans="1:30" ht="21" customHeight="1">
      <c r="A39" s="48"/>
      <c r="B39" s="285"/>
      <c r="C39" s="285"/>
      <c r="D39" s="50"/>
      <c r="E39" s="50"/>
      <c r="F39" s="50"/>
      <c r="G39" s="50"/>
      <c r="H39" s="50"/>
      <c r="I39" s="50"/>
      <c r="J39" s="50"/>
      <c r="K39" s="51"/>
      <c r="L39" s="80"/>
      <c r="M39" s="76" t="s">
        <v>357</v>
      </c>
      <c r="N39" s="304"/>
      <c r="O39" s="303"/>
      <c r="P39" s="303"/>
      <c r="Q39" s="303"/>
      <c r="R39" s="36"/>
      <c r="S39" s="303"/>
      <c r="T39" s="303"/>
      <c r="U39" s="303"/>
      <c r="V39" s="303"/>
      <c r="W39" s="303"/>
      <c r="X39" s="303"/>
      <c r="Y39" s="303"/>
      <c r="Z39" s="303" t="s">
        <v>327</v>
      </c>
      <c r="AA39" s="303"/>
      <c r="AB39" s="303">
        <v>130000</v>
      </c>
      <c r="AC39" s="57" t="s">
        <v>56</v>
      </c>
    </row>
    <row r="40" spans="1:30" ht="21" customHeight="1">
      <c r="A40" s="48"/>
      <c r="B40" s="285"/>
      <c r="C40" s="285"/>
      <c r="D40" s="50"/>
      <c r="E40" s="50"/>
      <c r="F40" s="50"/>
      <c r="G40" s="50"/>
      <c r="H40" s="50"/>
      <c r="I40" s="50"/>
      <c r="J40" s="50"/>
      <c r="K40" s="51"/>
      <c r="L40" s="80"/>
      <c r="M40" s="76"/>
      <c r="N40" s="283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303"/>
      <c r="AA40" s="282"/>
      <c r="AB40" s="282"/>
      <c r="AC40" s="57"/>
    </row>
    <row r="41" spans="1:30" ht="21" customHeight="1">
      <c r="A41" s="39" t="s">
        <v>77</v>
      </c>
      <c r="B41" s="99" t="s">
        <v>16</v>
      </c>
      <c r="C41" s="99" t="s">
        <v>78</v>
      </c>
      <c r="D41" s="40">
        <v>551</v>
      </c>
      <c r="E41" s="40">
        <f>SUM(E42,E44)</f>
        <v>11</v>
      </c>
      <c r="F41" s="40">
        <f>SUM(F42,F44)</f>
        <v>8</v>
      </c>
      <c r="G41" s="40">
        <f>SUM(G42,G44)</f>
        <v>0</v>
      </c>
      <c r="H41" s="40">
        <f>SUM(H42,H44)</f>
        <v>3</v>
      </c>
      <c r="I41" s="40">
        <v>0</v>
      </c>
      <c r="J41" s="40">
        <f>SUM(J42,J44)</f>
        <v>0</v>
      </c>
      <c r="K41" s="41">
        <f>E41-D41</f>
        <v>-540</v>
      </c>
      <c r="L41" s="42">
        <f>IF(D41=0,0,K41/D41)</f>
        <v>-0.98003629764065336</v>
      </c>
      <c r="M41" s="60" t="s">
        <v>79</v>
      </c>
      <c r="N41" s="62"/>
      <c r="O41" s="45"/>
      <c r="P41" s="45"/>
      <c r="Q41" s="45"/>
      <c r="R41" s="45"/>
      <c r="S41" s="45"/>
      <c r="T41" s="45"/>
      <c r="U41" s="45" t="s">
        <v>115</v>
      </c>
      <c r="V41" s="45"/>
      <c r="W41" s="45"/>
      <c r="X41" s="45"/>
      <c r="Y41" s="45"/>
      <c r="Z41" s="45"/>
      <c r="AA41" s="46"/>
      <c r="AB41" s="46">
        <f>AB42+AB44</f>
        <v>11000</v>
      </c>
      <c r="AC41" s="47" t="s">
        <v>25</v>
      </c>
    </row>
    <row r="42" spans="1:30" ht="21" customHeight="1">
      <c r="A42" s="48"/>
      <c r="B42" s="108"/>
      <c r="C42" s="99" t="s">
        <v>354</v>
      </c>
      <c r="D42" s="40">
        <v>520</v>
      </c>
      <c r="E42" s="40">
        <f>SUM(F42:J42)</f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1">
        <f>E42-D42</f>
        <v>-520</v>
      </c>
      <c r="L42" s="42"/>
      <c r="M42" s="109" t="s">
        <v>81</v>
      </c>
      <c r="N42" s="203"/>
      <c r="O42" s="202"/>
      <c r="P42" s="202"/>
      <c r="Q42" s="202"/>
      <c r="R42" s="202"/>
      <c r="S42" s="202"/>
      <c r="T42" s="202"/>
      <c r="U42" s="202" t="s">
        <v>116</v>
      </c>
      <c r="V42" s="202"/>
      <c r="W42" s="202"/>
      <c r="X42" s="202"/>
      <c r="Y42" s="202"/>
      <c r="Z42" s="202"/>
      <c r="AA42" s="106"/>
      <c r="AB42" s="106">
        <v>0</v>
      </c>
      <c r="AC42" s="107" t="s">
        <v>80</v>
      </c>
    </row>
    <row r="43" spans="1:30" s="12" customFormat="1" ht="19.5" customHeight="1">
      <c r="A43" s="63"/>
      <c r="B43" s="110"/>
      <c r="C43" s="59"/>
      <c r="D43" s="71"/>
      <c r="E43" s="71"/>
      <c r="F43" s="71"/>
      <c r="G43" s="71"/>
      <c r="H43" s="71"/>
      <c r="I43" s="71"/>
      <c r="J43" s="71"/>
      <c r="K43" s="72"/>
      <c r="L43" s="96"/>
      <c r="M43" s="81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83"/>
      <c r="AD43" s="6"/>
    </row>
    <row r="44" spans="1:30" ht="21" customHeight="1">
      <c r="A44" s="48"/>
      <c r="B44" s="285"/>
      <c r="C44" s="285" t="s">
        <v>118</v>
      </c>
      <c r="D44" s="50">
        <v>31</v>
      </c>
      <c r="E44" s="40">
        <f>SUM(F44:J44)</f>
        <v>11</v>
      </c>
      <c r="F44" s="40">
        <v>8</v>
      </c>
      <c r="G44" s="40">
        <v>0</v>
      </c>
      <c r="H44" s="40">
        <v>3</v>
      </c>
      <c r="I44" s="40">
        <v>0</v>
      </c>
      <c r="J44" s="40">
        <v>0</v>
      </c>
      <c r="K44" s="51">
        <f>E44-D44</f>
        <v>-20</v>
      </c>
      <c r="L44" s="42">
        <f>IF(D44=0,0,K44/D44)</f>
        <v>-0.64516129032258063</v>
      </c>
      <c r="M44" s="111" t="s">
        <v>82</v>
      </c>
      <c r="N44" s="201"/>
      <c r="O44" s="200"/>
      <c r="P44" s="200"/>
      <c r="Q44" s="200"/>
      <c r="R44" s="200"/>
      <c r="S44" s="200"/>
      <c r="T44" s="200"/>
      <c r="U44" s="200" t="s">
        <v>116</v>
      </c>
      <c r="V44" s="200"/>
      <c r="W44" s="200"/>
      <c r="X44" s="200"/>
      <c r="Y44" s="200"/>
      <c r="Z44" s="200"/>
      <c r="AA44" s="52"/>
      <c r="AB44" s="52">
        <v>11000</v>
      </c>
      <c r="AC44" s="38" t="s">
        <v>25</v>
      </c>
    </row>
    <row r="45" spans="1:30" s="12" customFormat="1" ht="19.5" customHeight="1" thickBot="1">
      <c r="A45" s="298"/>
      <c r="B45" s="113"/>
      <c r="C45" s="114" t="s">
        <v>119</v>
      </c>
      <c r="D45" s="115"/>
      <c r="E45" s="115"/>
      <c r="F45" s="115"/>
      <c r="G45" s="115"/>
      <c r="H45" s="115"/>
      <c r="I45" s="115"/>
      <c r="J45" s="115"/>
      <c r="K45" s="116"/>
      <c r="L45" s="117"/>
      <c r="M45" s="73"/>
      <c r="N45" s="75"/>
      <c r="O45" s="75"/>
      <c r="P45" s="75"/>
      <c r="Q45" s="75"/>
      <c r="R45" s="75"/>
      <c r="S45" s="75"/>
      <c r="T45" s="75"/>
      <c r="U45" s="384"/>
      <c r="V45" s="384"/>
      <c r="W45" s="75"/>
      <c r="X45" s="75"/>
      <c r="Y45" s="75"/>
      <c r="Z45" s="75"/>
      <c r="AA45" s="75"/>
      <c r="AB45" s="300"/>
      <c r="AC45" s="301" t="s">
        <v>25</v>
      </c>
      <c r="AD45" s="6"/>
    </row>
    <row r="56" spans="30:30" ht="19.5" customHeight="1">
      <c r="AD56" s="6" t="s">
        <v>63</v>
      </c>
    </row>
  </sheetData>
  <mergeCells count="11">
    <mergeCell ref="B7:C7"/>
    <mergeCell ref="U45:V45"/>
    <mergeCell ref="K2:L2"/>
    <mergeCell ref="M2:AC3"/>
    <mergeCell ref="A1:C1"/>
    <mergeCell ref="A2:C2"/>
    <mergeCell ref="D2:D3"/>
    <mergeCell ref="E2:J2"/>
    <mergeCell ref="A4:C4"/>
    <mergeCell ref="C9:C10"/>
    <mergeCell ref="C14:C15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differentFirst="1" scaleWithDoc="0">
    <oddFooter>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48"/>
  <sheetViews>
    <sheetView view="pageLayout" zoomScale="73" zoomScaleNormal="76" zoomScaleSheetLayoutView="100" zoomScalePageLayoutView="73" workbookViewId="0">
      <selection activeCell="F6" sqref="F6"/>
    </sheetView>
  </sheetViews>
  <sheetFormatPr defaultColWidth="13.77734375" defaultRowHeight="21" customHeight="1"/>
  <cols>
    <col min="1" max="1" width="5.88671875" style="22" bestFit="1" customWidth="1"/>
    <col min="2" max="2" width="6.21875" style="22" customWidth="1"/>
    <col min="3" max="3" width="9.88671875" style="22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195" customWidth="1"/>
    <col min="13" max="13" width="23.5546875" style="4" customWidth="1"/>
    <col min="14" max="14" width="3.33203125" style="4" customWidth="1"/>
    <col min="15" max="15" width="2" style="4" customWidth="1"/>
    <col min="16" max="16" width="0.88671875" style="4" customWidth="1"/>
    <col min="17" max="17" width="9.7773437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8867187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1" s="12" customFormat="1" ht="21" customHeight="1" thickBot="1">
      <c r="A1" s="389" t="s">
        <v>362</v>
      </c>
      <c r="B1" s="389"/>
      <c r="C1" s="389"/>
      <c r="D1" s="118"/>
      <c r="E1" s="118"/>
      <c r="F1" s="118"/>
      <c r="G1" s="118"/>
      <c r="H1" s="118"/>
      <c r="I1" s="118"/>
      <c r="J1" s="118"/>
      <c r="K1" s="118"/>
      <c r="L1" s="187"/>
      <c r="M1" s="74"/>
      <c r="N1" s="74"/>
      <c r="O1" s="74"/>
      <c r="P1" s="74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1"/>
    </row>
    <row r="2" spans="1:31" s="3" customFormat="1" ht="21" customHeight="1">
      <c r="A2" s="390" t="s">
        <v>22</v>
      </c>
      <c r="B2" s="391"/>
      <c r="C2" s="391"/>
      <c r="D2" s="392" t="s">
        <v>355</v>
      </c>
      <c r="E2" s="394" t="s">
        <v>352</v>
      </c>
      <c r="F2" s="395"/>
      <c r="G2" s="395"/>
      <c r="H2" s="395"/>
      <c r="I2" s="395"/>
      <c r="J2" s="395"/>
      <c r="K2" s="385" t="s">
        <v>23</v>
      </c>
      <c r="L2" s="385"/>
      <c r="M2" s="401" t="s">
        <v>53</v>
      </c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3"/>
    </row>
    <row r="3" spans="1:31" s="3" customFormat="1" ht="30.75" customHeight="1" thickBot="1">
      <c r="A3" s="25" t="s">
        <v>1</v>
      </c>
      <c r="B3" s="26" t="s">
        <v>2</v>
      </c>
      <c r="C3" s="26" t="s">
        <v>3</v>
      </c>
      <c r="D3" s="393"/>
      <c r="E3" s="308" t="s">
        <v>121</v>
      </c>
      <c r="F3" s="308" t="s">
        <v>319</v>
      </c>
      <c r="G3" s="308" t="s">
        <v>156</v>
      </c>
      <c r="H3" s="308" t="s">
        <v>112</v>
      </c>
      <c r="I3" s="308" t="s">
        <v>255</v>
      </c>
      <c r="J3" s="308" t="s">
        <v>114</v>
      </c>
      <c r="K3" s="170" t="s">
        <v>122</v>
      </c>
      <c r="L3" s="119" t="s">
        <v>4</v>
      </c>
      <c r="M3" s="404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6"/>
    </row>
    <row r="4" spans="1:31" s="12" customFormat="1" ht="21" customHeight="1">
      <c r="A4" s="409" t="s">
        <v>31</v>
      </c>
      <c r="B4" s="410"/>
      <c r="C4" s="410"/>
      <c r="D4" s="180">
        <v>63073</v>
      </c>
      <c r="E4" s="180">
        <f>SUM(F4,G4,H4,J4,I4)-1</f>
        <v>58869.679960000009</v>
      </c>
      <c r="F4" s="180">
        <f>SUM(F5,F77,F87,F142)</f>
        <v>48137.344000000005</v>
      </c>
      <c r="G4" s="180">
        <f>SUM(G5,G77,G87,G142)</f>
        <v>2330</v>
      </c>
      <c r="H4" s="180">
        <f>SUM(H5,H77,H87,H142)</f>
        <v>7803.3359600000003</v>
      </c>
      <c r="I4" s="180">
        <f>SUM(I5,I77,I87,I142,I108)</f>
        <v>600</v>
      </c>
      <c r="J4" s="180">
        <f>SUM(J5,J77,J87,J142)</f>
        <v>0</v>
      </c>
      <c r="K4" s="179">
        <f>E4-D4</f>
        <v>-4203.3200399999914</v>
      </c>
      <c r="L4" s="181">
        <f>IF(D4=0,0,K4/D4)</f>
        <v>-6.6642145450509588E-2</v>
      </c>
      <c r="M4" s="182" t="s">
        <v>137</v>
      </c>
      <c r="N4" s="183"/>
      <c r="O4" s="183"/>
      <c r="P4" s="183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>
        <f>SUM(AC5,AC77,AC87,AC142)</f>
        <v>58870484</v>
      </c>
      <c r="AD4" s="185" t="s">
        <v>25</v>
      </c>
      <c r="AE4" s="2"/>
    </row>
    <row r="5" spans="1:31" s="12" customFormat="1" ht="21" customHeight="1">
      <c r="A5" s="123" t="s">
        <v>6</v>
      </c>
      <c r="B5" s="407" t="s">
        <v>7</v>
      </c>
      <c r="C5" s="408"/>
      <c r="D5" s="177">
        <v>46341</v>
      </c>
      <c r="E5" s="177">
        <f>SUM(E6,E39,E48,E142)</f>
        <v>39107.980000000003</v>
      </c>
      <c r="F5" s="177">
        <f t="shared" ref="F5:J5" si="0">SUM(F6,F39,F48)</f>
        <v>37080.864000000001</v>
      </c>
      <c r="G5" s="177">
        <f>SUM(G6,G39,G48)</f>
        <v>1200</v>
      </c>
      <c r="H5" s="177">
        <f>SUM(H6,H39,H48)</f>
        <v>693.33596</v>
      </c>
      <c r="I5" s="177">
        <f t="shared" si="0"/>
        <v>0</v>
      </c>
      <c r="J5" s="177">
        <f t="shared" si="0"/>
        <v>0</v>
      </c>
      <c r="K5" s="120">
        <f>E5-D5</f>
        <v>-7233.0199999999968</v>
      </c>
      <c r="L5" s="186">
        <f>IF(D5=0,0,K5/D5)</f>
        <v>-0.15608251871992398</v>
      </c>
      <c r="M5" s="201" t="s">
        <v>136</v>
      </c>
      <c r="N5" s="201"/>
      <c r="O5" s="201"/>
      <c r="P5" s="201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>
        <f>SUM(AC6,AC39,AC48)</f>
        <v>38974004</v>
      </c>
      <c r="AD5" s="38" t="s">
        <v>25</v>
      </c>
      <c r="AE5" s="2"/>
    </row>
    <row r="6" spans="1:31" s="12" customFormat="1" ht="21" customHeight="1">
      <c r="A6" s="48"/>
      <c r="B6" s="309" t="s">
        <v>8</v>
      </c>
      <c r="C6" s="311" t="s">
        <v>5</v>
      </c>
      <c r="D6" s="190">
        <v>39779</v>
      </c>
      <c r="E6" s="188">
        <f>SUM(E7,E10,E25,E29)</f>
        <v>34268.5</v>
      </c>
      <c r="F6" s="188">
        <f>F7+F10+F25+F29</f>
        <v>33068.5</v>
      </c>
      <c r="G6" s="188">
        <f>SUM(G7,G10,G25,G29,G36)</f>
        <v>1200</v>
      </c>
      <c r="H6" s="188">
        <f>SUM(H7,H10,H25,H29)</f>
        <v>0</v>
      </c>
      <c r="I6" s="188">
        <v>0</v>
      </c>
      <c r="J6" s="188">
        <f>SUM(J7,J10,J25,J29)</f>
        <v>0</v>
      </c>
      <c r="K6" s="191">
        <f>E6-D6</f>
        <v>-5510.5</v>
      </c>
      <c r="L6" s="192">
        <f>IF(D6=0,0,K6/D6)</f>
        <v>-0.13852786646220366</v>
      </c>
      <c r="M6" s="315" t="s">
        <v>135</v>
      </c>
      <c r="N6" s="315"/>
      <c r="O6" s="315"/>
      <c r="P6" s="315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>
        <f>SUM(AC7,AC10,AC25,AC29,AC36)</f>
        <v>34268640</v>
      </c>
      <c r="AD6" s="193" t="s">
        <v>25</v>
      </c>
      <c r="AE6" s="2"/>
    </row>
    <row r="7" spans="1:31" s="12" customFormat="1" ht="21" customHeight="1">
      <c r="A7" s="48"/>
      <c r="B7" s="310"/>
      <c r="C7" s="309" t="s">
        <v>32</v>
      </c>
      <c r="D7" s="173">
        <v>24813</v>
      </c>
      <c r="E7" s="125">
        <f>F7</f>
        <v>21828</v>
      </c>
      <c r="F7" s="125">
        <f>AC7/1000</f>
        <v>21828</v>
      </c>
      <c r="G7" s="125">
        <v>0</v>
      </c>
      <c r="H7" s="125">
        <v>0</v>
      </c>
      <c r="I7" s="125"/>
      <c r="J7" s="125">
        <v>0</v>
      </c>
      <c r="K7" s="124">
        <f>E7-D7</f>
        <v>-2985</v>
      </c>
      <c r="L7" s="131">
        <f>IF(D7=0,0,K7/D7)</f>
        <v>-0.12029984282432596</v>
      </c>
      <c r="M7" s="315" t="s">
        <v>83</v>
      </c>
      <c r="N7" s="315"/>
      <c r="O7" s="203"/>
      <c r="P7" s="203"/>
      <c r="Q7" s="203"/>
      <c r="R7" s="203"/>
      <c r="S7" s="202"/>
      <c r="T7" s="202"/>
      <c r="U7" s="202"/>
      <c r="V7" s="314" t="s">
        <v>123</v>
      </c>
      <c r="W7" s="314"/>
      <c r="X7" s="314"/>
      <c r="Y7" s="314"/>
      <c r="Z7" s="314"/>
      <c r="AA7" s="314"/>
      <c r="AB7" s="194"/>
      <c r="AC7" s="194">
        <f>SUM(AC8:AC9)</f>
        <v>21828000</v>
      </c>
      <c r="AD7" s="193" t="s">
        <v>56</v>
      </c>
      <c r="AE7" s="1"/>
    </row>
    <row r="8" spans="1:31" s="12" customFormat="1" ht="21" customHeight="1">
      <c r="A8" s="48"/>
      <c r="B8" s="310"/>
      <c r="C8" s="310"/>
      <c r="D8" s="171"/>
      <c r="E8" s="223"/>
      <c r="F8" s="223"/>
      <c r="G8" s="223"/>
      <c r="H8" s="223"/>
      <c r="I8" s="223"/>
      <c r="J8" s="223"/>
      <c r="K8" s="121"/>
      <c r="L8" s="80"/>
      <c r="M8" s="78" t="s">
        <v>161</v>
      </c>
      <c r="N8" s="224" t="s">
        <v>311</v>
      </c>
      <c r="O8" s="316"/>
      <c r="P8" s="316"/>
      <c r="Q8" s="78">
        <v>1809000</v>
      </c>
      <c r="R8" s="78"/>
      <c r="S8" s="79" t="s">
        <v>157</v>
      </c>
      <c r="T8" s="79" t="s">
        <v>158</v>
      </c>
      <c r="U8" s="79">
        <v>1</v>
      </c>
      <c r="V8" s="79" t="s">
        <v>159</v>
      </c>
      <c r="W8" s="79" t="s">
        <v>158</v>
      </c>
      <c r="X8" s="225">
        <v>10</v>
      </c>
      <c r="Y8" s="79" t="s">
        <v>29</v>
      </c>
      <c r="Z8" s="79" t="s">
        <v>160</v>
      </c>
      <c r="AA8" s="316"/>
      <c r="AB8" s="77"/>
      <c r="AC8" s="77">
        <f t="shared" ref="AC8:AC9" si="1">Q8*U8*X8</f>
        <v>18090000</v>
      </c>
      <c r="AD8" s="57" t="s">
        <v>25</v>
      </c>
      <c r="AE8" s="1"/>
    </row>
    <row r="9" spans="1:31" s="12" customFormat="1" ht="21" customHeight="1">
      <c r="A9" s="48"/>
      <c r="B9" s="310"/>
      <c r="C9" s="59"/>
      <c r="D9" s="172"/>
      <c r="E9" s="122"/>
      <c r="F9" s="122"/>
      <c r="G9" s="122"/>
      <c r="H9" s="122"/>
      <c r="I9" s="122"/>
      <c r="J9" s="122"/>
      <c r="K9" s="122"/>
      <c r="L9" s="96"/>
      <c r="M9" s="78"/>
      <c r="N9" s="224" t="s">
        <v>312</v>
      </c>
      <c r="O9" s="316"/>
      <c r="P9" s="316"/>
      <c r="Q9" s="78">
        <v>1869000</v>
      </c>
      <c r="R9" s="78"/>
      <c r="S9" s="79" t="s">
        <v>157</v>
      </c>
      <c r="T9" s="79" t="s">
        <v>158</v>
      </c>
      <c r="U9" s="79">
        <v>1</v>
      </c>
      <c r="V9" s="79" t="s">
        <v>159</v>
      </c>
      <c r="W9" s="79" t="s">
        <v>158</v>
      </c>
      <c r="X9" s="225">
        <v>2</v>
      </c>
      <c r="Y9" s="79" t="s">
        <v>29</v>
      </c>
      <c r="Z9" s="79" t="s">
        <v>160</v>
      </c>
      <c r="AA9" s="316"/>
      <c r="AB9" s="77"/>
      <c r="AC9" s="77">
        <f t="shared" si="1"/>
        <v>3738000</v>
      </c>
      <c r="AD9" s="57" t="s">
        <v>25</v>
      </c>
      <c r="AE9" s="1"/>
    </row>
    <row r="10" spans="1:31" s="12" customFormat="1" ht="21" customHeight="1">
      <c r="A10" s="48"/>
      <c r="B10" s="310"/>
      <c r="C10" s="309" t="s">
        <v>33</v>
      </c>
      <c r="D10" s="173">
        <v>9087</v>
      </c>
      <c r="E10" s="125">
        <f>F10+G10+H10+J10</f>
        <v>7286.3</v>
      </c>
      <c r="F10" s="125">
        <f>SUM(명절휴가비,AC15,AC18)/1000</f>
        <v>6086.3</v>
      </c>
      <c r="G10" s="125">
        <f>SUM(AC22)/1000</f>
        <v>1200</v>
      </c>
      <c r="H10" s="125">
        <v>0</v>
      </c>
      <c r="I10" s="125">
        <v>0</v>
      </c>
      <c r="J10" s="125">
        <v>0</v>
      </c>
      <c r="K10" s="124">
        <f>E10-D10</f>
        <v>-1800.6999999999998</v>
      </c>
      <c r="L10" s="131">
        <f>IF(D10=0,0,K10/D10)</f>
        <v>-0.19816220975019255</v>
      </c>
      <c r="M10" s="109" t="s">
        <v>34</v>
      </c>
      <c r="N10" s="315"/>
      <c r="O10" s="203"/>
      <c r="P10" s="203"/>
      <c r="Q10" s="203"/>
      <c r="R10" s="203"/>
      <c r="S10" s="202"/>
      <c r="T10" s="202"/>
      <c r="U10" s="202"/>
      <c r="V10" s="314" t="s">
        <v>123</v>
      </c>
      <c r="W10" s="314"/>
      <c r="X10" s="314"/>
      <c r="Y10" s="314"/>
      <c r="Z10" s="314"/>
      <c r="AA10" s="314"/>
      <c r="AB10" s="194"/>
      <c r="AC10" s="194">
        <f>SUM(명절휴가비,연장근로수당,AC15,AC22)</f>
        <v>7286300</v>
      </c>
      <c r="AD10" s="193" t="s">
        <v>56</v>
      </c>
      <c r="AE10" s="1"/>
    </row>
    <row r="11" spans="1:31" s="12" customFormat="1" ht="21" customHeight="1">
      <c r="A11" s="48"/>
      <c r="B11" s="310"/>
      <c r="C11" s="310"/>
      <c r="D11" s="171"/>
      <c r="E11" s="121"/>
      <c r="F11" s="121"/>
      <c r="G11" s="121"/>
      <c r="H11" s="121"/>
      <c r="I11" s="121"/>
      <c r="J11" s="121"/>
      <c r="K11" s="121"/>
      <c r="L11" s="80"/>
      <c r="M11" s="313" t="s">
        <v>163</v>
      </c>
      <c r="N11" s="317"/>
      <c r="O11" s="317"/>
      <c r="P11" s="317"/>
      <c r="Q11" s="317"/>
      <c r="R11" s="317"/>
      <c r="S11" s="316"/>
      <c r="T11" s="316"/>
      <c r="U11" s="316"/>
      <c r="V11" s="312" t="s">
        <v>71</v>
      </c>
      <c r="W11" s="312"/>
      <c r="X11" s="312"/>
      <c r="Y11" s="312"/>
      <c r="Z11" s="312"/>
      <c r="AA11" s="312"/>
      <c r="AB11" s="82" t="s">
        <v>88</v>
      </c>
      <c r="AC11" s="82">
        <f>SUM(AC12:AC13)</f>
        <v>2170800</v>
      </c>
      <c r="AD11" s="83" t="s">
        <v>56</v>
      </c>
      <c r="AE11" s="18"/>
    </row>
    <row r="12" spans="1:31" s="12" customFormat="1" ht="21" customHeight="1">
      <c r="A12" s="48"/>
      <c r="B12" s="310"/>
      <c r="C12" s="310"/>
      <c r="D12" s="171"/>
      <c r="E12" s="121"/>
      <c r="F12" s="121"/>
      <c r="G12" s="121"/>
      <c r="H12" s="121"/>
      <c r="I12" s="121"/>
      <c r="J12" s="121"/>
      <c r="K12" s="121"/>
      <c r="L12" s="80"/>
      <c r="M12" s="230" t="s">
        <v>200</v>
      </c>
      <c r="N12" s="235" t="str">
        <f>N8</f>
        <v>3호</v>
      </c>
      <c r="O12" s="317"/>
      <c r="P12" s="317"/>
      <c r="Q12" s="78">
        <f>Q8</f>
        <v>1809000</v>
      </c>
      <c r="R12" s="78"/>
      <c r="S12" s="79" t="s">
        <v>157</v>
      </c>
      <c r="T12" s="79" t="s">
        <v>158</v>
      </c>
      <c r="U12" s="226">
        <v>1</v>
      </c>
      <c r="V12" s="79" t="s">
        <v>158</v>
      </c>
      <c r="W12" s="227">
        <v>0.6</v>
      </c>
      <c r="X12" s="228">
        <v>1</v>
      </c>
      <c r="Y12" s="229" t="s">
        <v>162</v>
      </c>
      <c r="Z12" s="79" t="s">
        <v>160</v>
      </c>
      <c r="AA12" s="316"/>
      <c r="AB12" s="77"/>
      <c r="AC12" s="77">
        <f>Q12*U12*W12*X12</f>
        <v>1085400</v>
      </c>
      <c r="AD12" s="57" t="s">
        <v>157</v>
      </c>
      <c r="AE12" s="18"/>
    </row>
    <row r="13" spans="1:31" s="12" customFormat="1" ht="21" customHeight="1">
      <c r="A13" s="48"/>
      <c r="B13" s="310"/>
      <c r="C13" s="310"/>
      <c r="D13" s="171"/>
      <c r="E13" s="121"/>
      <c r="F13" s="121"/>
      <c r="G13" s="121"/>
      <c r="H13" s="121"/>
      <c r="I13" s="121"/>
      <c r="J13" s="121"/>
      <c r="K13" s="121"/>
      <c r="L13" s="80"/>
      <c r="M13" s="317" t="s">
        <v>201</v>
      </c>
      <c r="N13" s="235" t="s">
        <v>323</v>
      </c>
      <c r="O13" s="317"/>
      <c r="P13" s="317"/>
      <c r="Q13" s="78">
        <v>1809000</v>
      </c>
      <c r="R13" s="78"/>
      <c r="S13" s="79" t="s">
        <v>324</v>
      </c>
      <c r="T13" s="79" t="s">
        <v>322</v>
      </c>
      <c r="U13" s="226">
        <v>1</v>
      </c>
      <c r="V13" s="79" t="s">
        <v>322</v>
      </c>
      <c r="W13" s="227">
        <v>0.6</v>
      </c>
      <c r="X13" s="228">
        <v>1</v>
      </c>
      <c r="Y13" s="229" t="s">
        <v>325</v>
      </c>
      <c r="Z13" s="79" t="s">
        <v>87</v>
      </c>
      <c r="AA13" s="316"/>
      <c r="AB13" s="77"/>
      <c r="AC13" s="77">
        <f>Q13*U13*W13*X13</f>
        <v>1085400</v>
      </c>
      <c r="AD13" s="57" t="s">
        <v>324</v>
      </c>
      <c r="AE13" s="18"/>
    </row>
    <row r="14" spans="1:31" s="12" customFormat="1" ht="21" customHeight="1">
      <c r="A14" s="48"/>
      <c r="B14" s="310"/>
      <c r="C14" s="310"/>
      <c r="D14" s="171"/>
      <c r="E14" s="121"/>
      <c r="F14" s="121"/>
      <c r="G14" s="121"/>
      <c r="H14" s="121"/>
      <c r="I14" s="121"/>
      <c r="J14" s="121"/>
      <c r="K14" s="121"/>
      <c r="L14" s="80"/>
      <c r="M14" s="317"/>
      <c r="N14" s="235"/>
      <c r="O14" s="317"/>
      <c r="P14" s="317"/>
      <c r="Q14" s="78"/>
      <c r="R14" s="78"/>
      <c r="S14" s="79"/>
      <c r="T14" s="79"/>
      <c r="U14" s="226"/>
      <c r="V14" s="79"/>
      <c r="W14" s="227"/>
      <c r="X14" s="228"/>
      <c r="Y14" s="229"/>
      <c r="Z14" s="79"/>
      <c r="AA14" s="316"/>
      <c r="AB14" s="77"/>
      <c r="AC14" s="77"/>
      <c r="AD14" s="57"/>
      <c r="AE14" s="18"/>
    </row>
    <row r="15" spans="1:31" s="12" customFormat="1" ht="21" customHeight="1">
      <c r="A15" s="48"/>
      <c r="B15" s="310"/>
      <c r="C15" s="310"/>
      <c r="D15" s="171"/>
      <c r="E15" s="121"/>
      <c r="F15" s="121"/>
      <c r="G15" s="121"/>
      <c r="H15" s="121"/>
      <c r="I15" s="121"/>
      <c r="J15" s="121"/>
      <c r="K15" s="121"/>
      <c r="L15" s="80"/>
      <c r="M15" s="313" t="s">
        <v>198</v>
      </c>
      <c r="N15" s="235"/>
      <c r="O15" s="317"/>
      <c r="P15" s="317"/>
      <c r="Q15" s="78"/>
      <c r="R15" s="78"/>
      <c r="S15" s="79"/>
      <c r="T15" s="79"/>
      <c r="U15" s="226"/>
      <c r="V15" s="312" t="s">
        <v>71</v>
      </c>
      <c r="W15" s="312"/>
      <c r="X15" s="312"/>
      <c r="Y15" s="312"/>
      <c r="Z15" s="312"/>
      <c r="AA15" s="312"/>
      <c r="AB15" s="82" t="s">
        <v>61</v>
      </c>
      <c r="AC15" s="82">
        <f>SUM(AC16:AC16)</f>
        <v>0</v>
      </c>
      <c r="AD15" s="83" t="s">
        <v>56</v>
      </c>
      <c r="AE15" s="18"/>
    </row>
    <row r="16" spans="1:31" s="12" customFormat="1" ht="21" customHeight="1">
      <c r="A16" s="48"/>
      <c r="B16" s="310"/>
      <c r="C16" s="310"/>
      <c r="D16" s="171"/>
      <c r="E16" s="121"/>
      <c r="F16" s="121"/>
      <c r="G16" s="121"/>
      <c r="H16" s="121"/>
      <c r="I16" s="121"/>
      <c r="J16" s="121"/>
      <c r="K16" s="121"/>
      <c r="L16" s="80"/>
      <c r="M16" s="317" t="s">
        <v>299</v>
      </c>
      <c r="N16" s="235"/>
      <c r="O16" s="317"/>
      <c r="P16" s="317"/>
      <c r="Q16" s="78">
        <v>0</v>
      </c>
      <c r="R16" s="78"/>
      <c r="S16" s="79" t="s">
        <v>202</v>
      </c>
      <c r="T16" s="79"/>
      <c r="U16" s="226"/>
      <c r="V16" s="79"/>
      <c r="W16" s="227"/>
      <c r="X16" s="228">
        <v>12</v>
      </c>
      <c r="Y16" s="229" t="s">
        <v>203</v>
      </c>
      <c r="Z16" s="79"/>
      <c r="AA16" s="316"/>
      <c r="AB16" s="77"/>
      <c r="AC16" s="77">
        <f>Q16*X16</f>
        <v>0</v>
      </c>
      <c r="AD16" s="57" t="s">
        <v>204</v>
      </c>
      <c r="AE16" s="18"/>
    </row>
    <row r="17" spans="1:31" s="12" customFormat="1" ht="21" customHeight="1">
      <c r="A17" s="48"/>
      <c r="B17" s="310"/>
      <c r="C17" s="310"/>
      <c r="D17" s="171"/>
      <c r="E17" s="121"/>
      <c r="F17" s="121"/>
      <c r="G17" s="121"/>
      <c r="H17" s="121"/>
      <c r="I17" s="121"/>
      <c r="J17" s="121"/>
      <c r="K17" s="121"/>
      <c r="L17" s="80"/>
      <c r="M17" s="317"/>
      <c r="N17" s="317"/>
      <c r="O17" s="317"/>
      <c r="P17" s="317"/>
      <c r="Q17" s="317"/>
      <c r="R17" s="317"/>
      <c r="S17" s="316"/>
      <c r="T17" s="316"/>
      <c r="U17" s="316"/>
      <c r="V17" s="316"/>
      <c r="W17" s="316"/>
      <c r="X17" s="316"/>
      <c r="Y17" s="316"/>
      <c r="Z17" s="316"/>
      <c r="AA17" s="316"/>
      <c r="AB17" s="77"/>
      <c r="AC17" s="77"/>
      <c r="AD17" s="57"/>
      <c r="AE17" s="18"/>
    </row>
    <row r="18" spans="1:31" s="12" customFormat="1" ht="21" customHeight="1">
      <c r="A18" s="48"/>
      <c r="B18" s="310"/>
      <c r="C18" s="310"/>
      <c r="D18" s="171"/>
      <c r="E18" s="121"/>
      <c r="F18" s="121"/>
      <c r="G18" s="121"/>
      <c r="H18" s="121"/>
      <c r="I18" s="121"/>
      <c r="J18" s="121"/>
      <c r="K18" s="121"/>
      <c r="L18" s="80"/>
      <c r="M18" s="313" t="s">
        <v>347</v>
      </c>
      <c r="N18" s="317"/>
      <c r="O18" s="317"/>
      <c r="P18" s="317"/>
      <c r="Q18" s="317"/>
      <c r="R18" s="317"/>
      <c r="S18" s="316"/>
      <c r="T18" s="316"/>
      <c r="U18" s="316"/>
      <c r="V18" s="312" t="s">
        <v>71</v>
      </c>
      <c r="W18" s="312"/>
      <c r="X18" s="312"/>
      <c r="Y18" s="312"/>
      <c r="Z18" s="312"/>
      <c r="AA18" s="312"/>
      <c r="AB18" s="82" t="s">
        <v>88</v>
      </c>
      <c r="AC18" s="82">
        <f>AC19+AC20</f>
        <v>3915500</v>
      </c>
      <c r="AD18" s="83" t="s">
        <v>56</v>
      </c>
      <c r="AE18" s="18"/>
    </row>
    <row r="19" spans="1:31" s="12" customFormat="1" ht="21" customHeight="1">
      <c r="A19" s="48"/>
      <c r="B19" s="310"/>
      <c r="C19" s="310"/>
      <c r="D19" s="171"/>
      <c r="E19" s="121"/>
      <c r="F19" s="121"/>
      <c r="G19" s="121"/>
      <c r="H19" s="121"/>
      <c r="I19" s="121"/>
      <c r="J19" s="121"/>
      <c r="K19" s="121"/>
      <c r="L19" s="80"/>
      <c r="M19" s="317"/>
      <c r="N19" s="235" t="str">
        <f>N8</f>
        <v>3호</v>
      </c>
      <c r="O19" s="316"/>
      <c r="P19" s="316"/>
      <c r="Q19" s="78">
        <f>Q8</f>
        <v>1809000</v>
      </c>
      <c r="R19" s="79" t="s">
        <v>56</v>
      </c>
      <c r="S19" s="79" t="s">
        <v>57</v>
      </c>
      <c r="T19" s="220">
        <v>25</v>
      </c>
      <c r="U19" s="84" t="s">
        <v>57</v>
      </c>
      <c r="V19" s="221">
        <v>10</v>
      </c>
      <c r="W19" s="222">
        <v>1.5</v>
      </c>
      <c r="X19" s="211" t="s">
        <v>72</v>
      </c>
      <c r="Y19" s="211">
        <v>209</v>
      </c>
      <c r="Z19" s="211" t="s">
        <v>52</v>
      </c>
      <c r="AA19" s="316"/>
      <c r="AB19" s="77"/>
      <c r="AC19" s="77">
        <v>3245000</v>
      </c>
      <c r="AD19" s="57" t="s">
        <v>56</v>
      </c>
      <c r="AE19" s="18"/>
    </row>
    <row r="20" spans="1:31" s="12" customFormat="1" ht="21" customHeight="1">
      <c r="A20" s="48"/>
      <c r="B20" s="310"/>
      <c r="C20" s="310"/>
      <c r="D20" s="171"/>
      <c r="E20" s="121"/>
      <c r="F20" s="121"/>
      <c r="G20" s="121"/>
      <c r="H20" s="121"/>
      <c r="I20" s="121"/>
      <c r="J20" s="121"/>
      <c r="K20" s="121"/>
      <c r="L20" s="80"/>
      <c r="M20" s="317"/>
      <c r="N20" s="235" t="str">
        <f>N9</f>
        <v>4호</v>
      </c>
      <c r="O20" s="200"/>
      <c r="P20" s="200"/>
      <c r="Q20" s="78">
        <f>Q9</f>
        <v>1869000</v>
      </c>
      <c r="R20" s="79" t="s">
        <v>56</v>
      </c>
      <c r="S20" s="79" t="s">
        <v>57</v>
      </c>
      <c r="T20" s="220">
        <v>25</v>
      </c>
      <c r="U20" s="84" t="s">
        <v>57</v>
      </c>
      <c r="V20" s="221">
        <v>4</v>
      </c>
      <c r="W20" s="222">
        <v>1.5</v>
      </c>
      <c r="X20" s="211" t="s">
        <v>72</v>
      </c>
      <c r="Y20" s="211">
        <v>209</v>
      </c>
      <c r="Z20" s="211" t="s">
        <v>52</v>
      </c>
      <c r="AA20" s="316"/>
      <c r="AB20" s="77"/>
      <c r="AC20" s="77">
        <v>670500</v>
      </c>
      <c r="AD20" s="57" t="s">
        <v>56</v>
      </c>
      <c r="AE20" s="18"/>
    </row>
    <row r="21" spans="1:31" s="12" customFormat="1" ht="21" customHeight="1">
      <c r="A21" s="48"/>
      <c r="B21" s="310"/>
      <c r="C21" s="310"/>
      <c r="D21" s="171"/>
      <c r="E21" s="121"/>
      <c r="F21" s="121"/>
      <c r="G21" s="121"/>
      <c r="H21" s="121"/>
      <c r="I21" s="121"/>
      <c r="J21" s="121"/>
      <c r="K21" s="121"/>
      <c r="L21" s="80"/>
      <c r="M21" s="317"/>
      <c r="N21" s="317"/>
      <c r="O21" s="317"/>
      <c r="P21" s="317"/>
      <c r="Q21" s="317"/>
      <c r="R21" s="317"/>
      <c r="S21" s="316"/>
      <c r="T21" s="316"/>
      <c r="U21" s="316"/>
      <c r="V21" s="316"/>
      <c r="W21" s="316"/>
      <c r="X21" s="316"/>
      <c r="Y21" s="316"/>
      <c r="Z21" s="316"/>
      <c r="AA21" s="316"/>
      <c r="AB21" s="77"/>
      <c r="AC21" s="77"/>
      <c r="AD21" s="57"/>
      <c r="AE21" s="18"/>
    </row>
    <row r="22" spans="1:31" s="12" customFormat="1" ht="21" customHeight="1">
      <c r="A22" s="48"/>
      <c r="B22" s="310"/>
      <c r="C22" s="310"/>
      <c r="D22" s="171"/>
      <c r="E22" s="121"/>
      <c r="F22" s="121"/>
      <c r="G22" s="121"/>
      <c r="H22" s="121"/>
      <c r="I22" s="121"/>
      <c r="J22" s="121"/>
      <c r="K22" s="121"/>
      <c r="L22" s="80"/>
      <c r="M22" s="313" t="s">
        <v>199</v>
      </c>
      <c r="N22" s="317"/>
      <c r="O22" s="317"/>
      <c r="P22" s="317"/>
      <c r="Q22" s="317"/>
      <c r="R22" s="317"/>
      <c r="S22" s="316"/>
      <c r="T22" s="316"/>
      <c r="U22" s="316"/>
      <c r="V22" s="312" t="s">
        <v>89</v>
      </c>
      <c r="W22" s="312"/>
      <c r="X22" s="312"/>
      <c r="Y22" s="312"/>
      <c r="Z22" s="312"/>
      <c r="AA22" s="312"/>
      <c r="AB22" s="82" t="s">
        <v>91</v>
      </c>
      <c r="AC22" s="82">
        <f>SUM(AC23:AC23)</f>
        <v>1200000</v>
      </c>
      <c r="AD22" s="83" t="s">
        <v>90</v>
      </c>
      <c r="AE22" s="18"/>
    </row>
    <row r="23" spans="1:31" s="12" customFormat="1" ht="21" customHeight="1">
      <c r="A23" s="48"/>
      <c r="B23" s="310"/>
      <c r="C23" s="310"/>
      <c r="D23" s="171"/>
      <c r="E23" s="121"/>
      <c r="F23" s="121"/>
      <c r="G23" s="121"/>
      <c r="H23" s="121"/>
      <c r="I23" s="121"/>
      <c r="J23" s="121"/>
      <c r="K23" s="121"/>
      <c r="L23" s="80"/>
      <c r="M23" s="317"/>
      <c r="N23" s="317"/>
      <c r="O23" s="317"/>
      <c r="P23" s="317"/>
      <c r="Q23" s="78">
        <v>100000</v>
      </c>
      <c r="R23" s="78"/>
      <c r="S23" s="79" t="s">
        <v>157</v>
      </c>
      <c r="T23" s="79" t="s">
        <v>158</v>
      </c>
      <c r="U23" s="79">
        <v>1</v>
      </c>
      <c r="V23" s="79" t="s">
        <v>159</v>
      </c>
      <c r="W23" s="79" t="s">
        <v>158</v>
      </c>
      <c r="X23" s="225">
        <v>12</v>
      </c>
      <c r="Y23" s="79" t="s">
        <v>29</v>
      </c>
      <c r="Z23" s="79" t="s">
        <v>160</v>
      </c>
      <c r="AA23" s="316"/>
      <c r="AB23" s="77"/>
      <c r="AC23" s="77">
        <f t="shared" ref="AC23" si="2">Q23*U23*X23</f>
        <v>1200000</v>
      </c>
      <c r="AD23" s="57" t="s">
        <v>25</v>
      </c>
      <c r="AE23" s="18"/>
    </row>
    <row r="24" spans="1:31" s="12" customFormat="1" ht="21" customHeight="1">
      <c r="A24" s="48"/>
      <c r="B24" s="310"/>
      <c r="C24" s="310"/>
      <c r="D24" s="171"/>
      <c r="E24" s="121"/>
      <c r="F24" s="121"/>
      <c r="G24" s="121"/>
      <c r="H24" s="121"/>
      <c r="I24" s="121"/>
      <c r="J24" s="121"/>
      <c r="K24" s="121"/>
      <c r="L24" s="80"/>
      <c r="M24" s="317"/>
      <c r="N24" s="317"/>
      <c r="O24" s="317"/>
      <c r="P24" s="317"/>
      <c r="Q24" s="316"/>
      <c r="R24" s="316"/>
      <c r="S24" s="55"/>
      <c r="T24" s="134"/>
      <c r="U24" s="55"/>
      <c r="V24" s="132"/>
      <c r="W24" s="132"/>
      <c r="X24" s="316"/>
      <c r="Y24" s="316"/>
      <c r="Z24" s="316"/>
      <c r="AA24" s="316"/>
      <c r="AB24" s="316"/>
      <c r="AC24" s="316"/>
      <c r="AD24" s="57"/>
      <c r="AE24" s="18"/>
    </row>
    <row r="25" spans="1:31" s="12" customFormat="1" ht="21" customHeight="1">
      <c r="A25" s="48"/>
      <c r="B25" s="310"/>
      <c r="C25" s="309" t="s">
        <v>9</v>
      </c>
      <c r="D25" s="173">
        <v>2601</v>
      </c>
      <c r="E25" s="125">
        <f>F25+G25+H25+J25</f>
        <v>2426</v>
      </c>
      <c r="F25" s="125">
        <v>2426</v>
      </c>
      <c r="G25" s="125">
        <v>0</v>
      </c>
      <c r="H25" s="125">
        <v>0</v>
      </c>
      <c r="I25" s="125">
        <v>0</v>
      </c>
      <c r="J25" s="125">
        <v>0</v>
      </c>
      <c r="K25" s="124">
        <f>E25-D25</f>
        <v>-175</v>
      </c>
      <c r="L25" s="131">
        <f>IF(D25=0,0,K25/D25)</f>
        <v>-6.7281814686658975E-2</v>
      </c>
      <c r="M25" s="109" t="s">
        <v>35</v>
      </c>
      <c r="N25" s="315"/>
      <c r="O25" s="203"/>
      <c r="P25" s="203"/>
      <c r="Q25" s="203"/>
      <c r="R25" s="203"/>
      <c r="S25" s="202"/>
      <c r="T25" s="202"/>
      <c r="U25" s="202"/>
      <c r="V25" s="314" t="s">
        <v>192</v>
      </c>
      <c r="W25" s="314"/>
      <c r="X25" s="314"/>
      <c r="Y25" s="314"/>
      <c r="Z25" s="314"/>
      <c r="AA25" s="314"/>
      <c r="AB25" s="194" t="s">
        <v>193</v>
      </c>
      <c r="AC25" s="194">
        <f>AC26+AC27+AC28</f>
        <v>2426140</v>
      </c>
      <c r="AD25" s="193" t="s">
        <v>194</v>
      </c>
      <c r="AE25" s="2"/>
    </row>
    <row r="26" spans="1:31" s="12" customFormat="1" ht="21" customHeight="1">
      <c r="A26" s="48"/>
      <c r="B26" s="310"/>
      <c r="C26" s="310"/>
      <c r="D26" s="174"/>
      <c r="E26" s="121"/>
      <c r="F26" s="121"/>
      <c r="G26" s="121"/>
      <c r="H26" s="121"/>
      <c r="I26" s="121"/>
      <c r="J26" s="121"/>
      <c r="K26" s="126"/>
      <c r="L26" s="80"/>
      <c r="M26" s="317" t="s">
        <v>205</v>
      </c>
      <c r="N26" s="317"/>
      <c r="O26" s="317"/>
      <c r="P26" s="317"/>
      <c r="Q26" s="316">
        <v>2233500</v>
      </c>
      <c r="R26" s="316"/>
      <c r="S26" s="211" t="s">
        <v>56</v>
      </c>
      <c r="T26" s="211" t="s">
        <v>72</v>
      </c>
      <c r="U26" s="87">
        <v>12</v>
      </c>
      <c r="V26" s="84" t="s">
        <v>0</v>
      </c>
      <c r="W26" s="316" t="s">
        <v>322</v>
      </c>
      <c r="X26" s="316">
        <v>8</v>
      </c>
      <c r="Y26" s="316" t="s">
        <v>325</v>
      </c>
      <c r="Z26" s="316" t="s">
        <v>73</v>
      </c>
      <c r="AA26" s="316"/>
      <c r="AB26" s="77"/>
      <c r="AC26" s="77">
        <f>ROUNDDOWN(Q26/U26,-1)*X26</f>
        <v>1488960</v>
      </c>
      <c r="AD26" s="57" t="s">
        <v>66</v>
      </c>
      <c r="AE26" s="2"/>
    </row>
    <row r="27" spans="1:31" s="12" customFormat="1" ht="21" customHeight="1">
      <c r="A27" s="48"/>
      <c r="B27" s="310"/>
      <c r="C27" s="310"/>
      <c r="D27" s="174"/>
      <c r="E27" s="121"/>
      <c r="F27" s="121"/>
      <c r="G27" s="121"/>
      <c r="H27" s="121"/>
      <c r="I27" s="121"/>
      <c r="J27" s="121"/>
      <c r="K27" s="126"/>
      <c r="L27" s="80"/>
      <c r="M27" s="317"/>
      <c r="N27" s="317"/>
      <c r="O27" s="317"/>
      <c r="P27" s="317"/>
      <c r="Q27" s="316">
        <v>3318900</v>
      </c>
      <c r="R27" s="316"/>
      <c r="S27" s="211" t="s">
        <v>324</v>
      </c>
      <c r="T27" s="211" t="s">
        <v>72</v>
      </c>
      <c r="U27" s="87">
        <v>12</v>
      </c>
      <c r="V27" s="84" t="s">
        <v>325</v>
      </c>
      <c r="W27" s="316" t="s">
        <v>322</v>
      </c>
      <c r="X27" s="316">
        <v>2</v>
      </c>
      <c r="Y27" s="316" t="s">
        <v>325</v>
      </c>
      <c r="Z27" s="316" t="s">
        <v>52</v>
      </c>
      <c r="AA27" s="316"/>
      <c r="AB27" s="77"/>
      <c r="AC27" s="77">
        <f>ROUNDDOWN(Q27/U27,-1)*X27</f>
        <v>553140</v>
      </c>
      <c r="AD27" s="57" t="s">
        <v>66</v>
      </c>
      <c r="AE27" s="2"/>
    </row>
    <row r="28" spans="1:31" s="12" customFormat="1" ht="21" customHeight="1">
      <c r="A28" s="48"/>
      <c r="B28" s="310"/>
      <c r="C28" s="310"/>
      <c r="D28" s="175"/>
      <c r="E28" s="121"/>
      <c r="F28" s="121"/>
      <c r="G28" s="121"/>
      <c r="H28" s="121"/>
      <c r="I28" s="121"/>
      <c r="J28" s="121"/>
      <c r="K28" s="126"/>
      <c r="L28" s="80"/>
      <c r="M28" s="201"/>
      <c r="N28" s="201"/>
      <c r="O28" s="201"/>
      <c r="P28" s="201"/>
      <c r="Q28" s="316">
        <v>2304250</v>
      </c>
      <c r="R28" s="201"/>
      <c r="S28" s="211" t="s">
        <v>324</v>
      </c>
      <c r="T28" s="211" t="s">
        <v>72</v>
      </c>
      <c r="U28" s="87">
        <v>12</v>
      </c>
      <c r="V28" s="84" t="s">
        <v>325</v>
      </c>
      <c r="W28" s="200" t="s">
        <v>322</v>
      </c>
      <c r="X28" s="200">
        <v>2</v>
      </c>
      <c r="Y28" s="200" t="s">
        <v>325</v>
      </c>
      <c r="Z28" s="316" t="s">
        <v>52</v>
      </c>
      <c r="AA28" s="200"/>
      <c r="AB28" s="52"/>
      <c r="AC28" s="77">
        <f>ROUNDDOWN(Q28/U28,-1)*X28</f>
        <v>384040</v>
      </c>
      <c r="AD28" s="57" t="s">
        <v>66</v>
      </c>
      <c r="AE28" s="2"/>
    </row>
    <row r="29" spans="1:31" s="12" customFormat="1" ht="21" customHeight="1">
      <c r="A29" s="48"/>
      <c r="B29" s="310"/>
      <c r="C29" s="135" t="s">
        <v>92</v>
      </c>
      <c r="D29" s="173">
        <v>3078</v>
      </c>
      <c r="E29" s="125">
        <f>F29</f>
        <v>2728.2</v>
      </c>
      <c r="F29" s="125">
        <f>AC29/1000</f>
        <v>2728.2</v>
      </c>
      <c r="G29" s="125">
        <v>0</v>
      </c>
      <c r="H29" s="125">
        <v>0</v>
      </c>
      <c r="I29" s="125">
        <v>0</v>
      </c>
      <c r="J29" s="125">
        <v>0</v>
      </c>
      <c r="K29" s="136">
        <f>E29-D29</f>
        <v>-349.80000000000018</v>
      </c>
      <c r="L29" s="131">
        <f>IF(D29=0,0,K29/D29)</f>
        <v>-0.11364522417154002</v>
      </c>
      <c r="M29" s="109" t="s">
        <v>36</v>
      </c>
      <c r="N29" s="315"/>
      <c r="O29" s="203"/>
      <c r="P29" s="203"/>
      <c r="Q29" s="203"/>
      <c r="R29" s="203"/>
      <c r="S29" s="202"/>
      <c r="T29" s="202"/>
      <c r="U29" s="202"/>
      <c r="V29" s="314" t="s">
        <v>123</v>
      </c>
      <c r="W29" s="314"/>
      <c r="X29" s="314"/>
      <c r="Y29" s="314" t="s">
        <v>283</v>
      </c>
      <c r="Z29" s="314"/>
      <c r="AA29" s="314"/>
      <c r="AB29" s="194"/>
      <c r="AC29" s="194">
        <f>SUM(AC30:AC34)</f>
        <v>2728200</v>
      </c>
      <c r="AD29" s="193" t="s">
        <v>25</v>
      </c>
    </row>
    <row r="30" spans="1:31" s="12" customFormat="1" ht="21" customHeight="1">
      <c r="A30" s="48"/>
      <c r="B30" s="310"/>
      <c r="C30" s="251"/>
      <c r="D30" s="171"/>
      <c r="E30" s="223"/>
      <c r="F30" s="223"/>
      <c r="G30" s="223"/>
      <c r="H30" s="223"/>
      <c r="I30" s="223"/>
      <c r="J30" s="223"/>
      <c r="K30" s="252"/>
      <c r="L30" s="80"/>
      <c r="M30" s="317" t="s">
        <v>166</v>
      </c>
      <c r="N30" s="201"/>
      <c r="O30" s="201"/>
      <c r="P30" s="201"/>
      <c r="Q30" s="316">
        <f>AC7+AC10</f>
        <v>29114300</v>
      </c>
      <c r="R30" s="316"/>
      <c r="S30" s="211" t="s">
        <v>56</v>
      </c>
      <c r="T30" s="211" t="s">
        <v>26</v>
      </c>
      <c r="U30" s="343">
        <v>0.09</v>
      </c>
      <c r="V30" s="211" t="s">
        <v>72</v>
      </c>
      <c r="W30" s="250">
        <v>2</v>
      </c>
      <c r="X30" s="253"/>
      <c r="Y30" s="86"/>
      <c r="Z30" s="211" t="s">
        <v>52</v>
      </c>
      <c r="AA30" s="316"/>
      <c r="AB30" s="77"/>
      <c r="AC30" s="77">
        <v>1310140</v>
      </c>
      <c r="AD30" s="57" t="s">
        <v>56</v>
      </c>
    </row>
    <row r="31" spans="1:31" s="12" customFormat="1" ht="21" customHeight="1">
      <c r="A31" s="48"/>
      <c r="B31" s="310"/>
      <c r="C31" s="310"/>
      <c r="D31" s="171"/>
      <c r="E31" s="121"/>
      <c r="F31" s="121"/>
      <c r="G31" s="121"/>
      <c r="H31" s="121"/>
      <c r="I31" s="121"/>
      <c r="J31" s="121"/>
      <c r="K31" s="121"/>
      <c r="L31" s="80"/>
      <c r="M31" s="317" t="s">
        <v>164</v>
      </c>
      <c r="N31" s="317"/>
      <c r="O31" s="317"/>
      <c r="P31" s="317"/>
      <c r="Q31" s="316">
        <f>AC7+AC10</f>
        <v>29114300</v>
      </c>
      <c r="R31" s="316"/>
      <c r="S31" s="211" t="s">
        <v>56</v>
      </c>
      <c r="T31" s="211" t="s">
        <v>26</v>
      </c>
      <c r="U31" s="343">
        <v>5.8000000000000003E-2</v>
      </c>
      <c r="V31" s="211" t="s">
        <v>72</v>
      </c>
      <c r="W31" s="250">
        <v>2</v>
      </c>
      <c r="X31" s="253"/>
      <c r="Y31" s="86"/>
      <c r="Z31" s="211" t="s">
        <v>52</v>
      </c>
      <c r="AA31" s="316"/>
      <c r="AB31" s="77"/>
      <c r="AC31" s="77">
        <v>871940</v>
      </c>
      <c r="AD31" s="57" t="s">
        <v>66</v>
      </c>
      <c r="AE31" s="2"/>
    </row>
    <row r="32" spans="1:31" s="12" customFormat="1" ht="21" customHeight="1">
      <c r="A32" s="48"/>
      <c r="B32" s="310"/>
      <c r="C32" s="310"/>
      <c r="D32" s="171"/>
      <c r="E32" s="121"/>
      <c r="F32" s="121"/>
      <c r="G32" s="121"/>
      <c r="H32" s="121"/>
      <c r="I32" s="121"/>
      <c r="J32" s="121"/>
      <c r="K32" s="121"/>
      <c r="L32" s="80"/>
      <c r="M32" s="317" t="s">
        <v>294</v>
      </c>
      <c r="N32" s="317"/>
      <c r="O32" s="317"/>
      <c r="P32" s="317"/>
      <c r="Q32" s="316">
        <f>AC31</f>
        <v>871940</v>
      </c>
      <c r="R32" s="316"/>
      <c r="S32" s="211" t="s">
        <v>56</v>
      </c>
      <c r="T32" s="211" t="s">
        <v>26</v>
      </c>
      <c r="U32" s="343">
        <v>6.5500000000000003E-2</v>
      </c>
      <c r="V32" s="211"/>
      <c r="W32" s="250"/>
      <c r="X32" s="253"/>
      <c r="Y32" s="86"/>
      <c r="Z32" s="211" t="s">
        <v>52</v>
      </c>
      <c r="AA32" s="316"/>
      <c r="AB32" s="77"/>
      <c r="AC32" s="77">
        <v>57080</v>
      </c>
      <c r="AD32" s="57" t="s">
        <v>56</v>
      </c>
      <c r="AE32" s="2"/>
    </row>
    <row r="33" spans="1:31" s="12" customFormat="1" ht="21" customHeight="1">
      <c r="A33" s="48"/>
      <c r="B33" s="310"/>
      <c r="C33" s="310"/>
      <c r="D33" s="171"/>
      <c r="E33" s="121"/>
      <c r="F33" s="121"/>
      <c r="G33" s="121"/>
      <c r="H33" s="121"/>
      <c r="I33" s="121"/>
      <c r="J33" s="121"/>
      <c r="K33" s="121"/>
      <c r="L33" s="80"/>
      <c r="M33" s="317" t="s">
        <v>165</v>
      </c>
      <c r="N33" s="317"/>
      <c r="O33" s="317"/>
      <c r="P33" s="317"/>
      <c r="Q33" s="316">
        <f>AC7+AC10</f>
        <v>29114300</v>
      </c>
      <c r="R33" s="316"/>
      <c r="S33" s="211" t="s">
        <v>56</v>
      </c>
      <c r="T33" s="211" t="s">
        <v>26</v>
      </c>
      <c r="U33" s="343">
        <v>8.9999999999999993E-3</v>
      </c>
      <c r="V33" s="211"/>
      <c r="W33" s="250"/>
      <c r="X33" s="253"/>
      <c r="Y33" s="86"/>
      <c r="Z33" s="211" t="s">
        <v>52</v>
      </c>
      <c r="AA33" s="316"/>
      <c r="AB33" s="77"/>
      <c r="AC33" s="77">
        <v>262000</v>
      </c>
      <c r="AD33" s="57" t="s">
        <v>66</v>
      </c>
      <c r="AE33" s="2"/>
    </row>
    <row r="34" spans="1:31" s="12" customFormat="1" ht="21" customHeight="1">
      <c r="A34" s="48"/>
      <c r="B34" s="310"/>
      <c r="C34" s="310"/>
      <c r="D34" s="171"/>
      <c r="E34" s="121"/>
      <c r="F34" s="121"/>
      <c r="G34" s="121"/>
      <c r="H34" s="121"/>
      <c r="I34" s="121"/>
      <c r="J34" s="121"/>
      <c r="K34" s="121"/>
      <c r="L34" s="80"/>
      <c r="M34" s="317" t="s">
        <v>295</v>
      </c>
      <c r="N34" s="317"/>
      <c r="O34" s="317"/>
      <c r="P34" s="317"/>
      <c r="Q34" s="316">
        <f>AC10+AC7</f>
        <v>29114300</v>
      </c>
      <c r="R34" s="316"/>
      <c r="S34" s="211" t="s">
        <v>56</v>
      </c>
      <c r="T34" s="211" t="s">
        <v>26</v>
      </c>
      <c r="U34" s="343">
        <v>7.7999999999999996E-3</v>
      </c>
      <c r="V34" s="211"/>
      <c r="W34" s="250"/>
      <c r="X34" s="253"/>
      <c r="Y34" s="86"/>
      <c r="Z34" s="211" t="s">
        <v>296</v>
      </c>
      <c r="AA34" s="316"/>
      <c r="AB34" s="77"/>
      <c r="AC34" s="77">
        <v>227040</v>
      </c>
      <c r="AD34" s="57" t="s">
        <v>56</v>
      </c>
      <c r="AE34" s="2"/>
    </row>
    <row r="35" spans="1:31" s="12" customFormat="1" ht="21" customHeight="1">
      <c r="A35" s="48"/>
      <c r="B35" s="310"/>
      <c r="C35" s="310"/>
      <c r="D35" s="171"/>
      <c r="E35" s="121"/>
      <c r="F35" s="121"/>
      <c r="G35" s="121"/>
      <c r="H35" s="121"/>
      <c r="I35" s="121"/>
      <c r="J35" s="121"/>
      <c r="K35" s="121"/>
      <c r="L35" s="80"/>
      <c r="M35" s="317"/>
      <c r="N35" s="317"/>
      <c r="O35" s="317"/>
      <c r="P35" s="317"/>
      <c r="Q35" s="316"/>
      <c r="R35" s="316"/>
      <c r="S35" s="211"/>
      <c r="T35" s="84"/>
      <c r="U35" s="88"/>
      <c r="V35" s="84"/>
      <c r="W35" s="89"/>
      <c r="X35" s="86"/>
      <c r="Y35" s="86"/>
      <c r="Z35" s="211"/>
      <c r="AA35" s="316"/>
      <c r="AB35" s="77"/>
      <c r="AC35" s="77"/>
      <c r="AD35" s="57"/>
      <c r="AE35" s="2"/>
    </row>
    <row r="36" spans="1:31" s="12" customFormat="1" ht="33" customHeight="1">
      <c r="A36" s="48"/>
      <c r="B36" s="310"/>
      <c r="C36" s="309" t="s">
        <v>197</v>
      </c>
      <c r="D36" s="173">
        <v>200</v>
      </c>
      <c r="E36" s="124">
        <f>SUM(F36:J36)</f>
        <v>0</v>
      </c>
      <c r="F36" s="124">
        <f>AC38</f>
        <v>0</v>
      </c>
      <c r="G36" s="124">
        <f>AC37/1000</f>
        <v>0</v>
      </c>
      <c r="H36" s="124">
        <f>AE38</f>
        <v>0</v>
      </c>
      <c r="I36" s="124">
        <f>AF38</f>
        <v>0</v>
      </c>
      <c r="J36" s="124">
        <f>AG38</f>
        <v>0</v>
      </c>
      <c r="K36" s="136">
        <f>E36-D36</f>
        <v>-200</v>
      </c>
      <c r="L36" s="131">
        <f>IF(D36=0,0,K36/D36)</f>
        <v>-1</v>
      </c>
      <c r="M36" s="109" t="s">
        <v>195</v>
      </c>
      <c r="N36" s="315"/>
      <c r="O36" s="176"/>
      <c r="P36" s="176"/>
      <c r="Q36" s="100"/>
      <c r="R36" s="100"/>
      <c r="S36" s="232"/>
      <c r="T36" s="233"/>
      <c r="U36" s="234"/>
      <c r="V36" s="314" t="s">
        <v>62</v>
      </c>
      <c r="W36" s="314"/>
      <c r="X36" s="314"/>
      <c r="Y36" s="314"/>
      <c r="Z36" s="314"/>
      <c r="AA36" s="314"/>
      <c r="AB36" s="194"/>
      <c r="AC36" s="194">
        <f>AC37</f>
        <v>0</v>
      </c>
      <c r="AD36" s="193" t="s">
        <v>25</v>
      </c>
      <c r="AE36" s="2"/>
    </row>
    <row r="37" spans="1:31" s="12" customFormat="1" ht="21" customHeight="1">
      <c r="A37" s="48"/>
      <c r="B37" s="310"/>
      <c r="C37" s="310"/>
      <c r="D37" s="171"/>
      <c r="E37" s="121"/>
      <c r="F37" s="121"/>
      <c r="G37" s="121"/>
      <c r="H37" s="121"/>
      <c r="I37" s="121"/>
      <c r="J37" s="121"/>
      <c r="K37" s="121"/>
      <c r="L37" s="80"/>
      <c r="M37" s="317" t="s">
        <v>196</v>
      </c>
      <c r="N37" s="317"/>
      <c r="O37" s="317"/>
      <c r="P37" s="317"/>
      <c r="Q37" s="316"/>
      <c r="R37" s="316"/>
      <c r="S37" s="211"/>
      <c r="T37" s="84"/>
      <c r="U37" s="88"/>
      <c r="V37" s="84"/>
      <c r="W37" s="89"/>
      <c r="X37" s="86"/>
      <c r="Y37" s="86"/>
      <c r="Z37" s="211"/>
      <c r="AA37" s="316"/>
      <c r="AB37" s="77"/>
      <c r="AC37" s="77"/>
      <c r="AD37" s="168" t="s">
        <v>25</v>
      </c>
      <c r="AE37" s="2"/>
    </row>
    <row r="38" spans="1:31" s="12" customFormat="1" ht="21" customHeight="1">
      <c r="A38" s="48"/>
      <c r="B38" s="59"/>
      <c r="C38" s="59"/>
      <c r="D38" s="172"/>
      <c r="E38" s="122"/>
      <c r="F38" s="122"/>
      <c r="G38" s="122"/>
      <c r="H38" s="122"/>
      <c r="I38" s="122"/>
      <c r="J38" s="122"/>
      <c r="K38" s="122"/>
      <c r="L38" s="96"/>
      <c r="M38" s="313"/>
      <c r="N38" s="313"/>
      <c r="O38" s="313"/>
      <c r="P38" s="313"/>
      <c r="Q38" s="312"/>
      <c r="R38" s="312"/>
      <c r="S38" s="98"/>
      <c r="T38" s="98"/>
      <c r="U38" s="98"/>
      <c r="V38" s="312"/>
      <c r="W38" s="98"/>
      <c r="X38" s="98"/>
      <c r="Y38" s="98"/>
      <c r="Z38" s="312"/>
      <c r="AA38" s="98"/>
      <c r="AB38" s="98"/>
      <c r="AC38" s="312"/>
      <c r="AD38" s="137"/>
      <c r="AE38" s="2"/>
    </row>
    <row r="39" spans="1:31" s="12" customFormat="1" ht="21" customHeight="1">
      <c r="A39" s="48"/>
      <c r="B39" s="310" t="s">
        <v>124</v>
      </c>
      <c r="C39" s="310" t="s">
        <v>5</v>
      </c>
      <c r="D39" s="121">
        <f>SUM(D40,D43,D45)</f>
        <v>0</v>
      </c>
      <c r="E39" s="121">
        <f>SUM(E40,E43,E45)</f>
        <v>140</v>
      </c>
      <c r="F39" s="121">
        <f>F40+F43+F45</f>
        <v>140</v>
      </c>
      <c r="G39" s="121">
        <f t="shared" ref="G39" si="3">SUM(G40,G43,G45)</f>
        <v>0</v>
      </c>
      <c r="H39" s="121">
        <v>0</v>
      </c>
      <c r="I39" s="121">
        <v>0</v>
      </c>
      <c r="J39" s="121">
        <f t="shared" ref="J39" si="4">SUM(J40,J43,J45)</f>
        <v>0</v>
      </c>
      <c r="K39" s="121">
        <f>E39-D39</f>
        <v>140</v>
      </c>
      <c r="L39" s="80">
        <f>IF(D39=0,0,K39/D39)</f>
        <v>0</v>
      </c>
      <c r="M39" s="201" t="s">
        <v>132</v>
      </c>
      <c r="N39" s="201"/>
      <c r="O39" s="201"/>
      <c r="P39" s="201"/>
      <c r="Q39" s="200"/>
      <c r="R39" s="200"/>
      <c r="S39" s="200"/>
      <c r="T39" s="200"/>
      <c r="U39" s="200"/>
      <c r="V39" s="202"/>
      <c r="W39" s="202"/>
      <c r="X39" s="202"/>
      <c r="Y39" s="202"/>
      <c r="Z39" s="202"/>
      <c r="AA39" s="202"/>
      <c r="AB39" s="106"/>
      <c r="AC39" s="106">
        <f>SUM(AC40,AC43,AC45)</f>
        <v>140000</v>
      </c>
      <c r="AD39" s="107" t="s">
        <v>25</v>
      </c>
      <c r="AE39" s="5"/>
    </row>
    <row r="40" spans="1:31" s="12" customFormat="1" ht="21" customHeight="1">
      <c r="A40" s="48"/>
      <c r="B40" s="310" t="s">
        <v>131</v>
      </c>
      <c r="C40" s="309" t="s">
        <v>10</v>
      </c>
      <c r="D40" s="173">
        <v>0</v>
      </c>
      <c r="E40" s="124">
        <f>AC40/1000</f>
        <v>100</v>
      </c>
      <c r="F40" s="124">
        <f>AC40/1000</f>
        <v>100</v>
      </c>
      <c r="G40" s="124">
        <v>0</v>
      </c>
      <c r="H40" s="124">
        <v>0</v>
      </c>
      <c r="I40" s="124">
        <v>0</v>
      </c>
      <c r="J40" s="124">
        <v>0</v>
      </c>
      <c r="K40" s="124">
        <f>E40-D40</f>
        <v>100</v>
      </c>
      <c r="L40" s="131">
        <f>IF(D40=0,0,K40/D40)</f>
        <v>0</v>
      </c>
      <c r="M40" s="109" t="s">
        <v>37</v>
      </c>
      <c r="N40" s="169"/>
      <c r="O40" s="176"/>
      <c r="P40" s="176"/>
      <c r="Q40" s="176"/>
      <c r="R40" s="176"/>
      <c r="S40" s="100"/>
      <c r="T40" s="100"/>
      <c r="U40" s="100"/>
      <c r="V40" s="100"/>
      <c r="W40" s="100"/>
      <c r="X40" s="314" t="s">
        <v>134</v>
      </c>
      <c r="Y40" s="314"/>
      <c r="Z40" s="314"/>
      <c r="AA40" s="314"/>
      <c r="AB40" s="194"/>
      <c r="AC40" s="194">
        <f>AC41</f>
        <v>100000</v>
      </c>
      <c r="AD40" s="193" t="s">
        <v>25</v>
      </c>
    </row>
    <row r="41" spans="1:31" s="12" customFormat="1" ht="21" customHeight="1">
      <c r="A41" s="48"/>
      <c r="B41" s="310"/>
      <c r="C41" s="310"/>
      <c r="D41" s="171"/>
      <c r="E41" s="121"/>
      <c r="F41" s="121"/>
      <c r="G41" s="121"/>
      <c r="H41" s="121"/>
      <c r="I41" s="121"/>
      <c r="J41" s="121"/>
      <c r="K41" s="121"/>
      <c r="L41" s="80"/>
      <c r="M41" s="242" t="s">
        <v>250</v>
      </c>
      <c r="N41" s="176"/>
      <c r="O41" s="317"/>
      <c r="P41" s="317"/>
      <c r="Q41" s="317">
        <v>100000</v>
      </c>
      <c r="R41" s="317"/>
      <c r="S41" s="316" t="s">
        <v>324</v>
      </c>
      <c r="T41" s="316" t="s">
        <v>322</v>
      </c>
      <c r="U41" s="316" t="s">
        <v>326</v>
      </c>
      <c r="V41" s="316"/>
      <c r="W41" s="316"/>
      <c r="X41" s="112"/>
      <c r="Y41" s="112"/>
      <c r="Z41" s="112"/>
      <c r="AA41" s="112"/>
      <c r="AB41" s="128"/>
      <c r="AC41" s="128">
        <v>100000</v>
      </c>
      <c r="AD41" s="129" t="s">
        <v>251</v>
      </c>
    </row>
    <row r="42" spans="1:31" s="12" customFormat="1" ht="21" customHeight="1">
      <c r="A42" s="48"/>
      <c r="B42" s="310"/>
      <c r="C42" s="59"/>
      <c r="D42" s="172"/>
      <c r="E42" s="122"/>
      <c r="F42" s="122"/>
      <c r="G42" s="122"/>
      <c r="H42" s="122"/>
      <c r="I42" s="122"/>
      <c r="J42" s="122"/>
      <c r="K42" s="122"/>
      <c r="L42" s="96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137"/>
      <c r="AE42" s="1"/>
    </row>
    <row r="43" spans="1:31" s="12" customFormat="1" ht="21" customHeight="1">
      <c r="A43" s="48"/>
      <c r="B43" s="310"/>
      <c r="C43" s="310" t="s">
        <v>11</v>
      </c>
      <c r="D43" s="171">
        <v>0</v>
      </c>
      <c r="E43" s="121">
        <f>AC43/1000</f>
        <v>0</v>
      </c>
      <c r="F43" s="121">
        <v>0</v>
      </c>
      <c r="G43" s="121">
        <v>0</v>
      </c>
      <c r="H43" s="121">
        <v>0</v>
      </c>
      <c r="I43" s="121">
        <v>0</v>
      </c>
      <c r="J43" s="121">
        <v>0</v>
      </c>
      <c r="K43" s="121">
        <f>E43-D43</f>
        <v>0</v>
      </c>
      <c r="L43" s="80">
        <f>IF(D43=0,0,K43/D43)</f>
        <v>0</v>
      </c>
      <c r="M43" s="109" t="s">
        <v>133</v>
      </c>
      <c r="N43" s="315"/>
      <c r="O43" s="201"/>
      <c r="P43" s="201"/>
      <c r="Q43" s="201"/>
      <c r="R43" s="201"/>
      <c r="S43" s="200"/>
      <c r="T43" s="200"/>
      <c r="U43" s="200"/>
      <c r="V43" s="200"/>
      <c r="W43" s="200"/>
      <c r="X43" s="314" t="s">
        <v>134</v>
      </c>
      <c r="Y43" s="314"/>
      <c r="Z43" s="314"/>
      <c r="AA43" s="314"/>
      <c r="AB43" s="194"/>
      <c r="AC43" s="194"/>
      <c r="AD43" s="193" t="s">
        <v>25</v>
      </c>
      <c r="AE43" s="1"/>
    </row>
    <row r="44" spans="1:31" s="12" customFormat="1" ht="21" customHeight="1">
      <c r="A44" s="48"/>
      <c r="B44" s="310"/>
      <c r="C44" s="59"/>
      <c r="D44" s="172"/>
      <c r="E44" s="122"/>
      <c r="F44" s="122"/>
      <c r="G44" s="122"/>
      <c r="H44" s="122"/>
      <c r="I44" s="122"/>
      <c r="J44" s="122"/>
      <c r="K44" s="122"/>
      <c r="L44" s="96"/>
      <c r="M44" s="313"/>
      <c r="N44" s="313"/>
      <c r="O44" s="313"/>
      <c r="P44" s="313"/>
      <c r="Q44" s="312"/>
      <c r="R44" s="312"/>
      <c r="S44" s="97"/>
      <c r="T44" s="97"/>
      <c r="U44" s="312"/>
      <c r="V44" s="313"/>
      <c r="W44" s="312"/>
      <c r="X44" s="312"/>
      <c r="Y44" s="312"/>
      <c r="Z44" s="312"/>
      <c r="AA44" s="312"/>
      <c r="AB44" s="312"/>
      <c r="AC44" s="312"/>
      <c r="AD44" s="83"/>
      <c r="AE44" s="1"/>
    </row>
    <row r="45" spans="1:31" s="12" customFormat="1" ht="21" customHeight="1">
      <c r="A45" s="48"/>
      <c r="B45" s="310"/>
      <c r="C45" s="310" t="s">
        <v>94</v>
      </c>
      <c r="D45" s="171">
        <v>0</v>
      </c>
      <c r="E45" s="121">
        <f>F45+G45+H45+J45</f>
        <v>40</v>
      </c>
      <c r="F45" s="121">
        <f>AC46/1000</f>
        <v>40</v>
      </c>
      <c r="G45" s="121">
        <v>0</v>
      </c>
      <c r="H45" s="121">
        <v>0</v>
      </c>
      <c r="I45" s="121">
        <v>0</v>
      </c>
      <c r="J45" s="124">
        <v>0</v>
      </c>
      <c r="K45" s="254">
        <f>E45-D45</f>
        <v>40</v>
      </c>
      <c r="L45" s="80">
        <f>IF(D45=0,0,K45/D45)</f>
        <v>0</v>
      </c>
      <c r="M45" s="127" t="s">
        <v>38</v>
      </c>
      <c r="N45" s="201"/>
      <c r="O45" s="201"/>
      <c r="P45" s="201"/>
      <c r="Q45" s="201"/>
      <c r="R45" s="201"/>
      <c r="S45" s="200"/>
      <c r="T45" s="200"/>
      <c r="U45" s="200"/>
      <c r="V45" s="200"/>
      <c r="W45" s="200"/>
      <c r="X45" s="314" t="s">
        <v>134</v>
      </c>
      <c r="Y45" s="314"/>
      <c r="Z45" s="314"/>
      <c r="AA45" s="314"/>
      <c r="AB45" s="194"/>
      <c r="AC45" s="194">
        <f>AC46</f>
        <v>40000</v>
      </c>
      <c r="AD45" s="193" t="s">
        <v>25</v>
      </c>
      <c r="AE45" s="1"/>
    </row>
    <row r="46" spans="1:31" s="15" customFormat="1" ht="21" customHeight="1">
      <c r="A46" s="48"/>
      <c r="B46" s="310"/>
      <c r="C46" s="310"/>
      <c r="D46" s="171"/>
      <c r="E46" s="121"/>
      <c r="F46" s="121"/>
      <c r="G46" s="121"/>
      <c r="H46" s="121"/>
      <c r="I46" s="121"/>
      <c r="J46" s="121"/>
      <c r="K46" s="121"/>
      <c r="L46" s="80"/>
      <c r="M46" s="317" t="s">
        <v>167</v>
      </c>
      <c r="N46" s="317"/>
      <c r="O46" s="317"/>
      <c r="P46" s="317"/>
      <c r="Q46" s="316">
        <v>20000</v>
      </c>
      <c r="R46" s="316"/>
      <c r="S46" s="55" t="s">
        <v>25</v>
      </c>
      <c r="T46" s="55" t="s">
        <v>26</v>
      </c>
      <c r="U46" s="316">
        <v>2</v>
      </c>
      <c r="V46" s="317" t="s">
        <v>168</v>
      </c>
      <c r="W46" s="316"/>
      <c r="X46" s="316"/>
      <c r="Y46" s="316"/>
      <c r="Z46" s="316" t="s">
        <v>27</v>
      </c>
      <c r="AA46" s="316"/>
      <c r="AB46" s="316"/>
      <c r="AC46" s="316">
        <f>Q46*U46</f>
        <v>40000</v>
      </c>
      <c r="AD46" s="57" t="s">
        <v>25</v>
      </c>
      <c r="AE46" s="4"/>
    </row>
    <row r="47" spans="1:31" s="15" customFormat="1" ht="21" customHeight="1">
      <c r="A47" s="48"/>
      <c r="B47" s="310"/>
      <c r="C47" s="310"/>
      <c r="D47" s="171"/>
      <c r="E47" s="121"/>
      <c r="F47" s="121"/>
      <c r="G47" s="121"/>
      <c r="H47" s="121"/>
      <c r="I47" s="121"/>
      <c r="J47" s="121"/>
      <c r="K47" s="121"/>
      <c r="L47" s="80"/>
      <c r="M47" s="317"/>
      <c r="N47" s="317"/>
      <c r="O47" s="317"/>
      <c r="P47" s="317"/>
      <c r="Q47" s="316"/>
      <c r="R47" s="316"/>
      <c r="S47" s="55"/>
      <c r="T47" s="55"/>
      <c r="U47" s="316"/>
      <c r="V47" s="317"/>
      <c r="W47" s="316"/>
      <c r="X47" s="316"/>
      <c r="Y47" s="316"/>
      <c r="Z47" s="316"/>
      <c r="AA47" s="316"/>
      <c r="AB47" s="316"/>
      <c r="AC47" s="316"/>
      <c r="AD47" s="57"/>
      <c r="AE47" s="4"/>
    </row>
    <row r="48" spans="1:31" s="12" customFormat="1" ht="21" customHeight="1">
      <c r="A48" s="48"/>
      <c r="B48" s="309" t="s">
        <v>12</v>
      </c>
      <c r="C48" s="311" t="s">
        <v>5</v>
      </c>
      <c r="D48" s="191">
        <v>6562</v>
      </c>
      <c r="E48" s="191">
        <f t="shared" ref="E48:J48" si="5">SUM(E49,E52,E57,E63,E71,E74)</f>
        <v>4565</v>
      </c>
      <c r="F48" s="191">
        <f t="shared" si="5"/>
        <v>3872.364</v>
      </c>
      <c r="G48" s="191">
        <f t="shared" si="5"/>
        <v>0</v>
      </c>
      <c r="H48" s="191">
        <f t="shared" si="5"/>
        <v>693.33596</v>
      </c>
      <c r="I48" s="191">
        <v>0</v>
      </c>
      <c r="J48" s="191">
        <f t="shared" si="5"/>
        <v>0</v>
      </c>
      <c r="K48" s="191">
        <f>E48-D48</f>
        <v>-1997</v>
      </c>
      <c r="L48" s="192">
        <f>IF(D48=0,0,K48/D48)</f>
        <v>-0.30432794879609876</v>
      </c>
      <c r="M48" s="315" t="s">
        <v>138</v>
      </c>
      <c r="N48" s="315"/>
      <c r="O48" s="315"/>
      <c r="P48" s="315"/>
      <c r="Q48" s="314"/>
      <c r="R48" s="314"/>
      <c r="S48" s="204"/>
      <c r="T48" s="314"/>
      <c r="U48" s="417"/>
      <c r="V48" s="418"/>
      <c r="W48" s="314"/>
      <c r="X48" s="314"/>
      <c r="Y48" s="314"/>
      <c r="Z48" s="314"/>
      <c r="AA48" s="314"/>
      <c r="AB48" s="314"/>
      <c r="AC48" s="314">
        <f>SUM(AC49,AC52,AC57,AC63,AC71,AC74)</f>
        <v>4565364</v>
      </c>
      <c r="AD48" s="193" t="s">
        <v>25</v>
      </c>
      <c r="AE48" s="1"/>
    </row>
    <row r="49" spans="1:33" s="12" customFormat="1" ht="21" customHeight="1">
      <c r="A49" s="48"/>
      <c r="B49" s="310"/>
      <c r="C49" s="310" t="s">
        <v>95</v>
      </c>
      <c r="D49" s="171">
        <v>0</v>
      </c>
      <c r="E49" s="121">
        <f>AC49/1000</f>
        <v>0</v>
      </c>
      <c r="F49" s="121">
        <v>0</v>
      </c>
      <c r="G49" s="121">
        <v>0</v>
      </c>
      <c r="H49" s="121">
        <v>0</v>
      </c>
      <c r="I49" s="121">
        <v>0</v>
      </c>
      <c r="J49" s="121">
        <v>0</v>
      </c>
      <c r="K49" s="121">
        <f>E49-D49</f>
        <v>0</v>
      </c>
      <c r="L49" s="80">
        <f>IF(D49=0,0,K49/D49)</f>
        <v>0</v>
      </c>
      <c r="M49" s="127" t="s">
        <v>40</v>
      </c>
      <c r="N49" s="201"/>
      <c r="O49" s="201"/>
      <c r="P49" s="201"/>
      <c r="Q49" s="201"/>
      <c r="R49" s="201"/>
      <c r="S49" s="200"/>
      <c r="T49" s="200"/>
      <c r="U49" s="200"/>
      <c r="V49" s="200"/>
      <c r="W49" s="200"/>
      <c r="X49" s="314" t="s">
        <v>134</v>
      </c>
      <c r="Y49" s="314"/>
      <c r="Z49" s="314"/>
      <c r="AA49" s="314"/>
      <c r="AB49" s="194"/>
      <c r="AC49" s="194">
        <f>AC50</f>
        <v>0</v>
      </c>
      <c r="AD49" s="193" t="s">
        <v>25</v>
      </c>
      <c r="AE49" s="21"/>
      <c r="AF49" s="20"/>
      <c r="AG49" s="20"/>
    </row>
    <row r="50" spans="1:33" s="12" customFormat="1" ht="21" customHeight="1">
      <c r="A50" s="48"/>
      <c r="B50" s="310"/>
      <c r="C50" s="310"/>
      <c r="D50" s="171"/>
      <c r="E50" s="121"/>
      <c r="F50" s="121"/>
      <c r="G50" s="121"/>
      <c r="H50" s="121"/>
      <c r="I50" s="121"/>
      <c r="J50" s="121"/>
      <c r="K50" s="121"/>
      <c r="L50" s="80"/>
      <c r="M50" s="317" t="s">
        <v>139</v>
      </c>
      <c r="N50" s="317"/>
      <c r="O50" s="317"/>
      <c r="P50" s="317"/>
      <c r="Q50" s="316"/>
      <c r="R50" s="316"/>
      <c r="S50" s="55" t="s">
        <v>25</v>
      </c>
      <c r="T50" s="55" t="s">
        <v>26</v>
      </c>
      <c r="U50" s="316"/>
      <c r="V50" s="55" t="s">
        <v>140</v>
      </c>
      <c r="W50" s="316" t="s">
        <v>26</v>
      </c>
      <c r="X50" s="316"/>
      <c r="Y50" s="316" t="s">
        <v>141</v>
      </c>
      <c r="Z50" s="316" t="s">
        <v>27</v>
      </c>
      <c r="AA50" s="316"/>
      <c r="AB50" s="316"/>
      <c r="AC50" s="316">
        <v>0</v>
      </c>
      <c r="AD50" s="57" t="s">
        <v>66</v>
      </c>
      <c r="AE50" s="21"/>
      <c r="AF50" s="20"/>
      <c r="AG50" s="20"/>
    </row>
    <row r="51" spans="1:33" s="12" customFormat="1" ht="21" customHeight="1">
      <c r="A51" s="48"/>
      <c r="B51" s="310"/>
      <c r="C51" s="310"/>
      <c r="D51" s="171"/>
      <c r="E51" s="121"/>
      <c r="F51" s="121"/>
      <c r="G51" s="121"/>
      <c r="H51" s="121"/>
      <c r="I51" s="121"/>
      <c r="J51" s="121"/>
      <c r="K51" s="121"/>
      <c r="L51" s="80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243"/>
      <c r="AE51" s="2"/>
    </row>
    <row r="52" spans="1:33" s="12" customFormat="1" ht="21" customHeight="1">
      <c r="A52" s="48"/>
      <c r="B52" s="310"/>
      <c r="C52" s="309" t="s">
        <v>41</v>
      </c>
      <c r="D52" s="173">
        <v>2500</v>
      </c>
      <c r="E52" s="124">
        <f>ROUND(AC52/1000,0)</f>
        <v>1229</v>
      </c>
      <c r="F52" s="124">
        <f>(AC53+AC54)/1000</f>
        <v>1036.404</v>
      </c>
      <c r="G52" s="124">
        <v>0</v>
      </c>
      <c r="H52" s="124">
        <f>AC55/1000</f>
        <v>193</v>
      </c>
      <c r="I52" s="124">
        <v>0</v>
      </c>
      <c r="J52" s="124">
        <v>0</v>
      </c>
      <c r="K52" s="124">
        <f>E52-D52</f>
        <v>-1271</v>
      </c>
      <c r="L52" s="131">
        <f>IF(D52=0,0,K52/D52)</f>
        <v>-0.50839999999999996</v>
      </c>
      <c r="M52" s="109" t="s">
        <v>42</v>
      </c>
      <c r="N52" s="203"/>
      <c r="O52" s="203"/>
      <c r="P52" s="203"/>
      <c r="Q52" s="203"/>
      <c r="R52" s="203"/>
      <c r="S52" s="202"/>
      <c r="T52" s="202"/>
      <c r="U52" s="202"/>
      <c r="V52" s="202"/>
      <c r="W52" s="202"/>
      <c r="X52" s="314" t="s">
        <v>169</v>
      </c>
      <c r="Y52" s="314"/>
      <c r="Z52" s="314"/>
      <c r="AA52" s="314"/>
      <c r="AB52" s="194"/>
      <c r="AC52" s="194">
        <f>SUM(AC53:AC55)</f>
        <v>1229404</v>
      </c>
      <c r="AD52" s="193" t="s">
        <v>25</v>
      </c>
      <c r="AE52" s="1"/>
    </row>
    <row r="53" spans="1:33" s="12" customFormat="1" ht="21" customHeight="1">
      <c r="A53" s="48"/>
      <c r="B53" s="310"/>
      <c r="C53" s="310" t="s">
        <v>145</v>
      </c>
      <c r="D53" s="171"/>
      <c r="E53" s="121"/>
      <c r="F53" s="121"/>
      <c r="G53" s="121"/>
      <c r="H53" s="121"/>
      <c r="I53" s="121"/>
      <c r="J53" s="121"/>
      <c r="K53" s="121"/>
      <c r="L53" s="80"/>
      <c r="M53" s="176" t="s">
        <v>170</v>
      </c>
      <c r="N53" s="317"/>
      <c r="O53" s="317"/>
      <c r="P53" s="317"/>
      <c r="Q53" s="316"/>
      <c r="R53" s="316"/>
      <c r="S53" s="55"/>
      <c r="T53" s="316"/>
      <c r="U53" s="419"/>
      <c r="V53" s="420"/>
      <c r="W53" s="316"/>
      <c r="X53" s="100"/>
      <c r="Y53" s="100"/>
      <c r="Z53" s="100"/>
      <c r="AA53" s="100" t="s">
        <v>298</v>
      </c>
      <c r="AB53" s="100"/>
      <c r="AC53" s="100">
        <v>836314</v>
      </c>
      <c r="AD53" s="133" t="s">
        <v>25</v>
      </c>
      <c r="AE53" s="1"/>
    </row>
    <row r="54" spans="1:33" s="12" customFormat="1" ht="21" customHeight="1">
      <c r="A54" s="48"/>
      <c r="B54" s="310"/>
      <c r="C54" s="310"/>
      <c r="D54" s="171"/>
      <c r="E54" s="121"/>
      <c r="F54" s="121"/>
      <c r="G54" s="121"/>
      <c r="H54" s="121"/>
      <c r="I54" s="121"/>
      <c r="J54" s="121"/>
      <c r="K54" s="121"/>
      <c r="L54" s="80"/>
      <c r="M54" s="317" t="s">
        <v>206</v>
      </c>
      <c r="N54" s="317"/>
      <c r="O54" s="317"/>
      <c r="P54" s="317"/>
      <c r="Q54" s="316"/>
      <c r="R54" s="316"/>
      <c r="S54" s="55"/>
      <c r="T54" s="55"/>
      <c r="U54" s="316"/>
      <c r="V54" s="317"/>
      <c r="W54" s="316"/>
      <c r="X54" s="316"/>
      <c r="Y54" s="316"/>
      <c r="Z54" s="316"/>
      <c r="AA54" s="316" t="s">
        <v>298</v>
      </c>
      <c r="AB54" s="316"/>
      <c r="AC54" s="316">
        <v>200090</v>
      </c>
      <c r="AD54" s="57" t="s">
        <v>172</v>
      </c>
      <c r="AE54" s="21"/>
    </row>
    <row r="55" spans="1:33" s="12" customFormat="1" ht="21" customHeight="1">
      <c r="A55" s="48"/>
      <c r="B55" s="310"/>
      <c r="C55" s="310"/>
      <c r="D55" s="171"/>
      <c r="E55" s="121"/>
      <c r="F55" s="121"/>
      <c r="G55" s="121"/>
      <c r="H55" s="121"/>
      <c r="I55" s="121"/>
      <c r="J55" s="121"/>
      <c r="K55" s="121"/>
      <c r="L55" s="80"/>
      <c r="M55" s="317" t="s">
        <v>207</v>
      </c>
      <c r="N55" s="317"/>
      <c r="O55" s="317"/>
      <c r="P55" s="317"/>
      <c r="Q55" s="316"/>
      <c r="R55" s="316"/>
      <c r="S55" s="55"/>
      <c r="T55" s="55"/>
      <c r="U55" s="316"/>
      <c r="V55" s="317"/>
      <c r="W55" s="316"/>
      <c r="X55" s="316"/>
      <c r="Y55" s="316"/>
      <c r="Z55" s="316"/>
      <c r="AA55" s="316" t="s">
        <v>297</v>
      </c>
      <c r="AB55" s="316"/>
      <c r="AC55" s="316">
        <v>193000</v>
      </c>
      <c r="AD55" s="57" t="s">
        <v>204</v>
      </c>
      <c r="AE55" s="21"/>
    </row>
    <row r="56" spans="1:33" s="12" customFormat="1" ht="21" customHeight="1">
      <c r="A56" s="48"/>
      <c r="B56" s="310"/>
      <c r="C56" s="59"/>
      <c r="D56" s="172"/>
      <c r="E56" s="122"/>
      <c r="F56" s="122"/>
      <c r="G56" s="122"/>
      <c r="H56" s="122"/>
      <c r="I56" s="122"/>
      <c r="J56" s="122"/>
      <c r="K56" s="122"/>
      <c r="L56" s="96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3"/>
      <c r="AD56" s="144"/>
      <c r="AE56" s="1"/>
    </row>
    <row r="57" spans="1:33" s="12" customFormat="1" ht="21" customHeight="1">
      <c r="A57" s="48"/>
      <c r="B57" s="310"/>
      <c r="C57" s="310" t="s">
        <v>39</v>
      </c>
      <c r="D57" s="171">
        <v>3707</v>
      </c>
      <c r="E57" s="121">
        <f>ROUND(AC57/1000,0)</f>
        <v>3000</v>
      </c>
      <c r="F57" s="121">
        <f>(AC59+AC58)/1000</f>
        <v>2500</v>
      </c>
      <c r="G57" s="121">
        <v>0</v>
      </c>
      <c r="H57" s="121">
        <f>(AC60+AC61)/1000</f>
        <v>500</v>
      </c>
      <c r="I57" s="121">
        <v>0</v>
      </c>
      <c r="J57" s="121">
        <v>0</v>
      </c>
      <c r="K57" s="121">
        <f>E57-D57</f>
        <v>-707</v>
      </c>
      <c r="L57" s="80">
        <f>IF(D57=0,0,K57/D57)</f>
        <v>-0.19072025896951714</v>
      </c>
      <c r="M57" s="127" t="s">
        <v>43</v>
      </c>
      <c r="N57" s="201"/>
      <c r="O57" s="201"/>
      <c r="P57" s="201"/>
      <c r="Q57" s="201"/>
      <c r="R57" s="201"/>
      <c r="S57" s="200"/>
      <c r="T57" s="200"/>
      <c r="U57" s="200"/>
      <c r="V57" s="200"/>
      <c r="W57" s="200"/>
      <c r="X57" s="314" t="s">
        <v>134</v>
      </c>
      <c r="Y57" s="314"/>
      <c r="Z57" s="314"/>
      <c r="AA57" s="314"/>
      <c r="AB57" s="194"/>
      <c r="AC57" s="194">
        <f>SUM(AC58:AC61)</f>
        <v>3000000</v>
      </c>
      <c r="AD57" s="193" t="s">
        <v>25</v>
      </c>
      <c r="AE57" s="1"/>
    </row>
    <row r="58" spans="1:33" s="12" customFormat="1" ht="21" customHeight="1">
      <c r="A58" s="48"/>
      <c r="B58" s="310"/>
      <c r="C58" s="310"/>
      <c r="D58" s="171"/>
      <c r="E58" s="121"/>
      <c r="F58" s="121"/>
      <c r="G58" s="121"/>
      <c r="H58" s="121"/>
      <c r="I58" s="121"/>
      <c r="J58" s="121"/>
      <c r="K58" s="121"/>
      <c r="L58" s="80"/>
      <c r="M58" s="176" t="s">
        <v>290</v>
      </c>
      <c r="N58" s="317"/>
      <c r="O58" s="317"/>
      <c r="P58" s="317"/>
      <c r="Q58" s="139">
        <v>50000</v>
      </c>
      <c r="R58" s="139"/>
      <c r="S58" s="140" t="s">
        <v>25</v>
      </c>
      <c r="T58" s="140" t="s">
        <v>26</v>
      </c>
      <c r="U58" s="139">
        <v>10</v>
      </c>
      <c r="V58" s="138" t="s">
        <v>29</v>
      </c>
      <c r="W58" s="139" t="s">
        <v>27</v>
      </c>
      <c r="X58" s="316"/>
      <c r="Y58" s="316"/>
      <c r="Z58" s="316"/>
      <c r="AA58" s="316" t="s">
        <v>298</v>
      </c>
      <c r="AB58" s="316"/>
      <c r="AC58" s="316">
        <f>ROUNDUP(Q58*U58,1)</f>
        <v>500000</v>
      </c>
      <c r="AD58" s="57" t="s">
        <v>25</v>
      </c>
      <c r="AE58" s="1"/>
    </row>
    <row r="59" spans="1:33" s="12" customFormat="1" ht="21" customHeight="1">
      <c r="A59" s="48"/>
      <c r="B59" s="310"/>
      <c r="C59" s="310"/>
      <c r="D59" s="171"/>
      <c r="E59" s="121"/>
      <c r="F59" s="121"/>
      <c r="G59" s="121"/>
      <c r="H59" s="121"/>
      <c r="I59" s="121"/>
      <c r="J59" s="121"/>
      <c r="K59" s="121"/>
      <c r="L59" s="80"/>
      <c r="M59" s="76" t="s">
        <v>291</v>
      </c>
      <c r="N59" s="317"/>
      <c r="O59" s="317"/>
      <c r="P59" s="317"/>
      <c r="Q59" s="316">
        <v>200000</v>
      </c>
      <c r="R59" s="316"/>
      <c r="S59" s="55" t="s">
        <v>56</v>
      </c>
      <c r="T59" s="55" t="s">
        <v>26</v>
      </c>
      <c r="U59" s="316">
        <v>10</v>
      </c>
      <c r="V59" s="317" t="s">
        <v>0</v>
      </c>
      <c r="W59" s="316" t="s">
        <v>27</v>
      </c>
      <c r="X59" s="316"/>
      <c r="Y59" s="316"/>
      <c r="Z59" s="316"/>
      <c r="AA59" s="316" t="s">
        <v>298</v>
      </c>
      <c r="AB59" s="316"/>
      <c r="AC59" s="316">
        <f>Q59*U59</f>
        <v>2000000</v>
      </c>
      <c r="AD59" s="57" t="s">
        <v>111</v>
      </c>
      <c r="AE59" s="1"/>
    </row>
    <row r="60" spans="1:33" s="12" customFormat="1" ht="21" customHeight="1">
      <c r="A60" s="48"/>
      <c r="B60" s="310"/>
      <c r="C60" s="310"/>
      <c r="D60" s="171"/>
      <c r="E60" s="121"/>
      <c r="F60" s="121"/>
      <c r="G60" s="121"/>
      <c r="H60" s="121"/>
      <c r="I60" s="121"/>
      <c r="J60" s="121"/>
      <c r="K60" s="121"/>
      <c r="L60" s="80"/>
      <c r="M60" s="317" t="s">
        <v>292</v>
      </c>
      <c r="N60" s="317"/>
      <c r="O60" s="317"/>
      <c r="P60" s="317"/>
      <c r="Q60" s="139">
        <v>50000</v>
      </c>
      <c r="R60" s="139"/>
      <c r="S60" s="140" t="s">
        <v>25</v>
      </c>
      <c r="T60" s="140" t="s">
        <v>26</v>
      </c>
      <c r="U60" s="139">
        <v>2</v>
      </c>
      <c r="V60" s="138" t="s">
        <v>29</v>
      </c>
      <c r="W60" s="139" t="s">
        <v>27</v>
      </c>
      <c r="X60" s="316"/>
      <c r="Y60" s="316"/>
      <c r="Z60" s="316"/>
      <c r="AA60" s="316" t="s">
        <v>297</v>
      </c>
      <c r="AB60" s="316"/>
      <c r="AC60" s="316">
        <f>ROUNDUP(Q60*U60,1)</f>
        <v>100000</v>
      </c>
      <c r="AD60" s="57" t="s">
        <v>25</v>
      </c>
      <c r="AE60" s="1"/>
    </row>
    <row r="61" spans="1:33" s="12" customFormat="1" ht="21" customHeight="1">
      <c r="A61" s="48"/>
      <c r="B61" s="310"/>
      <c r="C61" s="310"/>
      <c r="D61" s="171"/>
      <c r="E61" s="121"/>
      <c r="F61" s="121"/>
      <c r="G61" s="121"/>
      <c r="H61" s="121"/>
      <c r="I61" s="121"/>
      <c r="J61" s="121"/>
      <c r="K61" s="121"/>
      <c r="L61" s="80"/>
      <c r="M61" s="317" t="s">
        <v>293</v>
      </c>
      <c r="N61" s="317"/>
      <c r="O61" s="317"/>
      <c r="P61" s="317"/>
      <c r="Q61" s="316">
        <v>200000</v>
      </c>
      <c r="R61" s="316"/>
      <c r="S61" s="55" t="s">
        <v>56</v>
      </c>
      <c r="T61" s="55" t="s">
        <v>26</v>
      </c>
      <c r="U61" s="316">
        <v>2</v>
      </c>
      <c r="V61" s="317" t="s">
        <v>0</v>
      </c>
      <c r="W61" s="316" t="s">
        <v>27</v>
      </c>
      <c r="X61" s="316"/>
      <c r="Y61" s="316"/>
      <c r="Z61" s="316"/>
      <c r="AA61" s="316" t="s">
        <v>297</v>
      </c>
      <c r="AB61" s="316"/>
      <c r="AC61" s="316">
        <f>Q61*U61</f>
        <v>400000</v>
      </c>
      <c r="AD61" s="57" t="s">
        <v>56</v>
      </c>
      <c r="AE61" s="1"/>
    </row>
    <row r="62" spans="1:33" s="15" customFormat="1" ht="9.75" customHeight="1">
      <c r="A62" s="48"/>
      <c r="B62" s="310"/>
      <c r="C62" s="310"/>
      <c r="D62" s="171"/>
      <c r="E62" s="121"/>
      <c r="F62" s="121"/>
      <c r="G62" s="121"/>
      <c r="H62" s="121"/>
      <c r="I62" s="121"/>
      <c r="J62" s="121"/>
      <c r="K62" s="121"/>
      <c r="L62" s="80"/>
      <c r="M62" s="130"/>
      <c r="N62" s="317"/>
      <c r="O62" s="317"/>
      <c r="P62" s="317"/>
      <c r="Q62" s="316"/>
      <c r="R62" s="316"/>
      <c r="S62" s="55"/>
      <c r="T62" s="55"/>
      <c r="U62" s="316"/>
      <c r="V62" s="317"/>
      <c r="W62" s="316"/>
      <c r="X62" s="316"/>
      <c r="Y62" s="316"/>
      <c r="Z62" s="316"/>
      <c r="AA62" s="316"/>
      <c r="AB62" s="316"/>
      <c r="AC62" s="316"/>
      <c r="AD62" s="57"/>
      <c r="AE62" s="4"/>
    </row>
    <row r="63" spans="1:33" ht="21" customHeight="1">
      <c r="A63" s="48"/>
      <c r="B63" s="310"/>
      <c r="C63" s="309" t="s">
        <v>15</v>
      </c>
      <c r="D63" s="173">
        <v>355</v>
      </c>
      <c r="E63" s="124">
        <f>ROUND(AC63/1000,0)</f>
        <v>336</v>
      </c>
      <c r="F63" s="124">
        <f>(AC66+AC67+AC68+AC64+AC65+AC69)/1000</f>
        <v>335.96</v>
      </c>
      <c r="G63" s="124">
        <v>0</v>
      </c>
      <c r="H63" s="124">
        <f>(F63)/1000</f>
        <v>0.33595999999999998</v>
      </c>
      <c r="I63" s="124">
        <v>0</v>
      </c>
      <c r="J63" s="124">
        <v>0</v>
      </c>
      <c r="K63" s="205">
        <f>E63-D63</f>
        <v>-19</v>
      </c>
      <c r="L63" s="131">
        <f>IF(D63=0,0,K63/D63)</f>
        <v>-5.3521126760563378E-2</v>
      </c>
      <c r="M63" s="109" t="s">
        <v>44</v>
      </c>
      <c r="N63" s="203"/>
      <c r="O63" s="203"/>
      <c r="P63" s="203"/>
      <c r="Q63" s="203"/>
      <c r="R63" s="203"/>
      <c r="S63" s="202"/>
      <c r="T63" s="202"/>
      <c r="U63" s="202"/>
      <c r="V63" s="202"/>
      <c r="W63" s="202"/>
      <c r="X63" s="314" t="s">
        <v>134</v>
      </c>
      <c r="Y63" s="314"/>
      <c r="Z63" s="314"/>
      <c r="AA63" s="314"/>
      <c r="AB63" s="194"/>
      <c r="AC63" s="194">
        <f>SUM(AC64:AC69)</f>
        <v>335960</v>
      </c>
      <c r="AD63" s="193" t="s">
        <v>25</v>
      </c>
    </row>
    <row r="64" spans="1:33" s="12" customFormat="1" ht="21" customHeight="1">
      <c r="A64" s="48"/>
      <c r="B64" s="310"/>
      <c r="C64" s="310"/>
      <c r="D64" s="171"/>
      <c r="E64" s="121"/>
      <c r="F64" s="121"/>
      <c r="G64" s="121"/>
      <c r="H64" s="121"/>
      <c r="I64" s="121"/>
      <c r="J64" s="121"/>
      <c r="K64" s="121"/>
      <c r="L64" s="80"/>
      <c r="M64" s="317" t="s">
        <v>173</v>
      </c>
      <c r="N64" s="145"/>
      <c r="O64" s="145"/>
      <c r="P64" s="145"/>
      <c r="Q64" s="139">
        <v>43200</v>
      </c>
      <c r="R64" s="139"/>
      <c r="S64" s="140" t="s">
        <v>25</v>
      </c>
      <c r="T64" s="140" t="s">
        <v>26</v>
      </c>
      <c r="U64" s="139">
        <v>1</v>
      </c>
      <c r="V64" s="138" t="s">
        <v>168</v>
      </c>
      <c r="W64" s="139" t="s">
        <v>27</v>
      </c>
      <c r="X64" s="316"/>
      <c r="Y64" s="316"/>
      <c r="Z64" s="317"/>
      <c r="AA64" s="317"/>
      <c r="AB64" s="316"/>
      <c r="AC64" s="316">
        <f>Q64*U64</f>
        <v>43200</v>
      </c>
      <c r="AD64" s="57" t="s">
        <v>172</v>
      </c>
      <c r="AE64" s="1"/>
    </row>
    <row r="65" spans="1:31" s="12" customFormat="1" ht="21" customHeight="1">
      <c r="A65" s="48"/>
      <c r="B65" s="310"/>
      <c r="C65" s="310"/>
      <c r="D65" s="171"/>
      <c r="E65" s="121"/>
      <c r="F65" s="121"/>
      <c r="G65" s="121"/>
      <c r="H65" s="121"/>
      <c r="I65" s="121"/>
      <c r="J65" s="121"/>
      <c r="K65" s="121"/>
      <c r="L65" s="80"/>
      <c r="M65" s="231" t="s">
        <v>174</v>
      </c>
      <c r="N65" s="34"/>
      <c r="O65" s="34"/>
      <c r="P65" s="34"/>
      <c r="Q65" s="139">
        <v>73400</v>
      </c>
      <c r="R65" s="139"/>
      <c r="S65" s="140" t="s">
        <v>25</v>
      </c>
      <c r="T65" s="140" t="s">
        <v>26</v>
      </c>
      <c r="U65" s="139">
        <v>1</v>
      </c>
      <c r="V65" s="138" t="s">
        <v>168</v>
      </c>
      <c r="W65" s="139" t="s">
        <v>27</v>
      </c>
      <c r="X65" s="316"/>
      <c r="Y65" s="316"/>
      <c r="Z65" s="317"/>
      <c r="AA65" s="317"/>
      <c r="AB65" s="316"/>
      <c r="AC65" s="316">
        <f>Q65*U65</f>
        <v>73400</v>
      </c>
      <c r="AD65" s="57" t="s">
        <v>172</v>
      </c>
      <c r="AE65" s="1"/>
    </row>
    <row r="66" spans="1:31" s="12" customFormat="1" ht="21" customHeight="1">
      <c r="A66" s="48"/>
      <c r="B66" s="310"/>
      <c r="C66" s="310"/>
      <c r="D66" s="171"/>
      <c r="E66" s="121"/>
      <c r="F66" s="121"/>
      <c r="G66" s="121"/>
      <c r="H66" s="121"/>
      <c r="I66" s="121"/>
      <c r="J66" s="121"/>
      <c r="K66" s="121"/>
      <c r="L66" s="80"/>
      <c r="M66" s="317" t="s">
        <v>175</v>
      </c>
      <c r="N66" s="34"/>
      <c r="O66" s="34"/>
      <c r="P66" s="34"/>
      <c r="Q66" s="139">
        <v>110000</v>
      </c>
      <c r="R66" s="139"/>
      <c r="S66" s="140" t="s">
        <v>25</v>
      </c>
      <c r="T66" s="140" t="s">
        <v>26</v>
      </c>
      <c r="U66" s="139">
        <v>1</v>
      </c>
      <c r="V66" s="138" t="s">
        <v>168</v>
      </c>
      <c r="W66" s="139" t="s">
        <v>27</v>
      </c>
      <c r="X66" s="316"/>
      <c r="Y66" s="316"/>
      <c r="Z66" s="317"/>
      <c r="AA66" s="317"/>
      <c r="AB66" s="316"/>
      <c r="AC66" s="316">
        <f t="shared" ref="AC66:AC68" si="6">Q66*U66</f>
        <v>110000</v>
      </c>
      <c r="AD66" s="57" t="s">
        <v>25</v>
      </c>
      <c r="AE66" s="1"/>
    </row>
    <row r="67" spans="1:31" s="12" customFormat="1" ht="21" customHeight="1">
      <c r="A67" s="48"/>
      <c r="B67" s="310"/>
      <c r="C67" s="310"/>
      <c r="D67" s="171"/>
      <c r="E67" s="121"/>
      <c r="F67" s="121"/>
      <c r="G67" s="121"/>
      <c r="H67" s="121"/>
      <c r="I67" s="121"/>
      <c r="J67" s="121"/>
      <c r="K67" s="121"/>
      <c r="L67" s="80"/>
      <c r="M67" s="317" t="s">
        <v>176</v>
      </c>
      <c r="N67" s="145"/>
      <c r="O67" s="145"/>
      <c r="P67" s="145"/>
      <c r="Q67" s="139">
        <v>55000</v>
      </c>
      <c r="R67" s="139"/>
      <c r="S67" s="140" t="s">
        <v>25</v>
      </c>
      <c r="T67" s="140" t="s">
        <v>26</v>
      </c>
      <c r="U67" s="139">
        <v>1</v>
      </c>
      <c r="V67" s="138" t="s">
        <v>168</v>
      </c>
      <c r="W67" s="139" t="s">
        <v>27</v>
      </c>
      <c r="X67" s="316"/>
      <c r="Y67" s="316"/>
      <c r="Z67" s="317"/>
      <c r="AA67" s="317"/>
      <c r="AB67" s="316"/>
      <c r="AC67" s="316">
        <f t="shared" si="6"/>
        <v>55000</v>
      </c>
      <c r="AD67" s="57" t="s">
        <v>25</v>
      </c>
      <c r="AE67" s="1"/>
    </row>
    <row r="68" spans="1:31" s="12" customFormat="1" ht="21" customHeight="1">
      <c r="A68" s="48"/>
      <c r="B68" s="310"/>
      <c r="C68" s="310"/>
      <c r="D68" s="171"/>
      <c r="E68" s="121"/>
      <c r="F68" s="121"/>
      <c r="G68" s="121"/>
      <c r="H68" s="121"/>
      <c r="I68" s="121"/>
      <c r="J68" s="121"/>
      <c r="K68" s="121"/>
      <c r="L68" s="80"/>
      <c r="M68" s="317" t="s">
        <v>177</v>
      </c>
      <c r="N68" s="34"/>
      <c r="O68" s="34"/>
      <c r="P68" s="34"/>
      <c r="Q68" s="139">
        <v>28600</v>
      </c>
      <c r="R68" s="139"/>
      <c r="S68" s="140" t="s">
        <v>25</v>
      </c>
      <c r="T68" s="140" t="s">
        <v>26</v>
      </c>
      <c r="U68" s="139">
        <v>1</v>
      </c>
      <c r="V68" s="138" t="s">
        <v>168</v>
      </c>
      <c r="W68" s="139" t="s">
        <v>27</v>
      </c>
      <c r="X68" s="316"/>
      <c r="Y68" s="316"/>
      <c r="Z68" s="317"/>
      <c r="AA68" s="317"/>
      <c r="AB68" s="316"/>
      <c r="AC68" s="316">
        <f t="shared" si="6"/>
        <v>28600</v>
      </c>
      <c r="AD68" s="57" t="s">
        <v>25</v>
      </c>
      <c r="AE68" s="1"/>
    </row>
    <row r="69" spans="1:31" s="12" customFormat="1" ht="21" customHeight="1">
      <c r="A69" s="48"/>
      <c r="B69" s="310"/>
      <c r="C69" s="310"/>
      <c r="D69" s="171"/>
      <c r="E69" s="121"/>
      <c r="F69" s="121"/>
      <c r="G69" s="121"/>
      <c r="H69" s="121"/>
      <c r="I69" s="121"/>
      <c r="J69" s="121"/>
      <c r="K69" s="121"/>
      <c r="L69" s="80"/>
      <c r="M69" s="317" t="s">
        <v>284</v>
      </c>
      <c r="N69" s="34"/>
      <c r="O69" s="34"/>
      <c r="P69" s="34"/>
      <c r="Q69" s="139">
        <v>25760</v>
      </c>
      <c r="R69" s="139"/>
      <c r="S69" s="140" t="s">
        <v>25</v>
      </c>
      <c r="T69" s="140" t="s">
        <v>26</v>
      </c>
      <c r="U69" s="139">
        <v>1</v>
      </c>
      <c r="V69" s="138" t="s">
        <v>74</v>
      </c>
      <c r="W69" s="139" t="s">
        <v>27</v>
      </c>
      <c r="X69" s="316"/>
      <c r="Y69" s="316"/>
      <c r="Z69" s="317"/>
      <c r="AA69" s="317"/>
      <c r="AB69" s="316"/>
      <c r="AC69" s="316">
        <f t="shared" ref="AC69" si="7">Q69*U69</f>
        <v>25760</v>
      </c>
      <c r="AD69" s="57" t="s">
        <v>66</v>
      </c>
      <c r="AE69" s="1"/>
    </row>
    <row r="70" spans="1:31" s="12" customFormat="1" ht="9.75" customHeight="1">
      <c r="A70" s="48"/>
      <c r="B70" s="310"/>
      <c r="C70" s="310"/>
      <c r="D70" s="171"/>
      <c r="E70" s="121"/>
      <c r="F70" s="121"/>
      <c r="G70" s="121"/>
      <c r="H70" s="121"/>
      <c r="I70" s="121"/>
      <c r="J70" s="121"/>
      <c r="K70" s="121"/>
      <c r="L70" s="80"/>
      <c r="M70" s="317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85"/>
      <c r="Y70" s="85"/>
      <c r="Z70" s="85"/>
      <c r="AA70" s="85"/>
      <c r="AB70" s="85"/>
      <c r="AC70" s="316"/>
      <c r="AD70" s="57"/>
      <c r="AE70" s="1"/>
    </row>
    <row r="71" spans="1:31" s="12" customFormat="1" ht="21" customHeight="1">
      <c r="A71" s="48"/>
      <c r="B71" s="310"/>
      <c r="C71" s="309" t="s">
        <v>45</v>
      </c>
      <c r="D71" s="173">
        <v>0</v>
      </c>
      <c r="E71" s="124">
        <f>ROUND(AC71/1000,0)</f>
        <v>0</v>
      </c>
      <c r="F71" s="124">
        <v>0</v>
      </c>
      <c r="G71" s="124">
        <v>0</v>
      </c>
      <c r="H71" s="124">
        <v>0</v>
      </c>
      <c r="I71" s="124">
        <v>0</v>
      </c>
      <c r="J71" s="124">
        <v>0</v>
      </c>
      <c r="K71" s="124">
        <f>E71-D71</f>
        <v>0</v>
      </c>
      <c r="L71" s="131">
        <f>IF(D71=0,0,K71/D71)</f>
        <v>0</v>
      </c>
      <c r="M71" s="109" t="s">
        <v>46</v>
      </c>
      <c r="N71" s="203"/>
      <c r="O71" s="203"/>
      <c r="P71" s="203"/>
      <c r="Q71" s="203"/>
      <c r="R71" s="203"/>
      <c r="S71" s="202"/>
      <c r="T71" s="202"/>
      <c r="U71" s="202"/>
      <c r="V71" s="202"/>
      <c r="W71" s="202"/>
      <c r="X71" s="314" t="s">
        <v>134</v>
      </c>
      <c r="Y71" s="314"/>
      <c r="Z71" s="314"/>
      <c r="AA71" s="314"/>
      <c r="AB71" s="194"/>
      <c r="AC71" s="194">
        <f>SUM(AC72:AC72)</f>
        <v>0</v>
      </c>
      <c r="AD71" s="193" t="s">
        <v>25</v>
      </c>
      <c r="AE71" s="1"/>
    </row>
    <row r="72" spans="1:31" s="12" customFormat="1" ht="21" customHeight="1">
      <c r="A72" s="48"/>
      <c r="B72" s="310"/>
      <c r="C72" s="310"/>
      <c r="D72" s="344"/>
      <c r="E72" s="121"/>
      <c r="F72" s="121"/>
      <c r="G72" s="121"/>
      <c r="H72" s="121"/>
      <c r="I72" s="121"/>
      <c r="J72" s="121"/>
      <c r="K72" s="121"/>
      <c r="L72" s="80"/>
      <c r="M72" s="317" t="s">
        <v>178</v>
      </c>
      <c r="N72" s="317"/>
      <c r="O72" s="317"/>
      <c r="P72" s="317"/>
      <c r="Q72" s="139">
        <v>0</v>
      </c>
      <c r="R72" s="139"/>
      <c r="S72" s="140" t="s">
        <v>25</v>
      </c>
      <c r="T72" s="140" t="s">
        <v>26</v>
      </c>
      <c r="U72" s="139">
        <v>12</v>
      </c>
      <c r="V72" s="138" t="s">
        <v>171</v>
      </c>
      <c r="W72" s="139" t="s">
        <v>27</v>
      </c>
      <c r="X72" s="316"/>
      <c r="Y72" s="316"/>
      <c r="Z72" s="316"/>
      <c r="AA72" s="316"/>
      <c r="AB72" s="316"/>
      <c r="AC72" s="316">
        <f>Q72*U72</f>
        <v>0</v>
      </c>
      <c r="AD72" s="57" t="s">
        <v>25</v>
      </c>
      <c r="AE72" s="1"/>
    </row>
    <row r="73" spans="1:31" s="12" customFormat="1" ht="21" customHeight="1">
      <c r="A73" s="48"/>
      <c r="B73" s="310"/>
      <c r="C73" s="59"/>
      <c r="D73" s="146"/>
      <c r="E73" s="122"/>
      <c r="F73" s="122"/>
      <c r="G73" s="122"/>
      <c r="H73" s="122"/>
      <c r="I73" s="122"/>
      <c r="J73" s="122"/>
      <c r="K73" s="122"/>
      <c r="L73" s="96"/>
      <c r="M73" s="313"/>
      <c r="N73" s="313"/>
      <c r="O73" s="313"/>
      <c r="P73" s="313"/>
      <c r="Q73" s="312"/>
      <c r="R73" s="312"/>
      <c r="S73" s="97"/>
      <c r="T73" s="312"/>
      <c r="U73" s="415"/>
      <c r="V73" s="416"/>
      <c r="W73" s="312"/>
      <c r="X73" s="312"/>
      <c r="Y73" s="312"/>
      <c r="Z73" s="312"/>
      <c r="AA73" s="312"/>
      <c r="AB73" s="312"/>
      <c r="AC73" s="312"/>
      <c r="AD73" s="83"/>
      <c r="AE73" s="1"/>
    </row>
    <row r="74" spans="1:31" s="12" customFormat="1" ht="21" customHeight="1">
      <c r="A74" s="48"/>
      <c r="B74" s="310"/>
      <c r="C74" s="309" t="s">
        <v>97</v>
      </c>
      <c r="D74" s="147">
        <v>0</v>
      </c>
      <c r="E74" s="124">
        <f>ROUND(AC74/1000,0)</f>
        <v>0</v>
      </c>
      <c r="F74" s="124">
        <v>0</v>
      </c>
      <c r="G74" s="124">
        <v>0</v>
      </c>
      <c r="H74" s="124">
        <v>0</v>
      </c>
      <c r="I74" s="124">
        <v>0</v>
      </c>
      <c r="J74" s="124">
        <v>0</v>
      </c>
      <c r="K74" s="124">
        <f>E74-D74</f>
        <v>0</v>
      </c>
      <c r="L74" s="131">
        <f>IF(D74=0,0,K74/D74)</f>
        <v>0</v>
      </c>
      <c r="M74" s="127" t="s">
        <v>98</v>
      </c>
      <c r="N74" s="203"/>
      <c r="O74" s="203"/>
      <c r="P74" s="203"/>
      <c r="Q74" s="203"/>
      <c r="R74" s="203"/>
      <c r="S74" s="202"/>
      <c r="T74" s="202"/>
      <c r="U74" s="202"/>
      <c r="V74" s="202"/>
      <c r="W74" s="202"/>
      <c r="X74" s="314" t="s">
        <v>134</v>
      </c>
      <c r="Y74" s="314"/>
      <c r="Z74" s="314"/>
      <c r="AA74" s="314"/>
      <c r="AB74" s="194"/>
      <c r="AC74" s="194">
        <f>SUM(AC75)</f>
        <v>0</v>
      </c>
      <c r="AD74" s="193" t="s">
        <v>25</v>
      </c>
      <c r="AE74" s="1"/>
    </row>
    <row r="75" spans="1:31" s="12" customFormat="1" ht="20.25" customHeight="1">
      <c r="A75" s="48"/>
      <c r="B75" s="310"/>
      <c r="C75" s="310"/>
      <c r="D75" s="148"/>
      <c r="E75" s="121"/>
      <c r="F75" s="121"/>
      <c r="G75" s="121"/>
      <c r="H75" s="121"/>
      <c r="I75" s="121"/>
      <c r="J75" s="121"/>
      <c r="K75" s="121"/>
      <c r="L75" s="80"/>
      <c r="M75" s="317" t="s">
        <v>179</v>
      </c>
      <c r="N75" s="317"/>
      <c r="O75" s="317"/>
      <c r="P75" s="317"/>
      <c r="Q75" s="85"/>
      <c r="R75" s="85"/>
      <c r="S75" s="316"/>
      <c r="T75" s="316"/>
      <c r="U75" s="316"/>
      <c r="V75" s="316"/>
      <c r="W75" s="316"/>
      <c r="X75" s="316"/>
      <c r="Y75" s="316"/>
      <c r="Z75" s="316"/>
      <c r="AA75" s="316"/>
      <c r="AB75" s="77"/>
      <c r="AC75" s="77">
        <v>0</v>
      </c>
      <c r="AD75" s="57" t="s">
        <v>172</v>
      </c>
      <c r="AE75" s="2"/>
    </row>
    <row r="76" spans="1:31" s="12" customFormat="1" ht="20.25" customHeight="1">
      <c r="A76" s="48"/>
      <c r="B76" s="310"/>
      <c r="C76" s="49"/>
      <c r="D76" s="148"/>
      <c r="E76" s="121"/>
      <c r="F76" s="121"/>
      <c r="G76" s="121"/>
      <c r="H76" s="121"/>
      <c r="I76" s="121"/>
      <c r="J76" s="121"/>
      <c r="K76" s="121"/>
      <c r="L76" s="80"/>
      <c r="M76" s="81"/>
      <c r="N76" s="313"/>
      <c r="O76" s="313"/>
      <c r="P76" s="313"/>
      <c r="Q76" s="98"/>
      <c r="R76" s="98"/>
      <c r="S76" s="312"/>
      <c r="T76" s="312"/>
      <c r="U76" s="312"/>
      <c r="V76" s="312"/>
      <c r="W76" s="312"/>
      <c r="X76" s="312"/>
      <c r="Y76" s="312"/>
      <c r="Z76" s="312"/>
      <c r="AA76" s="312"/>
      <c r="AB76" s="82"/>
      <c r="AC76" s="82"/>
      <c r="AD76" s="83"/>
      <c r="AE76" s="2"/>
    </row>
    <row r="77" spans="1:31" s="12" customFormat="1" ht="21" customHeight="1">
      <c r="A77" s="123" t="s">
        <v>47</v>
      </c>
      <c r="B77" s="414" t="s">
        <v>21</v>
      </c>
      <c r="C77" s="414"/>
      <c r="D77" s="208">
        <v>128</v>
      </c>
      <c r="E77" s="208">
        <f>E78</f>
        <v>1950</v>
      </c>
      <c r="F77" s="208">
        <f>F78</f>
        <v>0</v>
      </c>
      <c r="G77" s="208">
        <f>G78</f>
        <v>1000</v>
      </c>
      <c r="H77" s="208">
        <f>H78</f>
        <v>950</v>
      </c>
      <c r="I77" s="208">
        <v>0</v>
      </c>
      <c r="J77" s="208">
        <f t="shared" ref="J77" si="8">J78</f>
        <v>0</v>
      </c>
      <c r="K77" s="208">
        <f>E77-D77</f>
        <v>1822</v>
      </c>
      <c r="L77" s="186">
        <f>IF(D77=0,0,K77/D77)</f>
        <v>14.234375</v>
      </c>
      <c r="M77" s="201" t="s">
        <v>142</v>
      </c>
      <c r="N77" s="201"/>
      <c r="O77" s="201"/>
      <c r="P77" s="201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>
        <f>AC78</f>
        <v>1950000</v>
      </c>
      <c r="AD77" s="38" t="s">
        <v>25</v>
      </c>
      <c r="AE77" s="2"/>
    </row>
    <row r="78" spans="1:31" s="12" customFormat="1" ht="21" customHeight="1">
      <c r="A78" s="207" t="s">
        <v>149</v>
      </c>
      <c r="B78" s="310" t="s">
        <v>18</v>
      </c>
      <c r="C78" s="310" t="s">
        <v>143</v>
      </c>
      <c r="D78" s="171">
        <v>128</v>
      </c>
      <c r="E78" s="121">
        <f>SUM(E79,E81,E84)</f>
        <v>1950</v>
      </c>
      <c r="F78" s="121">
        <f>F79+F81+F84</f>
        <v>0</v>
      </c>
      <c r="G78" s="121">
        <f>SUM(G79,G81,G84)</f>
        <v>1000</v>
      </c>
      <c r="H78" s="121">
        <f>SUM(H81,H84)</f>
        <v>950</v>
      </c>
      <c r="I78" s="121">
        <v>0</v>
      </c>
      <c r="J78" s="121">
        <f>SUM(J79,J81,J84)</f>
        <v>0</v>
      </c>
      <c r="K78" s="121">
        <f>E78-D78</f>
        <v>1822</v>
      </c>
      <c r="L78" s="80">
        <f>IF(D78=0,0,K78/D78)</f>
        <v>14.234375</v>
      </c>
      <c r="M78" s="203" t="s">
        <v>144</v>
      </c>
      <c r="N78" s="203"/>
      <c r="O78" s="203"/>
      <c r="P78" s="203"/>
      <c r="Q78" s="203"/>
      <c r="R78" s="203"/>
      <c r="S78" s="202"/>
      <c r="T78" s="202"/>
      <c r="U78" s="202"/>
      <c r="V78" s="202"/>
      <c r="W78" s="202"/>
      <c r="X78" s="202"/>
      <c r="Y78" s="202"/>
      <c r="Z78" s="202"/>
      <c r="AA78" s="202"/>
      <c r="AB78" s="106"/>
      <c r="AC78" s="106">
        <f>SUM(AC79,AC81,AC84)</f>
        <v>1950000</v>
      </c>
      <c r="AD78" s="107" t="s">
        <v>25</v>
      </c>
      <c r="AE78" s="1"/>
    </row>
    <row r="79" spans="1:31" s="12" customFormat="1" ht="21" customHeight="1">
      <c r="A79" s="48"/>
      <c r="B79" s="310"/>
      <c r="C79" s="309" t="s">
        <v>144</v>
      </c>
      <c r="D79" s="205">
        <v>0</v>
      </c>
      <c r="E79" s="205">
        <v>0</v>
      </c>
      <c r="F79" s="205">
        <f>ROUND(AC80/1000,0)</f>
        <v>0</v>
      </c>
      <c r="G79" s="205">
        <v>0</v>
      </c>
      <c r="H79" s="205">
        <v>0</v>
      </c>
      <c r="I79" s="205">
        <v>0</v>
      </c>
      <c r="J79" s="205">
        <v>0</v>
      </c>
      <c r="K79" s="205">
        <f>E79-D79</f>
        <v>0</v>
      </c>
      <c r="L79" s="206">
        <f>IF(D79=0,0,K79/D79)</f>
        <v>0</v>
      </c>
      <c r="M79" s="109" t="s">
        <v>48</v>
      </c>
      <c r="N79" s="203"/>
      <c r="O79" s="203"/>
      <c r="P79" s="203"/>
      <c r="Q79" s="203"/>
      <c r="R79" s="203"/>
      <c r="S79" s="202"/>
      <c r="T79" s="202"/>
      <c r="U79" s="202"/>
      <c r="V79" s="202"/>
      <c r="W79" s="202"/>
      <c r="X79" s="314" t="s">
        <v>134</v>
      </c>
      <c r="Y79" s="314"/>
      <c r="Z79" s="314"/>
      <c r="AA79" s="314"/>
      <c r="AB79" s="194"/>
      <c r="AC79" s="194">
        <f>SUM(AC80:AC80)</f>
        <v>0</v>
      </c>
      <c r="AD79" s="193" t="s">
        <v>25</v>
      </c>
      <c r="AE79" s="1"/>
    </row>
    <row r="80" spans="1:31" s="12" customFormat="1" ht="21" customHeight="1">
      <c r="A80" s="48"/>
      <c r="B80" s="310"/>
      <c r="C80" s="310"/>
      <c r="D80" s="344"/>
      <c r="E80" s="121"/>
      <c r="F80" s="121"/>
      <c r="G80" s="121"/>
      <c r="H80" s="121"/>
      <c r="I80" s="121"/>
      <c r="J80" s="121"/>
      <c r="K80" s="121"/>
      <c r="L80" s="80"/>
      <c r="M80" s="317"/>
      <c r="N80" s="201"/>
      <c r="O80" s="201"/>
      <c r="P80" s="201"/>
      <c r="Q80" s="201"/>
      <c r="R80" s="201"/>
      <c r="S80" s="200"/>
      <c r="T80" s="200"/>
      <c r="U80" s="200"/>
      <c r="V80" s="200"/>
      <c r="W80" s="200"/>
      <c r="X80" s="200"/>
      <c r="Y80" s="200"/>
      <c r="Z80" s="200"/>
      <c r="AA80" s="316"/>
      <c r="AB80" s="52"/>
      <c r="AC80" s="77"/>
      <c r="AD80" s="57"/>
      <c r="AE80" s="2"/>
    </row>
    <row r="81" spans="1:31" s="12" customFormat="1" ht="21" customHeight="1">
      <c r="A81" s="48"/>
      <c r="B81" s="310"/>
      <c r="C81" s="309" t="s">
        <v>19</v>
      </c>
      <c r="D81" s="173">
        <v>128</v>
      </c>
      <c r="E81" s="124">
        <f>F81+G81+H81+J81</f>
        <v>750</v>
      </c>
      <c r="F81" s="124">
        <f>AC83/1000</f>
        <v>0</v>
      </c>
      <c r="G81" s="124"/>
      <c r="H81" s="124">
        <f>(AC82)/1000</f>
        <v>750</v>
      </c>
      <c r="I81" s="124">
        <v>0</v>
      </c>
      <c r="J81" s="124">
        <v>0</v>
      </c>
      <c r="K81" s="124">
        <f>E81-D81</f>
        <v>622</v>
      </c>
      <c r="L81" s="131">
        <f>IF(D81=0,0,K81/D81)</f>
        <v>4.859375</v>
      </c>
      <c r="M81" s="109" t="s">
        <v>49</v>
      </c>
      <c r="N81" s="203"/>
      <c r="O81" s="203"/>
      <c r="P81" s="203"/>
      <c r="Q81" s="203"/>
      <c r="R81" s="203"/>
      <c r="S81" s="202"/>
      <c r="T81" s="202"/>
      <c r="U81" s="202"/>
      <c r="V81" s="202"/>
      <c r="W81" s="202"/>
      <c r="X81" s="314" t="s">
        <v>134</v>
      </c>
      <c r="Y81" s="314"/>
      <c r="Z81" s="314"/>
      <c r="AA81" s="314"/>
      <c r="AB81" s="194"/>
      <c r="AC81" s="194">
        <f>SUM(AC82:AC83)</f>
        <v>750000</v>
      </c>
      <c r="AD81" s="193" t="s">
        <v>25</v>
      </c>
      <c r="AE81" s="1"/>
    </row>
    <row r="82" spans="1:31" s="12" customFormat="1" ht="21" customHeight="1">
      <c r="A82" s="48"/>
      <c r="B82" s="310"/>
      <c r="C82" s="310"/>
      <c r="D82" s="344"/>
      <c r="E82" s="121"/>
      <c r="F82" s="121"/>
      <c r="G82" s="121"/>
      <c r="H82" s="121"/>
      <c r="I82" s="121"/>
      <c r="J82" s="121"/>
      <c r="K82" s="121"/>
      <c r="L82" s="80"/>
      <c r="M82" s="317" t="s">
        <v>332</v>
      </c>
      <c r="N82" s="317"/>
      <c r="O82" s="317"/>
      <c r="P82" s="201"/>
      <c r="Q82" s="316"/>
      <c r="R82" s="316"/>
      <c r="S82" s="316"/>
      <c r="T82" s="55"/>
      <c r="U82" s="316"/>
      <c r="V82" s="316"/>
      <c r="W82" s="55"/>
      <c r="X82" s="316"/>
      <c r="Y82" s="316"/>
      <c r="Z82" s="211"/>
      <c r="AA82" s="316" t="s">
        <v>109</v>
      </c>
      <c r="AB82" s="77"/>
      <c r="AC82" s="77">
        <v>750000</v>
      </c>
      <c r="AD82" s="57" t="s">
        <v>25</v>
      </c>
      <c r="AE82" s="2"/>
    </row>
    <row r="83" spans="1:31" s="12" customFormat="1" ht="21" customHeight="1">
      <c r="A83" s="48"/>
      <c r="B83" s="310"/>
      <c r="C83" s="310"/>
      <c r="D83" s="344"/>
      <c r="E83" s="121"/>
      <c r="F83" s="121"/>
      <c r="G83" s="121"/>
      <c r="H83" s="121"/>
      <c r="I83" s="121"/>
      <c r="J83" s="121"/>
      <c r="K83" s="121"/>
      <c r="L83" s="80"/>
      <c r="M83" s="317"/>
      <c r="N83" s="317"/>
      <c r="O83" s="317"/>
      <c r="P83" s="317"/>
      <c r="Q83" s="317"/>
      <c r="R83" s="317"/>
      <c r="S83" s="316"/>
      <c r="T83" s="200"/>
      <c r="U83" s="200"/>
      <c r="V83" s="200"/>
      <c r="W83" s="200"/>
      <c r="X83" s="200"/>
      <c r="Y83" s="200"/>
      <c r="Z83" s="200"/>
      <c r="AA83" s="316"/>
      <c r="AB83" s="52"/>
      <c r="AC83" s="77"/>
      <c r="AD83" s="57"/>
      <c r="AE83" s="2"/>
    </row>
    <row r="84" spans="1:31" s="12" customFormat="1" ht="21" customHeight="1">
      <c r="A84" s="48"/>
      <c r="B84" s="310"/>
      <c r="C84" s="309" t="s">
        <v>50</v>
      </c>
      <c r="D84" s="173">
        <v>0</v>
      </c>
      <c r="E84" s="124">
        <f>F84+H84+J84+G84</f>
        <v>1200</v>
      </c>
      <c r="F84" s="124"/>
      <c r="G84" s="346">
        <f>AC85/1000</f>
        <v>1000</v>
      </c>
      <c r="H84" s="124">
        <f>AC86/1000</f>
        <v>200</v>
      </c>
      <c r="I84" s="124">
        <v>0</v>
      </c>
      <c r="J84" s="124">
        <v>0</v>
      </c>
      <c r="K84" s="124">
        <f>E84-D84</f>
        <v>1200</v>
      </c>
      <c r="L84" s="131">
        <f>IF(D84=0,0,K84/D84)</f>
        <v>0</v>
      </c>
      <c r="M84" s="109" t="s">
        <v>51</v>
      </c>
      <c r="N84" s="203"/>
      <c r="O84" s="203"/>
      <c r="P84" s="203"/>
      <c r="Q84" s="203"/>
      <c r="R84" s="203"/>
      <c r="S84" s="202"/>
      <c r="T84" s="202"/>
      <c r="U84" s="202"/>
      <c r="V84" s="202"/>
      <c r="W84" s="202"/>
      <c r="X84" s="314" t="s">
        <v>134</v>
      </c>
      <c r="Y84" s="314"/>
      <c r="Z84" s="314"/>
      <c r="AA84" s="314"/>
      <c r="AB84" s="194"/>
      <c r="AC84" s="194">
        <f>SUM(AC85:AC86)</f>
        <v>1200000</v>
      </c>
      <c r="AD84" s="193" t="s">
        <v>25</v>
      </c>
      <c r="AE84" s="1"/>
    </row>
    <row r="85" spans="1:31" s="1" customFormat="1" ht="21" customHeight="1">
      <c r="A85" s="48"/>
      <c r="B85" s="310"/>
      <c r="C85" s="310" t="s">
        <v>151</v>
      </c>
      <c r="D85" s="171"/>
      <c r="E85" s="121"/>
      <c r="F85" s="121"/>
      <c r="G85" s="121"/>
      <c r="H85" s="121"/>
      <c r="I85" s="121"/>
      <c r="J85" s="121"/>
      <c r="K85" s="121"/>
      <c r="L85" s="80"/>
      <c r="M85" s="317" t="s">
        <v>328</v>
      </c>
      <c r="N85" s="317"/>
      <c r="O85" s="317"/>
      <c r="P85" s="317"/>
      <c r="Q85" s="316"/>
      <c r="R85" s="316"/>
      <c r="S85" s="55"/>
      <c r="T85" s="55"/>
      <c r="U85" s="316"/>
      <c r="V85" s="317"/>
      <c r="W85" s="316"/>
      <c r="X85" s="316"/>
      <c r="Y85" s="316"/>
      <c r="Z85" s="316"/>
      <c r="AA85" s="316" t="s">
        <v>349</v>
      </c>
      <c r="AB85" s="316"/>
      <c r="AC85" s="316">
        <v>1000000</v>
      </c>
      <c r="AD85" s="57" t="s">
        <v>25</v>
      </c>
      <c r="AE85" s="2"/>
    </row>
    <row r="86" spans="1:31" s="1" customFormat="1" ht="21" customHeight="1">
      <c r="A86" s="48"/>
      <c r="B86" s="310"/>
      <c r="C86" s="310"/>
      <c r="D86" s="171"/>
      <c r="E86" s="121"/>
      <c r="F86" s="121"/>
      <c r="G86" s="121"/>
      <c r="H86" s="121"/>
      <c r="I86" s="121"/>
      <c r="J86" s="121"/>
      <c r="K86" s="121"/>
      <c r="L86" s="80"/>
      <c r="M86" s="317"/>
      <c r="N86" s="317"/>
      <c r="O86" s="317"/>
      <c r="P86" s="317"/>
      <c r="Q86" s="316"/>
      <c r="R86" s="316"/>
      <c r="S86" s="55"/>
      <c r="T86" s="55"/>
      <c r="U86" s="316"/>
      <c r="V86" s="317"/>
      <c r="W86" s="316"/>
      <c r="X86" s="316"/>
      <c r="Y86" s="316"/>
      <c r="Z86" s="316"/>
      <c r="AA86" s="316" t="s">
        <v>329</v>
      </c>
      <c r="AB86" s="316"/>
      <c r="AC86" s="316">
        <v>200000</v>
      </c>
      <c r="AD86" s="57" t="s">
        <v>324</v>
      </c>
      <c r="AE86" s="2"/>
    </row>
    <row r="87" spans="1:31" s="12" customFormat="1" ht="21" customHeight="1">
      <c r="A87" s="123" t="s">
        <v>20</v>
      </c>
      <c r="B87" s="412" t="s">
        <v>21</v>
      </c>
      <c r="C87" s="413"/>
      <c r="D87" s="209">
        <v>16468</v>
      </c>
      <c r="E87" s="209">
        <f>SUM(E88,E108)</f>
        <v>17812</v>
      </c>
      <c r="F87" s="209">
        <f>SUM(F88,F108)</f>
        <v>11052</v>
      </c>
      <c r="G87" s="209">
        <f>SUM(G88,G108)</f>
        <v>0</v>
      </c>
      <c r="H87" s="209">
        <f>SUM(H88,H108)</f>
        <v>6160</v>
      </c>
      <c r="I87" s="209">
        <f>I88</f>
        <v>200</v>
      </c>
      <c r="J87" s="209">
        <f>SUM(J88,J108)</f>
        <v>0</v>
      </c>
      <c r="K87" s="209">
        <f>SUM(K88,K95,K98,K101,K105)</f>
        <v>-1485</v>
      </c>
      <c r="L87" s="210">
        <f>IF(D87=0,0,K87/D87)</f>
        <v>-9.0174884624726739E-2</v>
      </c>
      <c r="M87" s="203" t="s">
        <v>146</v>
      </c>
      <c r="N87" s="203"/>
      <c r="O87" s="203"/>
      <c r="P87" s="203"/>
      <c r="Q87" s="203"/>
      <c r="R87" s="203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>
        <f>SUM(AC88,AC108)</f>
        <v>17812000</v>
      </c>
      <c r="AD87" s="107" t="s">
        <v>25</v>
      </c>
      <c r="AE87" s="14"/>
    </row>
    <row r="88" spans="1:31" s="12" customFormat="1" ht="21" customHeight="1">
      <c r="A88" s="48"/>
      <c r="B88" s="309" t="s">
        <v>103</v>
      </c>
      <c r="C88" s="309" t="s">
        <v>147</v>
      </c>
      <c r="D88" s="124">
        <v>12926</v>
      </c>
      <c r="E88" s="124">
        <f>SUM(E89,E95,E98,E101,E105)</f>
        <v>11472</v>
      </c>
      <c r="F88" s="124">
        <f>SUM(F89,F95,F98,F101,F105)</f>
        <v>9172</v>
      </c>
      <c r="G88" s="124">
        <f>SUM(G89,G95,G98,G101,G105)</f>
        <v>0</v>
      </c>
      <c r="H88" s="124">
        <f>SUM(H89,H95,H98,H101,H105)</f>
        <v>2100</v>
      </c>
      <c r="I88" s="124">
        <f>I89</f>
        <v>200</v>
      </c>
      <c r="J88" s="124">
        <f>SUM(J89,J95,J98,J101,J105)</f>
        <v>0</v>
      </c>
      <c r="K88" s="124">
        <f>E88-D88</f>
        <v>-1454</v>
      </c>
      <c r="L88" s="131">
        <f>IF(D88=0,0,K88/D88)</f>
        <v>-0.1124864613956367</v>
      </c>
      <c r="M88" s="203"/>
      <c r="N88" s="203"/>
      <c r="O88" s="203"/>
      <c r="P88" s="203"/>
      <c r="Q88" s="203"/>
      <c r="R88" s="203"/>
      <c r="S88" s="202"/>
      <c r="T88" s="202"/>
      <c r="U88" s="202"/>
      <c r="V88" s="202"/>
      <c r="W88" s="202"/>
      <c r="X88" s="202" t="s">
        <v>28</v>
      </c>
      <c r="Y88" s="202"/>
      <c r="Z88" s="202"/>
      <c r="AA88" s="202"/>
      <c r="AB88" s="106"/>
      <c r="AC88" s="106">
        <f>SUM(AC89,AC95,AC98,AC101,AC105)</f>
        <v>11472000</v>
      </c>
      <c r="AD88" s="107" t="s">
        <v>25</v>
      </c>
      <c r="AE88" s="1"/>
    </row>
    <row r="89" spans="1:31" s="12" customFormat="1" ht="21" customHeight="1">
      <c r="A89" s="48"/>
      <c r="B89" s="310"/>
      <c r="C89" s="309" t="s">
        <v>58</v>
      </c>
      <c r="D89" s="173">
        <v>11613</v>
      </c>
      <c r="E89" s="124">
        <f>SUM(F89,G89,H89,J89,I89)</f>
        <v>10190</v>
      </c>
      <c r="F89" s="124">
        <f>SUM(AC90)/1000</f>
        <v>8190</v>
      </c>
      <c r="G89" s="124">
        <v>0</v>
      </c>
      <c r="H89" s="124">
        <f>SUM(AC91,AC92)/1000</f>
        <v>1800</v>
      </c>
      <c r="I89" s="124">
        <f>AC93/1000</f>
        <v>200</v>
      </c>
      <c r="J89" s="124">
        <v>0</v>
      </c>
      <c r="K89" s="124">
        <f>E89-D89</f>
        <v>-1423</v>
      </c>
      <c r="L89" s="131">
        <f>IF(D89=0,0,K89/D89)</f>
        <v>-0.12253508998536124</v>
      </c>
      <c r="M89" s="109" t="s">
        <v>104</v>
      </c>
      <c r="N89" s="203"/>
      <c r="O89" s="203"/>
      <c r="P89" s="203"/>
      <c r="Q89" s="203"/>
      <c r="R89" s="203"/>
      <c r="S89" s="202"/>
      <c r="T89" s="202"/>
      <c r="U89" s="202"/>
      <c r="V89" s="202"/>
      <c r="W89" s="202"/>
      <c r="X89" s="314" t="s">
        <v>134</v>
      </c>
      <c r="Y89" s="314"/>
      <c r="Z89" s="314"/>
      <c r="AA89" s="314"/>
      <c r="AB89" s="194"/>
      <c r="AC89" s="194">
        <f>SUM(AC90:AC93)</f>
        <v>10190000</v>
      </c>
      <c r="AD89" s="193" t="s">
        <v>25</v>
      </c>
      <c r="AE89" s="1"/>
    </row>
    <row r="90" spans="1:31" s="12" customFormat="1" ht="21" customHeight="1">
      <c r="A90" s="48"/>
      <c r="B90" s="310"/>
      <c r="C90" s="310"/>
      <c r="D90" s="344"/>
      <c r="E90" s="121"/>
      <c r="F90" s="121"/>
      <c r="G90" s="121"/>
      <c r="H90" s="121"/>
      <c r="I90" s="121"/>
      <c r="J90" s="121"/>
      <c r="K90" s="121"/>
      <c r="L90" s="80"/>
      <c r="M90" s="317" t="s">
        <v>180</v>
      </c>
      <c r="N90" s="317"/>
      <c r="O90" s="316"/>
      <c r="P90" s="316"/>
      <c r="Q90" s="316">
        <v>170625</v>
      </c>
      <c r="R90" s="316"/>
      <c r="S90" s="316" t="s">
        <v>84</v>
      </c>
      <c r="T90" s="55" t="s">
        <v>85</v>
      </c>
      <c r="U90" s="316">
        <v>12</v>
      </c>
      <c r="V90" s="316" t="s">
        <v>93</v>
      </c>
      <c r="W90" s="55" t="s">
        <v>85</v>
      </c>
      <c r="X90" s="316">
        <v>4</v>
      </c>
      <c r="Y90" s="316" t="s">
        <v>86</v>
      </c>
      <c r="Z90" s="211" t="s">
        <v>87</v>
      </c>
      <c r="AA90" s="316" t="s">
        <v>96</v>
      </c>
      <c r="AB90" s="77"/>
      <c r="AC90" s="77">
        <f>ROUNDDOWN(Q90*U90*X90,-1)</f>
        <v>8190000</v>
      </c>
      <c r="AD90" s="57" t="s">
        <v>25</v>
      </c>
      <c r="AE90" s="2"/>
    </row>
    <row r="91" spans="1:31" s="12" customFormat="1" ht="21" customHeight="1">
      <c r="A91" s="48"/>
      <c r="B91" s="310"/>
      <c r="C91" s="310"/>
      <c r="D91" s="344"/>
      <c r="E91" s="121"/>
      <c r="F91" s="121"/>
      <c r="G91" s="121"/>
      <c r="H91" s="121"/>
      <c r="I91" s="121"/>
      <c r="J91" s="121"/>
      <c r="K91" s="121"/>
      <c r="L91" s="80"/>
      <c r="M91" s="317" t="s">
        <v>110</v>
      </c>
      <c r="N91" s="317"/>
      <c r="O91" s="317"/>
      <c r="P91" s="317"/>
      <c r="Q91" s="316">
        <v>1500000</v>
      </c>
      <c r="R91" s="316"/>
      <c r="S91" s="55" t="s">
        <v>25</v>
      </c>
      <c r="T91" s="55" t="s">
        <v>26</v>
      </c>
      <c r="U91" s="316">
        <v>0</v>
      </c>
      <c r="V91" s="316" t="s">
        <v>29</v>
      </c>
      <c r="W91" s="55" t="s">
        <v>26</v>
      </c>
      <c r="X91" s="316">
        <v>0</v>
      </c>
      <c r="Y91" s="316" t="s">
        <v>140</v>
      </c>
      <c r="Z91" s="211" t="s">
        <v>27</v>
      </c>
      <c r="AA91" s="316" t="s">
        <v>109</v>
      </c>
      <c r="AB91" s="316"/>
      <c r="AC91" s="316">
        <v>1500000</v>
      </c>
      <c r="AD91" s="141" t="s">
        <v>84</v>
      </c>
      <c r="AE91" s="2"/>
    </row>
    <row r="92" spans="1:31" s="12" customFormat="1" ht="21" customHeight="1">
      <c r="A92" s="48"/>
      <c r="B92" s="310"/>
      <c r="C92" s="310"/>
      <c r="D92" s="344"/>
      <c r="E92" s="121"/>
      <c r="F92" s="121"/>
      <c r="G92" s="121"/>
      <c r="H92" s="121"/>
      <c r="I92" s="121"/>
      <c r="J92" s="121"/>
      <c r="K92" s="121"/>
      <c r="L92" s="80"/>
      <c r="M92" s="317" t="s">
        <v>188</v>
      </c>
      <c r="N92" s="317"/>
      <c r="O92" s="317"/>
      <c r="P92" s="317"/>
      <c r="Q92" s="316">
        <v>300000</v>
      </c>
      <c r="R92" s="316"/>
      <c r="S92" s="55" t="s">
        <v>324</v>
      </c>
      <c r="T92" s="55" t="s">
        <v>322</v>
      </c>
      <c r="U92" s="316">
        <v>1</v>
      </c>
      <c r="V92" s="316" t="s">
        <v>331</v>
      </c>
      <c r="W92" s="55"/>
      <c r="X92" s="316"/>
      <c r="Y92" s="316"/>
      <c r="Z92" s="211" t="s">
        <v>27</v>
      </c>
      <c r="AA92" s="316" t="s">
        <v>386</v>
      </c>
      <c r="AB92" s="316"/>
      <c r="AC92" s="316">
        <v>300000</v>
      </c>
      <c r="AD92" s="141" t="s">
        <v>189</v>
      </c>
      <c r="AE92" s="2"/>
    </row>
    <row r="93" spans="1:31" s="12" customFormat="1" ht="21" customHeight="1">
      <c r="A93" s="48"/>
      <c r="B93" s="310"/>
      <c r="C93" s="310"/>
      <c r="D93" s="344"/>
      <c r="E93" s="121"/>
      <c r="F93" s="121"/>
      <c r="G93" s="121"/>
      <c r="H93" s="121"/>
      <c r="I93" s="121"/>
      <c r="J93" s="121"/>
      <c r="K93" s="121"/>
      <c r="L93" s="80"/>
      <c r="M93" s="317" t="s">
        <v>257</v>
      </c>
      <c r="N93" s="317"/>
      <c r="O93" s="317"/>
      <c r="P93" s="317"/>
      <c r="Q93" s="316">
        <v>50000</v>
      </c>
      <c r="R93" s="316"/>
      <c r="S93" s="55" t="s">
        <v>370</v>
      </c>
      <c r="T93" s="55" t="s">
        <v>371</v>
      </c>
      <c r="U93" s="316">
        <v>4</v>
      </c>
      <c r="V93" s="316" t="s">
        <v>372</v>
      </c>
      <c r="W93" s="55"/>
      <c r="X93" s="316"/>
      <c r="Y93" s="316"/>
      <c r="Z93" s="211" t="s">
        <v>27</v>
      </c>
      <c r="AA93" s="316" t="s">
        <v>373</v>
      </c>
      <c r="AB93" s="316"/>
      <c r="AC93" s="316">
        <v>200000</v>
      </c>
      <c r="AD93" s="141" t="s">
        <v>56</v>
      </c>
      <c r="AE93" s="2"/>
    </row>
    <row r="94" spans="1:31" s="12" customFormat="1" ht="21" customHeight="1">
      <c r="A94" s="48"/>
      <c r="B94" s="310"/>
      <c r="C94" s="59"/>
      <c r="D94" s="172"/>
      <c r="E94" s="122"/>
      <c r="F94" s="122"/>
      <c r="G94" s="122"/>
      <c r="H94" s="122"/>
      <c r="I94" s="122"/>
      <c r="J94" s="122"/>
      <c r="K94" s="122"/>
      <c r="L94" s="96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345"/>
      <c r="AD94" s="137"/>
      <c r="AE94" s="2"/>
    </row>
    <row r="95" spans="1:31" s="12" customFormat="1" ht="21" customHeight="1">
      <c r="A95" s="48"/>
      <c r="B95" s="310"/>
      <c r="C95" s="310" t="s">
        <v>105</v>
      </c>
      <c r="D95" s="171">
        <v>803</v>
      </c>
      <c r="E95" s="121">
        <f>SUM(F95,G95,H95,J95)</f>
        <v>702</v>
      </c>
      <c r="F95" s="121">
        <f>AC96/1000</f>
        <v>702</v>
      </c>
      <c r="G95" s="121">
        <v>0</v>
      </c>
      <c r="H95" s="121">
        <f>AC97/1000</f>
        <v>0</v>
      </c>
      <c r="I95" s="121">
        <v>0</v>
      </c>
      <c r="J95" s="121">
        <v>0</v>
      </c>
      <c r="K95" s="121">
        <f>E95-D95</f>
        <v>-101</v>
      </c>
      <c r="L95" s="80">
        <f>IF(D95=0,0,K95/D95)</f>
        <v>-0.12577833125778332</v>
      </c>
      <c r="M95" s="109" t="s">
        <v>106</v>
      </c>
      <c r="N95" s="203"/>
      <c r="O95" s="203"/>
      <c r="P95" s="203"/>
      <c r="Q95" s="203"/>
      <c r="R95" s="203"/>
      <c r="S95" s="202"/>
      <c r="T95" s="202"/>
      <c r="U95" s="202"/>
      <c r="V95" s="202"/>
      <c r="W95" s="202"/>
      <c r="X95" s="314" t="s">
        <v>134</v>
      </c>
      <c r="Y95" s="314"/>
      <c r="Z95" s="314"/>
      <c r="AA95" s="314"/>
      <c r="AB95" s="194"/>
      <c r="AC95" s="194">
        <f>SUM(AC96:AC97)</f>
        <v>702000</v>
      </c>
      <c r="AD95" s="193" t="s">
        <v>25</v>
      </c>
      <c r="AE95" s="1"/>
    </row>
    <row r="96" spans="1:31" s="12" customFormat="1" ht="21" customHeight="1">
      <c r="A96" s="48"/>
      <c r="B96" s="310"/>
      <c r="C96" s="310" t="s">
        <v>148</v>
      </c>
      <c r="D96" s="171"/>
      <c r="E96" s="121"/>
      <c r="F96" s="121"/>
      <c r="G96" s="121"/>
      <c r="H96" s="121"/>
      <c r="I96" s="121"/>
      <c r="J96" s="121"/>
      <c r="K96" s="121"/>
      <c r="L96" s="80"/>
      <c r="M96" s="317" t="s">
        <v>181</v>
      </c>
      <c r="N96" s="317"/>
      <c r="O96" s="317"/>
      <c r="P96" s="317"/>
      <c r="Q96" s="316"/>
      <c r="R96" s="316"/>
      <c r="S96" s="55"/>
      <c r="T96" s="55"/>
      <c r="U96" s="316"/>
      <c r="V96" s="316"/>
      <c r="W96" s="316"/>
      <c r="X96" s="316"/>
      <c r="Y96" s="316"/>
      <c r="Z96" s="316"/>
      <c r="AA96" s="316" t="s">
        <v>298</v>
      </c>
      <c r="AB96" s="316"/>
      <c r="AC96" s="316">
        <v>702000</v>
      </c>
      <c r="AD96" s="57" t="s">
        <v>84</v>
      </c>
      <c r="AE96" s="2"/>
    </row>
    <row r="97" spans="1:31" s="12" customFormat="1" ht="21" customHeight="1">
      <c r="A97" s="48"/>
      <c r="B97" s="310"/>
      <c r="C97" s="310"/>
      <c r="D97" s="171"/>
      <c r="E97" s="121"/>
      <c r="F97" s="121"/>
      <c r="G97" s="121"/>
      <c r="H97" s="121"/>
      <c r="I97" s="121"/>
      <c r="J97" s="121"/>
      <c r="K97" s="121"/>
      <c r="L97" s="80"/>
      <c r="M97" s="317"/>
      <c r="N97" s="317"/>
      <c r="O97" s="317"/>
      <c r="P97" s="317"/>
      <c r="Q97" s="316"/>
      <c r="R97" s="316"/>
      <c r="S97" s="55"/>
      <c r="T97" s="55"/>
      <c r="U97" s="316"/>
      <c r="V97" s="316"/>
      <c r="W97" s="316"/>
      <c r="X97" s="316"/>
      <c r="Y97" s="316"/>
      <c r="Z97" s="316"/>
      <c r="AA97" s="316"/>
      <c r="AB97" s="316"/>
      <c r="AC97" s="316"/>
      <c r="AD97" s="57"/>
      <c r="AE97" s="2"/>
    </row>
    <row r="98" spans="1:31" s="12" customFormat="1" ht="21" customHeight="1">
      <c r="A98" s="48"/>
      <c r="B98" s="310"/>
      <c r="C98" s="309" t="s">
        <v>100</v>
      </c>
      <c r="D98" s="173">
        <v>186</v>
      </c>
      <c r="E98" s="124">
        <f>AC98/1000</f>
        <v>200</v>
      </c>
      <c r="F98" s="124">
        <v>0</v>
      </c>
      <c r="G98" s="124">
        <v>0</v>
      </c>
      <c r="H98" s="124">
        <f>AC99/1000</f>
        <v>200</v>
      </c>
      <c r="I98" s="124">
        <v>0</v>
      </c>
      <c r="J98" s="124">
        <v>0</v>
      </c>
      <c r="K98" s="124">
        <f>E98-D98</f>
        <v>14</v>
      </c>
      <c r="L98" s="131">
        <f>IF(D98=0,0,K98/D98)</f>
        <v>7.5268817204301078E-2</v>
      </c>
      <c r="M98" s="109" t="s">
        <v>129</v>
      </c>
      <c r="N98" s="315"/>
      <c r="O98" s="203"/>
      <c r="P98" s="203"/>
      <c r="Q98" s="203"/>
      <c r="R98" s="203"/>
      <c r="S98" s="202"/>
      <c r="T98" s="202"/>
      <c r="U98" s="202"/>
      <c r="V98" s="202"/>
      <c r="W98" s="202"/>
      <c r="X98" s="314" t="s">
        <v>134</v>
      </c>
      <c r="Y98" s="314"/>
      <c r="Z98" s="314"/>
      <c r="AA98" s="314"/>
      <c r="AB98" s="194"/>
      <c r="AC98" s="194">
        <f>SUM(AC99:AC100)</f>
        <v>200000</v>
      </c>
      <c r="AD98" s="193" t="s">
        <v>25</v>
      </c>
      <c r="AE98" s="1"/>
    </row>
    <row r="99" spans="1:31" s="12" customFormat="1" ht="21" customHeight="1">
      <c r="A99" s="48"/>
      <c r="B99" s="310"/>
      <c r="C99" s="310"/>
      <c r="D99" s="344"/>
      <c r="E99" s="121"/>
      <c r="F99" s="121"/>
      <c r="G99" s="121"/>
      <c r="H99" s="121"/>
      <c r="I99" s="121"/>
      <c r="J99" s="121"/>
      <c r="K99" s="121"/>
      <c r="L99" s="80"/>
      <c r="M99" s="317" t="s">
        <v>182</v>
      </c>
      <c r="N99" s="317"/>
      <c r="O99" s="316"/>
      <c r="P99" s="316"/>
      <c r="Q99" s="316">
        <v>50000</v>
      </c>
      <c r="R99" s="316"/>
      <c r="S99" s="316" t="s">
        <v>84</v>
      </c>
      <c r="T99" s="317" t="s">
        <v>85</v>
      </c>
      <c r="U99" s="316">
        <v>4</v>
      </c>
      <c r="V99" s="316" t="s">
        <v>183</v>
      </c>
      <c r="W99" s="317" t="s">
        <v>184</v>
      </c>
      <c r="X99" s="316"/>
      <c r="Y99" s="316"/>
      <c r="Z99" s="316"/>
      <c r="AA99" s="316" t="s">
        <v>297</v>
      </c>
      <c r="AB99" s="77"/>
      <c r="AC99" s="77">
        <f>Q99*U99</f>
        <v>200000</v>
      </c>
      <c r="AD99" s="57" t="s">
        <v>25</v>
      </c>
      <c r="AE99" s="1"/>
    </row>
    <row r="100" spans="1:31" s="12" customFormat="1" ht="21" customHeight="1">
      <c r="A100" s="48"/>
      <c r="B100" s="310"/>
      <c r="C100" s="310"/>
      <c r="D100" s="171"/>
      <c r="E100" s="121"/>
      <c r="F100" s="121"/>
      <c r="G100" s="121"/>
      <c r="H100" s="121"/>
      <c r="I100" s="121"/>
      <c r="J100" s="121"/>
      <c r="K100" s="121"/>
      <c r="L100" s="80"/>
      <c r="M100" s="317"/>
      <c r="N100" s="317"/>
      <c r="O100" s="316"/>
      <c r="P100" s="316"/>
      <c r="Q100" s="316"/>
      <c r="R100" s="316"/>
      <c r="S100" s="316"/>
      <c r="T100" s="317"/>
      <c r="U100" s="316"/>
      <c r="V100" s="316"/>
      <c r="W100" s="317"/>
      <c r="X100" s="316"/>
      <c r="Y100" s="316"/>
      <c r="Z100" s="316"/>
      <c r="AA100" s="316"/>
      <c r="AB100" s="77"/>
      <c r="AC100" s="77"/>
      <c r="AD100" s="57"/>
      <c r="AE100" s="1"/>
    </row>
    <row r="101" spans="1:31" s="12" customFormat="1" ht="21" customHeight="1">
      <c r="A101" s="48"/>
      <c r="B101" s="310"/>
      <c r="C101" s="309" t="s">
        <v>101</v>
      </c>
      <c r="D101" s="173">
        <v>237</v>
      </c>
      <c r="E101" s="124">
        <f>F101+G101+H101+J101</f>
        <v>260</v>
      </c>
      <c r="F101" s="124">
        <f>AC102/1000</f>
        <v>160</v>
      </c>
      <c r="G101" s="124">
        <v>0</v>
      </c>
      <c r="H101" s="124">
        <f>AC103/1000</f>
        <v>100</v>
      </c>
      <c r="I101" s="124">
        <v>0</v>
      </c>
      <c r="J101" s="124">
        <v>0</v>
      </c>
      <c r="K101" s="124">
        <f>E101-D101</f>
        <v>23</v>
      </c>
      <c r="L101" s="131">
        <f>IF(D101=0,0,K101/D101)</f>
        <v>9.7046413502109699E-2</v>
      </c>
      <c r="M101" s="109" t="s">
        <v>130</v>
      </c>
      <c r="N101" s="315"/>
      <c r="O101" s="203"/>
      <c r="P101" s="203"/>
      <c r="Q101" s="203"/>
      <c r="R101" s="203"/>
      <c r="S101" s="202"/>
      <c r="T101" s="202"/>
      <c r="U101" s="202"/>
      <c r="V101" s="202"/>
      <c r="W101" s="202"/>
      <c r="X101" s="314" t="s">
        <v>134</v>
      </c>
      <c r="Y101" s="314"/>
      <c r="Z101" s="314"/>
      <c r="AA101" s="314"/>
      <c r="AB101" s="194"/>
      <c r="AC101" s="194">
        <f>SUM(AC102:AC103)</f>
        <v>260000</v>
      </c>
      <c r="AD101" s="193" t="s">
        <v>25</v>
      </c>
      <c r="AE101" s="1"/>
    </row>
    <row r="102" spans="1:31" s="15" customFormat="1" ht="21" customHeight="1">
      <c r="A102" s="48"/>
      <c r="B102" s="310"/>
      <c r="C102" s="310"/>
      <c r="D102" s="171"/>
      <c r="E102" s="121"/>
      <c r="F102" s="121"/>
      <c r="G102" s="121"/>
      <c r="H102" s="121"/>
      <c r="I102" s="121"/>
      <c r="J102" s="121"/>
      <c r="K102" s="121"/>
      <c r="L102" s="80"/>
      <c r="M102" s="317" t="s">
        <v>185</v>
      </c>
      <c r="N102" s="317"/>
      <c r="O102" s="316"/>
      <c r="P102" s="316"/>
      <c r="Q102" s="316">
        <v>40000</v>
      </c>
      <c r="R102" s="316"/>
      <c r="S102" s="316" t="s">
        <v>84</v>
      </c>
      <c r="T102" s="317" t="s">
        <v>85</v>
      </c>
      <c r="U102" s="316">
        <v>1</v>
      </c>
      <c r="V102" s="316" t="s">
        <v>99</v>
      </c>
      <c r="W102" s="317" t="s">
        <v>85</v>
      </c>
      <c r="X102" s="316">
        <v>4</v>
      </c>
      <c r="Y102" s="316" t="s">
        <v>86</v>
      </c>
      <c r="Z102" s="316" t="s">
        <v>87</v>
      </c>
      <c r="AA102" s="316" t="s">
        <v>298</v>
      </c>
      <c r="AB102" s="77"/>
      <c r="AC102" s="77">
        <f>Q102*U102*X102</f>
        <v>160000</v>
      </c>
      <c r="AD102" s="57" t="s">
        <v>25</v>
      </c>
      <c r="AE102" s="5"/>
    </row>
    <row r="103" spans="1:31" s="15" customFormat="1" ht="21" customHeight="1">
      <c r="A103" s="48"/>
      <c r="B103" s="310"/>
      <c r="C103" s="310"/>
      <c r="D103" s="171"/>
      <c r="E103" s="121"/>
      <c r="F103" s="121"/>
      <c r="G103" s="121"/>
      <c r="H103" s="121"/>
      <c r="I103" s="121"/>
      <c r="J103" s="121"/>
      <c r="K103" s="121"/>
      <c r="L103" s="80"/>
      <c r="M103" s="317" t="s">
        <v>186</v>
      </c>
      <c r="N103" s="317"/>
      <c r="O103" s="317"/>
      <c r="P103" s="317"/>
      <c r="Q103" s="316"/>
      <c r="R103" s="316"/>
      <c r="S103" s="55"/>
      <c r="T103" s="55"/>
      <c r="U103" s="316"/>
      <c r="V103" s="316"/>
      <c r="W103" s="211"/>
      <c r="X103" s="149"/>
      <c r="Y103" s="85"/>
      <c r="Z103" s="199"/>
      <c r="AA103" s="316" t="s">
        <v>297</v>
      </c>
      <c r="AB103" s="316"/>
      <c r="AC103" s="316">
        <v>100000</v>
      </c>
      <c r="AD103" s="57" t="s">
        <v>25</v>
      </c>
      <c r="AE103" s="5"/>
    </row>
    <row r="104" spans="1:31" s="12" customFormat="1" ht="21" customHeight="1">
      <c r="A104" s="48"/>
      <c r="B104" s="310"/>
      <c r="C104" s="59"/>
      <c r="D104" s="172"/>
      <c r="E104" s="178"/>
      <c r="F104" s="178"/>
      <c r="G104" s="178"/>
      <c r="H104" s="178"/>
      <c r="I104" s="178"/>
      <c r="J104" s="178"/>
      <c r="K104" s="151"/>
      <c r="L104" s="96"/>
      <c r="M104" s="150"/>
      <c r="N104" s="150"/>
      <c r="O104" s="150"/>
      <c r="P104" s="150"/>
      <c r="Q104" s="150"/>
      <c r="R104" s="150"/>
      <c r="S104" s="152"/>
      <c r="T104" s="316"/>
      <c r="U104" s="211"/>
      <c r="V104" s="316"/>
      <c r="W104" s="316"/>
      <c r="X104" s="316"/>
      <c r="Y104" s="316"/>
      <c r="Z104" s="316"/>
      <c r="AA104" s="316"/>
      <c r="AB104" s="316"/>
      <c r="AC104" s="316"/>
      <c r="AD104" s="57"/>
      <c r="AE104" s="1"/>
    </row>
    <row r="105" spans="1:31" s="12" customFormat="1" ht="21" customHeight="1">
      <c r="A105" s="48"/>
      <c r="B105" s="310"/>
      <c r="C105" s="310" t="s">
        <v>102</v>
      </c>
      <c r="D105" s="148">
        <v>87</v>
      </c>
      <c r="E105" s="121">
        <f>SUM(F105,G105,H105,J105)</f>
        <v>120</v>
      </c>
      <c r="F105" s="121">
        <f>AC106/1000</f>
        <v>120</v>
      </c>
      <c r="G105" s="121">
        <v>0</v>
      </c>
      <c r="H105" s="121">
        <v>0</v>
      </c>
      <c r="I105" s="121">
        <v>0</v>
      </c>
      <c r="J105" s="121">
        <v>0</v>
      </c>
      <c r="K105" s="121">
        <f>E105-D105</f>
        <v>33</v>
      </c>
      <c r="L105" s="80">
        <f>IF(D105=0,0,K105/D105)</f>
        <v>0.37931034482758619</v>
      </c>
      <c r="M105" s="109" t="s">
        <v>107</v>
      </c>
      <c r="N105" s="203"/>
      <c r="O105" s="203"/>
      <c r="P105" s="203"/>
      <c r="Q105" s="203"/>
      <c r="R105" s="203"/>
      <c r="S105" s="202"/>
      <c r="T105" s="202"/>
      <c r="U105" s="202"/>
      <c r="V105" s="202"/>
      <c r="W105" s="202"/>
      <c r="X105" s="314" t="s">
        <v>134</v>
      </c>
      <c r="Y105" s="314"/>
      <c r="Z105" s="314"/>
      <c r="AA105" s="314"/>
      <c r="AB105" s="194"/>
      <c r="AC105" s="194">
        <f>SUM(AC106:AC106)</f>
        <v>120000</v>
      </c>
      <c r="AD105" s="193" t="s">
        <v>25</v>
      </c>
      <c r="AE105" s="1"/>
    </row>
    <row r="106" spans="1:31" s="12" customFormat="1" ht="21" customHeight="1">
      <c r="A106" s="48"/>
      <c r="B106" s="310"/>
      <c r="C106" s="310"/>
      <c r="D106" s="171"/>
      <c r="E106" s="121"/>
      <c r="F106" s="121"/>
      <c r="G106" s="121"/>
      <c r="H106" s="121"/>
      <c r="I106" s="121"/>
      <c r="J106" s="121"/>
      <c r="K106" s="121"/>
      <c r="L106" s="80"/>
      <c r="M106" s="317" t="s">
        <v>187</v>
      </c>
      <c r="N106" s="317"/>
      <c r="O106" s="317"/>
      <c r="P106" s="317"/>
      <c r="Q106" s="316">
        <v>20000</v>
      </c>
      <c r="R106" s="316"/>
      <c r="S106" s="55" t="s">
        <v>56</v>
      </c>
      <c r="T106" s="55" t="s">
        <v>26</v>
      </c>
      <c r="U106" s="316">
        <v>6</v>
      </c>
      <c r="V106" s="316" t="s">
        <v>0</v>
      </c>
      <c r="W106" s="211"/>
      <c r="X106" s="149"/>
      <c r="Y106" s="85"/>
      <c r="Z106" s="199" t="s">
        <v>52</v>
      </c>
      <c r="AA106" s="316" t="s">
        <v>298</v>
      </c>
      <c r="AB106" s="316"/>
      <c r="AC106" s="316">
        <f>ROUNDUP(Q106*U106,1)</f>
        <v>120000</v>
      </c>
      <c r="AD106" s="57" t="s">
        <v>25</v>
      </c>
      <c r="AE106" s="1"/>
    </row>
    <row r="107" spans="1:31" s="12" customFormat="1" ht="21" customHeight="1">
      <c r="A107" s="48"/>
      <c r="B107" s="310"/>
      <c r="C107" s="310"/>
      <c r="D107" s="171"/>
      <c r="E107" s="121"/>
      <c r="F107" s="121"/>
      <c r="G107" s="121"/>
      <c r="H107" s="121"/>
      <c r="I107" s="121"/>
      <c r="J107" s="121"/>
      <c r="K107" s="121"/>
      <c r="L107" s="80"/>
      <c r="M107" s="317"/>
      <c r="N107" s="317"/>
      <c r="O107" s="317"/>
      <c r="P107" s="317"/>
      <c r="Q107" s="316"/>
      <c r="R107" s="316"/>
      <c r="S107" s="55"/>
      <c r="T107" s="317"/>
      <c r="U107" s="316"/>
      <c r="V107" s="317"/>
      <c r="W107" s="316"/>
      <c r="X107" s="316"/>
      <c r="Y107" s="316"/>
      <c r="Z107" s="316"/>
      <c r="AA107" s="316"/>
      <c r="AB107" s="316"/>
      <c r="AC107" s="316"/>
      <c r="AD107" s="57"/>
      <c r="AE107" s="1"/>
    </row>
    <row r="108" spans="1:31" s="12" customFormat="1" ht="21" customHeight="1">
      <c r="A108" s="48"/>
      <c r="B108" s="309" t="s">
        <v>108</v>
      </c>
      <c r="C108" s="311" t="s">
        <v>143</v>
      </c>
      <c r="D108" s="191">
        <v>3542</v>
      </c>
      <c r="E108" s="191">
        <f>E109</f>
        <v>6340</v>
      </c>
      <c r="F108" s="191">
        <f t="shared" ref="F108:J108" si="9">F109</f>
        <v>1880</v>
      </c>
      <c r="G108" s="191">
        <f t="shared" si="9"/>
        <v>0</v>
      </c>
      <c r="H108" s="191">
        <f>H109</f>
        <v>4060</v>
      </c>
      <c r="I108" s="191">
        <f>I109</f>
        <v>400</v>
      </c>
      <c r="J108" s="191">
        <f t="shared" si="9"/>
        <v>0</v>
      </c>
      <c r="K108" s="191">
        <f>E108-D108</f>
        <v>2798</v>
      </c>
      <c r="L108" s="192">
        <f>IF(D108=0,0,K108/D108)</f>
        <v>0.78994918125352909</v>
      </c>
      <c r="M108" s="315"/>
      <c r="N108" s="315"/>
      <c r="O108" s="315"/>
      <c r="P108" s="315"/>
      <c r="Q108" s="315"/>
      <c r="R108" s="315"/>
      <c r="S108" s="314"/>
      <c r="T108" s="314"/>
      <c r="U108" s="314"/>
      <c r="V108" s="314"/>
      <c r="W108" s="314"/>
      <c r="X108" s="314" t="s">
        <v>28</v>
      </c>
      <c r="Y108" s="314"/>
      <c r="Z108" s="314"/>
      <c r="AA108" s="314"/>
      <c r="AB108" s="194"/>
      <c r="AC108" s="194">
        <f>AC109</f>
        <v>6340000</v>
      </c>
      <c r="AD108" s="193" t="s">
        <v>25</v>
      </c>
      <c r="AE108" s="1"/>
    </row>
    <row r="109" spans="1:31" s="12" customFormat="1" ht="26.25" customHeight="1">
      <c r="A109" s="48"/>
      <c r="B109" s="310" t="s">
        <v>126</v>
      </c>
      <c r="C109" s="310" t="s">
        <v>125</v>
      </c>
      <c r="D109" s="171">
        <v>3542</v>
      </c>
      <c r="E109" s="124">
        <f>SUM(F109:I109)</f>
        <v>6340</v>
      </c>
      <c r="F109" s="124">
        <f>SUM(AC116,AC120,AC123,AC126,AC141)/1000</f>
        <v>1880</v>
      </c>
      <c r="G109" s="124">
        <v>0</v>
      </c>
      <c r="H109" s="124">
        <f>SUM(AC112,AC113,AC114,AC115,AC117,AC138,AC129,AC130,AC131,AC132)/1000</f>
        <v>4060</v>
      </c>
      <c r="I109" s="124">
        <f>SUM(AC136,AC137)/1000</f>
        <v>400</v>
      </c>
      <c r="J109" s="124">
        <v>0</v>
      </c>
      <c r="K109" s="124">
        <f>E109-D109</f>
        <v>2798</v>
      </c>
      <c r="L109" s="131">
        <f>IF(D109=0,0,K109/D109)</f>
        <v>0.78994918125352909</v>
      </c>
      <c r="M109" s="111" t="s">
        <v>127</v>
      </c>
      <c r="N109" s="127"/>
      <c r="O109" s="201"/>
      <c r="P109" s="34"/>
      <c r="Q109" s="34"/>
      <c r="R109" s="34"/>
      <c r="S109" s="34"/>
      <c r="T109" s="34"/>
      <c r="U109" s="34"/>
      <c r="V109" s="202"/>
      <c r="W109" s="202"/>
      <c r="X109" s="314" t="s">
        <v>134</v>
      </c>
      <c r="Y109" s="112"/>
      <c r="Z109" s="112"/>
      <c r="AA109" s="112"/>
      <c r="AB109" s="128"/>
      <c r="AC109" s="128">
        <f>SUM(AC111,AC119,AC122,AC125,AC128,AC134,AC140)</f>
        <v>6340000</v>
      </c>
      <c r="AD109" s="129" t="s">
        <v>25</v>
      </c>
      <c r="AE109" s="1"/>
    </row>
    <row r="110" spans="1:31" s="16" customFormat="1" ht="24" customHeight="1">
      <c r="A110" s="48"/>
      <c r="B110" s="310"/>
      <c r="C110" s="310" t="s">
        <v>126</v>
      </c>
      <c r="D110" s="174"/>
      <c r="E110" s="121"/>
      <c r="F110" s="121"/>
      <c r="G110" s="121"/>
      <c r="H110" s="121"/>
      <c r="I110" s="121"/>
      <c r="J110" s="121"/>
      <c r="K110" s="121"/>
      <c r="L110" s="80"/>
      <c r="M110" s="317"/>
      <c r="N110" s="317"/>
      <c r="O110" s="317"/>
      <c r="P110" s="317"/>
      <c r="Q110" s="317"/>
      <c r="R110" s="317"/>
      <c r="S110" s="316"/>
      <c r="T110" s="316"/>
      <c r="U110" s="316"/>
      <c r="V110" s="316"/>
      <c r="W110" s="316"/>
      <c r="X110" s="153"/>
      <c r="Y110" s="153"/>
      <c r="Z110" s="153"/>
      <c r="AA110" s="153"/>
      <c r="AB110" s="154"/>
      <c r="AC110" s="154"/>
      <c r="AD110" s="57"/>
      <c r="AE110" s="17"/>
    </row>
    <row r="111" spans="1:31" s="16" customFormat="1" ht="24" customHeight="1">
      <c r="A111" s="48"/>
      <c r="B111" s="310"/>
      <c r="C111" s="310"/>
      <c r="D111" s="174"/>
      <c r="E111" s="121"/>
      <c r="F111" s="121"/>
      <c r="G111" s="121"/>
      <c r="H111" s="121"/>
      <c r="I111" s="121"/>
      <c r="J111" s="121"/>
      <c r="K111" s="121"/>
      <c r="L111" s="80"/>
      <c r="M111" s="81" t="s">
        <v>338</v>
      </c>
      <c r="N111" s="313"/>
      <c r="O111" s="317"/>
      <c r="P111" s="317"/>
      <c r="Q111" s="317"/>
      <c r="R111" s="317"/>
      <c r="S111" s="316"/>
      <c r="T111" s="316"/>
      <c r="U111" s="316"/>
      <c r="V111" s="312" t="s">
        <v>128</v>
      </c>
      <c r="W111" s="312"/>
      <c r="X111" s="312"/>
      <c r="Y111" s="312"/>
      <c r="Z111" s="312"/>
      <c r="AA111" s="312"/>
      <c r="AB111" s="82"/>
      <c r="AC111" s="82">
        <f>SUM(AC112:AC117)</f>
        <v>2400000</v>
      </c>
      <c r="AD111" s="83" t="s">
        <v>25</v>
      </c>
      <c r="AE111" s="17"/>
    </row>
    <row r="112" spans="1:31" s="16" customFormat="1" ht="24" customHeight="1">
      <c r="A112" s="48"/>
      <c r="B112" s="310"/>
      <c r="C112" s="310"/>
      <c r="D112" s="174"/>
      <c r="E112" s="121"/>
      <c r="F112" s="121"/>
      <c r="G112" s="121"/>
      <c r="H112" s="121"/>
      <c r="I112" s="121"/>
      <c r="J112" s="121"/>
      <c r="K112" s="121"/>
      <c r="L112" s="80"/>
      <c r="M112" s="317" t="s">
        <v>339</v>
      </c>
      <c r="N112" s="317"/>
      <c r="O112" s="317"/>
      <c r="P112" s="317"/>
      <c r="Q112" s="316">
        <v>10000</v>
      </c>
      <c r="R112" s="316"/>
      <c r="S112" s="316" t="s">
        <v>56</v>
      </c>
      <c r="T112" s="317" t="s">
        <v>57</v>
      </c>
      <c r="U112" s="316">
        <v>12</v>
      </c>
      <c r="V112" s="316" t="s">
        <v>74</v>
      </c>
      <c r="W112" s="317" t="s">
        <v>57</v>
      </c>
      <c r="X112" s="316">
        <v>4</v>
      </c>
      <c r="Y112" s="316" t="s">
        <v>55</v>
      </c>
      <c r="Z112" s="316" t="s">
        <v>52</v>
      </c>
      <c r="AA112" s="316" t="s">
        <v>297</v>
      </c>
      <c r="AB112" s="77"/>
      <c r="AC112" s="77">
        <f t="shared" ref="AC112:AC117" si="10">Q112*U112*X112</f>
        <v>480000</v>
      </c>
      <c r="AD112" s="57" t="s">
        <v>25</v>
      </c>
      <c r="AE112" s="17"/>
    </row>
    <row r="113" spans="1:31" s="16" customFormat="1" ht="24" customHeight="1">
      <c r="A113" s="48"/>
      <c r="B113" s="310"/>
      <c r="C113" s="310"/>
      <c r="D113" s="174"/>
      <c r="E113" s="121"/>
      <c r="F113" s="121"/>
      <c r="G113" s="121"/>
      <c r="H113" s="121"/>
      <c r="I113" s="121"/>
      <c r="J113" s="121"/>
      <c r="K113" s="121"/>
      <c r="L113" s="80"/>
      <c r="M113" s="317" t="s">
        <v>340</v>
      </c>
      <c r="N113" s="317"/>
      <c r="O113" s="317"/>
      <c r="P113" s="317"/>
      <c r="Q113" s="316">
        <v>100000</v>
      </c>
      <c r="R113" s="316"/>
      <c r="S113" s="316" t="s">
        <v>56</v>
      </c>
      <c r="T113" s="317" t="s">
        <v>57</v>
      </c>
      <c r="U113" s="316">
        <v>1</v>
      </c>
      <c r="V113" s="316" t="s">
        <v>74</v>
      </c>
      <c r="W113" s="317" t="s">
        <v>57</v>
      </c>
      <c r="X113" s="316">
        <v>4</v>
      </c>
      <c r="Y113" s="316" t="s">
        <v>55</v>
      </c>
      <c r="Z113" s="316" t="s">
        <v>52</v>
      </c>
      <c r="AA113" s="316" t="s">
        <v>109</v>
      </c>
      <c r="AB113" s="77"/>
      <c r="AC113" s="77">
        <f t="shared" ref="AC113" si="11">Q113*U113*X113</f>
        <v>400000</v>
      </c>
      <c r="AD113" s="57" t="s">
        <v>25</v>
      </c>
      <c r="AE113" s="17"/>
    </row>
    <row r="114" spans="1:31" s="16" customFormat="1" ht="24" customHeight="1">
      <c r="A114" s="48"/>
      <c r="B114" s="310"/>
      <c r="C114" s="310"/>
      <c r="D114" s="174"/>
      <c r="E114" s="121"/>
      <c r="F114" s="121"/>
      <c r="G114" s="121"/>
      <c r="H114" s="121"/>
      <c r="I114" s="121"/>
      <c r="J114" s="121"/>
      <c r="K114" s="121"/>
      <c r="L114" s="80"/>
      <c r="M114" s="317" t="s">
        <v>341</v>
      </c>
      <c r="N114" s="317"/>
      <c r="O114" s="317"/>
      <c r="P114" s="317"/>
      <c r="Q114" s="316">
        <v>10000</v>
      </c>
      <c r="R114" s="316"/>
      <c r="S114" s="316" t="s">
        <v>56</v>
      </c>
      <c r="T114" s="317" t="s">
        <v>57</v>
      </c>
      <c r="U114" s="316">
        <v>12</v>
      </c>
      <c r="V114" s="316" t="s">
        <v>74</v>
      </c>
      <c r="W114" s="317" t="s">
        <v>57</v>
      </c>
      <c r="X114" s="316">
        <v>3</v>
      </c>
      <c r="Y114" s="316" t="s">
        <v>55</v>
      </c>
      <c r="Z114" s="316" t="s">
        <v>52</v>
      </c>
      <c r="AA114" s="316" t="s">
        <v>109</v>
      </c>
      <c r="AB114" s="77"/>
      <c r="AC114" s="77">
        <f t="shared" ref="AC114" si="12">Q114*U114*X114</f>
        <v>360000</v>
      </c>
      <c r="AD114" s="57" t="s">
        <v>25</v>
      </c>
      <c r="AE114" s="17"/>
    </row>
    <row r="115" spans="1:31" s="16" customFormat="1" ht="24" customHeight="1">
      <c r="A115" s="48"/>
      <c r="B115" s="310"/>
      <c r="C115" s="310"/>
      <c r="D115" s="174"/>
      <c r="E115" s="121"/>
      <c r="F115" s="121"/>
      <c r="G115" s="121"/>
      <c r="H115" s="121"/>
      <c r="I115" s="121"/>
      <c r="J115" s="121"/>
      <c r="K115" s="121"/>
      <c r="L115" s="80"/>
      <c r="M115" s="317" t="s">
        <v>342</v>
      </c>
      <c r="N115" s="317"/>
      <c r="O115" s="317"/>
      <c r="P115" s="317"/>
      <c r="Q115" s="316">
        <v>100000</v>
      </c>
      <c r="R115" s="316"/>
      <c r="S115" s="316" t="s">
        <v>56</v>
      </c>
      <c r="T115" s="317" t="s">
        <v>57</v>
      </c>
      <c r="U115" s="316">
        <v>1</v>
      </c>
      <c r="V115" s="316" t="s">
        <v>74</v>
      </c>
      <c r="W115" s="317" t="s">
        <v>57</v>
      </c>
      <c r="X115" s="316">
        <v>4</v>
      </c>
      <c r="Y115" s="316" t="s">
        <v>55</v>
      </c>
      <c r="Z115" s="316" t="s">
        <v>52</v>
      </c>
      <c r="AA115" s="316" t="s">
        <v>297</v>
      </c>
      <c r="AB115" s="77"/>
      <c r="AC115" s="77">
        <f t="shared" si="10"/>
        <v>400000</v>
      </c>
      <c r="AD115" s="57" t="s">
        <v>25</v>
      </c>
      <c r="AE115" s="17"/>
    </row>
    <row r="116" spans="1:31" s="16" customFormat="1" ht="24" customHeight="1">
      <c r="A116" s="48"/>
      <c r="B116" s="310"/>
      <c r="C116" s="310"/>
      <c r="D116" s="174"/>
      <c r="E116" s="121"/>
      <c r="F116" s="121"/>
      <c r="G116" s="121"/>
      <c r="H116" s="121"/>
      <c r="I116" s="121"/>
      <c r="J116" s="121"/>
      <c r="K116" s="121"/>
      <c r="L116" s="80"/>
      <c r="M116" s="317" t="s">
        <v>343</v>
      </c>
      <c r="N116" s="317"/>
      <c r="O116" s="317"/>
      <c r="P116" s="317"/>
      <c r="Q116" s="316">
        <v>10000</v>
      </c>
      <c r="R116" s="316"/>
      <c r="S116" s="316" t="s">
        <v>56</v>
      </c>
      <c r="T116" s="317" t="s">
        <v>57</v>
      </c>
      <c r="U116" s="316">
        <v>12</v>
      </c>
      <c r="V116" s="316" t="s">
        <v>74</v>
      </c>
      <c r="W116" s="317" t="s">
        <v>57</v>
      </c>
      <c r="X116" s="316">
        <v>4</v>
      </c>
      <c r="Y116" s="316" t="s">
        <v>55</v>
      </c>
      <c r="Z116" s="316" t="s">
        <v>52</v>
      </c>
      <c r="AA116" s="316" t="s">
        <v>298</v>
      </c>
      <c r="AB116" s="77"/>
      <c r="AC116" s="77">
        <f t="shared" ref="AC116" si="13">Q116*U116*X116</f>
        <v>480000</v>
      </c>
      <c r="AD116" s="57" t="s">
        <v>25</v>
      </c>
      <c r="AE116" s="17"/>
    </row>
    <row r="117" spans="1:31" s="16" customFormat="1" ht="24" customHeight="1">
      <c r="A117" s="48"/>
      <c r="B117" s="310"/>
      <c r="C117" s="310"/>
      <c r="D117" s="171"/>
      <c r="E117" s="121"/>
      <c r="F117" s="121"/>
      <c r="G117" s="121"/>
      <c r="H117" s="121"/>
      <c r="I117" s="121"/>
      <c r="J117" s="121"/>
      <c r="K117" s="121"/>
      <c r="L117" s="80"/>
      <c r="M117" s="317" t="s">
        <v>351</v>
      </c>
      <c r="N117" s="317"/>
      <c r="O117" s="317"/>
      <c r="P117" s="317"/>
      <c r="Q117" s="316">
        <v>8000</v>
      </c>
      <c r="R117" s="316"/>
      <c r="S117" s="316" t="s">
        <v>56</v>
      </c>
      <c r="T117" s="317" t="s">
        <v>57</v>
      </c>
      <c r="U117" s="316">
        <v>7</v>
      </c>
      <c r="V117" s="316" t="s">
        <v>74</v>
      </c>
      <c r="W117" s="317" t="s">
        <v>57</v>
      </c>
      <c r="X117" s="316">
        <v>5</v>
      </c>
      <c r="Y117" s="316" t="s">
        <v>55</v>
      </c>
      <c r="Z117" s="316" t="s">
        <v>52</v>
      </c>
      <c r="AA117" s="316" t="s">
        <v>297</v>
      </c>
      <c r="AB117" s="77"/>
      <c r="AC117" s="77">
        <f t="shared" si="10"/>
        <v>280000</v>
      </c>
      <c r="AD117" s="57" t="s">
        <v>25</v>
      </c>
      <c r="AE117" s="17"/>
    </row>
    <row r="118" spans="1:31" s="16" customFormat="1" ht="9.75" customHeight="1">
      <c r="A118" s="48"/>
      <c r="B118" s="310"/>
      <c r="C118" s="310"/>
      <c r="D118" s="171"/>
      <c r="E118" s="121"/>
      <c r="F118" s="121"/>
      <c r="G118" s="121"/>
      <c r="H118" s="121"/>
      <c r="I118" s="121"/>
      <c r="J118" s="121"/>
      <c r="K118" s="121"/>
      <c r="L118" s="80"/>
      <c r="M118" s="317"/>
      <c r="N118" s="317"/>
      <c r="O118" s="317"/>
      <c r="P118" s="317"/>
      <c r="Q118" s="316"/>
      <c r="R118" s="316"/>
      <c r="S118" s="316"/>
      <c r="T118" s="317"/>
      <c r="U118" s="316"/>
      <c r="V118" s="316"/>
      <c r="W118" s="317"/>
      <c r="X118" s="316"/>
      <c r="Y118" s="316"/>
      <c r="Z118" s="316"/>
      <c r="AA118" s="316"/>
      <c r="AB118" s="77"/>
      <c r="AC118" s="77"/>
      <c r="AD118" s="57"/>
      <c r="AE118" s="17"/>
    </row>
    <row r="119" spans="1:31" s="16" customFormat="1" ht="18.75" customHeight="1">
      <c r="A119" s="48"/>
      <c r="B119" s="310"/>
      <c r="C119" s="310"/>
      <c r="D119" s="171"/>
      <c r="E119" s="121"/>
      <c r="F119" s="121"/>
      <c r="G119" s="121"/>
      <c r="H119" s="121"/>
      <c r="I119" s="121"/>
      <c r="J119" s="121"/>
      <c r="K119" s="121"/>
      <c r="L119" s="80"/>
      <c r="M119" s="81" t="s">
        <v>388</v>
      </c>
      <c r="N119" s="313"/>
      <c r="O119" s="317"/>
      <c r="P119" s="317"/>
      <c r="Q119" s="317"/>
      <c r="R119" s="317"/>
      <c r="S119" s="316"/>
      <c r="T119" s="316"/>
      <c r="U119" s="316"/>
      <c r="V119" s="312" t="s">
        <v>128</v>
      </c>
      <c r="W119" s="312"/>
      <c r="X119" s="312"/>
      <c r="Y119" s="312"/>
      <c r="Z119" s="312"/>
      <c r="AA119" s="312"/>
      <c r="AB119" s="82"/>
      <c r="AC119" s="82">
        <f>SUM(AC120)</f>
        <v>200000</v>
      </c>
      <c r="AD119" s="83" t="s">
        <v>25</v>
      </c>
      <c r="AE119" s="17"/>
    </row>
    <row r="120" spans="1:31" s="16" customFormat="1" ht="24.75" customHeight="1">
      <c r="A120" s="48"/>
      <c r="B120" s="310"/>
      <c r="C120" s="310"/>
      <c r="D120" s="171"/>
      <c r="E120" s="121"/>
      <c r="F120" s="121"/>
      <c r="G120" s="121"/>
      <c r="H120" s="121"/>
      <c r="I120" s="121"/>
      <c r="J120" s="121"/>
      <c r="K120" s="121"/>
      <c r="L120" s="80"/>
      <c r="M120" s="150" t="s">
        <v>391</v>
      </c>
      <c r="N120" s="150"/>
      <c r="O120" s="150"/>
      <c r="P120" s="150"/>
      <c r="Q120" s="316">
        <v>50000</v>
      </c>
      <c r="R120" s="316"/>
      <c r="S120" s="316" t="s">
        <v>56</v>
      </c>
      <c r="T120" s="317" t="s">
        <v>57</v>
      </c>
      <c r="U120" s="316">
        <v>4</v>
      </c>
      <c r="V120" s="316" t="s">
        <v>55</v>
      </c>
      <c r="W120" s="317" t="s">
        <v>57</v>
      </c>
      <c r="X120" s="316">
        <v>1</v>
      </c>
      <c r="Y120" s="316" t="s">
        <v>74</v>
      </c>
      <c r="Z120" s="316" t="s">
        <v>52</v>
      </c>
      <c r="AA120" s="316" t="s">
        <v>298</v>
      </c>
      <c r="AB120" s="77"/>
      <c r="AC120" s="77">
        <f t="shared" ref="AC120" si="14">Q120*U120*X120</f>
        <v>200000</v>
      </c>
      <c r="AD120" s="57" t="s">
        <v>25</v>
      </c>
      <c r="AE120" s="17"/>
    </row>
    <row r="121" spans="1:31" s="16" customFormat="1" ht="8.25" customHeight="1">
      <c r="A121" s="48"/>
      <c r="B121" s="310"/>
      <c r="C121" s="310"/>
      <c r="D121" s="171"/>
      <c r="E121" s="121"/>
      <c r="F121" s="121"/>
      <c r="G121" s="121"/>
      <c r="H121" s="121"/>
      <c r="I121" s="121"/>
      <c r="J121" s="121"/>
      <c r="K121" s="121"/>
      <c r="L121" s="80"/>
      <c r="M121" s="150"/>
      <c r="N121" s="150"/>
      <c r="O121" s="150"/>
      <c r="P121" s="150"/>
      <c r="Q121" s="316"/>
      <c r="R121" s="316"/>
      <c r="S121" s="316"/>
      <c r="T121" s="317"/>
      <c r="U121" s="316"/>
      <c r="V121" s="316"/>
      <c r="W121" s="317"/>
      <c r="X121" s="316"/>
      <c r="Y121" s="316"/>
      <c r="Z121" s="316"/>
      <c r="AA121" s="316"/>
      <c r="AB121" s="77"/>
      <c r="AC121" s="77"/>
      <c r="AD121" s="57"/>
      <c r="AE121" s="17"/>
    </row>
    <row r="122" spans="1:31" s="16" customFormat="1" ht="24.75" customHeight="1">
      <c r="A122" s="48"/>
      <c r="B122" s="310"/>
      <c r="C122" s="310"/>
      <c r="D122" s="171"/>
      <c r="E122" s="121"/>
      <c r="F122" s="121"/>
      <c r="G122" s="121"/>
      <c r="H122" s="121"/>
      <c r="I122" s="121"/>
      <c r="J122" s="121"/>
      <c r="K122" s="121"/>
      <c r="L122" s="80"/>
      <c r="M122" s="81" t="s">
        <v>389</v>
      </c>
      <c r="N122" s="313"/>
      <c r="O122" s="317"/>
      <c r="P122" s="317"/>
      <c r="Q122" s="317"/>
      <c r="R122" s="317"/>
      <c r="S122" s="316"/>
      <c r="T122" s="316"/>
      <c r="U122" s="316"/>
      <c r="V122" s="312" t="s">
        <v>128</v>
      </c>
      <c r="W122" s="312"/>
      <c r="X122" s="312"/>
      <c r="Y122" s="312"/>
      <c r="Z122" s="312"/>
      <c r="AA122" s="312"/>
      <c r="AB122" s="82"/>
      <c r="AC122" s="82">
        <f>SUM(AC123)</f>
        <v>240000</v>
      </c>
      <c r="AD122" s="83" t="s">
        <v>25</v>
      </c>
      <c r="AE122" s="17"/>
    </row>
    <row r="123" spans="1:31" s="16" customFormat="1" ht="24.75" customHeight="1">
      <c r="A123" s="48"/>
      <c r="B123" s="310"/>
      <c r="C123" s="310"/>
      <c r="D123" s="171"/>
      <c r="E123" s="121"/>
      <c r="F123" s="121"/>
      <c r="G123" s="121"/>
      <c r="H123" s="121"/>
      <c r="I123" s="121"/>
      <c r="J123" s="121"/>
      <c r="K123" s="121"/>
      <c r="L123" s="80"/>
      <c r="M123" s="150" t="s">
        <v>390</v>
      </c>
      <c r="N123" s="150"/>
      <c r="O123" s="150"/>
      <c r="P123" s="150"/>
      <c r="Q123" s="316">
        <v>20000</v>
      </c>
      <c r="R123" s="316"/>
      <c r="S123" s="316" t="s">
        <v>56</v>
      </c>
      <c r="T123" s="317" t="s">
        <v>57</v>
      </c>
      <c r="U123" s="316">
        <v>1</v>
      </c>
      <c r="V123" s="316" t="s">
        <v>55</v>
      </c>
      <c r="W123" s="317" t="s">
        <v>57</v>
      </c>
      <c r="X123" s="316">
        <v>12</v>
      </c>
      <c r="Y123" s="316" t="s">
        <v>74</v>
      </c>
      <c r="Z123" s="316" t="s">
        <v>52</v>
      </c>
      <c r="AA123" s="316" t="s">
        <v>298</v>
      </c>
      <c r="AB123" s="77"/>
      <c r="AC123" s="77">
        <f t="shared" ref="AC123" si="15">Q123*U123*X123</f>
        <v>240000</v>
      </c>
      <c r="AD123" s="57" t="s">
        <v>25</v>
      </c>
      <c r="AE123" s="17"/>
    </row>
    <row r="124" spans="1:31" s="16" customFormat="1" ht="10.5" customHeight="1">
      <c r="A124" s="48"/>
      <c r="B124" s="310"/>
      <c r="C124" s="310"/>
      <c r="D124" s="171"/>
      <c r="E124" s="121"/>
      <c r="F124" s="121"/>
      <c r="G124" s="121"/>
      <c r="H124" s="121"/>
      <c r="I124" s="121"/>
      <c r="J124" s="121"/>
      <c r="K124" s="121"/>
      <c r="L124" s="80"/>
      <c r="M124" s="150"/>
      <c r="N124" s="150"/>
      <c r="O124" s="150"/>
      <c r="P124" s="150"/>
      <c r="Q124" s="316"/>
      <c r="R124" s="316"/>
      <c r="S124" s="316"/>
      <c r="T124" s="317"/>
      <c r="U124" s="316"/>
      <c r="V124" s="316"/>
      <c r="W124" s="317"/>
      <c r="X124" s="316"/>
      <c r="Y124" s="316"/>
      <c r="Z124" s="316"/>
      <c r="AA124" s="316"/>
      <c r="AB124" s="77"/>
      <c r="AC124" s="77"/>
      <c r="AD124" s="57"/>
      <c r="AE124" s="17"/>
    </row>
    <row r="125" spans="1:31" s="16" customFormat="1" ht="24.75" customHeight="1">
      <c r="A125" s="48"/>
      <c r="B125" s="310"/>
      <c r="C125" s="310"/>
      <c r="D125" s="171"/>
      <c r="E125" s="121"/>
      <c r="F125" s="121"/>
      <c r="G125" s="121"/>
      <c r="H125" s="121"/>
      <c r="I125" s="121"/>
      <c r="J125" s="121"/>
      <c r="K125" s="121"/>
      <c r="L125" s="80"/>
      <c r="M125" s="81" t="s">
        <v>392</v>
      </c>
      <c r="N125" s="313"/>
      <c r="O125" s="317"/>
      <c r="P125" s="317"/>
      <c r="Q125" s="317"/>
      <c r="R125" s="317"/>
      <c r="S125" s="316"/>
      <c r="T125" s="316"/>
      <c r="U125" s="316"/>
      <c r="V125" s="312" t="s">
        <v>128</v>
      </c>
      <c r="W125" s="312"/>
      <c r="X125" s="312"/>
      <c r="Y125" s="312"/>
      <c r="Z125" s="312"/>
      <c r="AA125" s="312"/>
      <c r="AB125" s="82"/>
      <c r="AC125" s="82">
        <f>SUM(AC126)</f>
        <v>480000</v>
      </c>
      <c r="AD125" s="83" t="s">
        <v>25</v>
      </c>
      <c r="AE125" s="17"/>
    </row>
    <row r="126" spans="1:31" s="16" customFormat="1" ht="24.75" customHeight="1">
      <c r="A126" s="48"/>
      <c r="B126" s="310"/>
      <c r="C126" s="310"/>
      <c r="D126" s="171"/>
      <c r="E126" s="121"/>
      <c r="F126" s="121"/>
      <c r="G126" s="121"/>
      <c r="H126" s="121"/>
      <c r="I126" s="121"/>
      <c r="J126" s="121"/>
      <c r="K126" s="121"/>
      <c r="L126" s="80"/>
      <c r="M126" s="150" t="s">
        <v>393</v>
      </c>
      <c r="N126" s="150"/>
      <c r="O126" s="150"/>
      <c r="P126" s="150"/>
      <c r="Q126" s="316">
        <v>10000</v>
      </c>
      <c r="R126" s="316"/>
      <c r="S126" s="316" t="s">
        <v>56</v>
      </c>
      <c r="T126" s="317" t="s">
        <v>57</v>
      </c>
      <c r="U126" s="316">
        <v>4</v>
      </c>
      <c r="V126" s="316" t="s">
        <v>55</v>
      </c>
      <c r="W126" s="317" t="s">
        <v>57</v>
      </c>
      <c r="X126" s="316">
        <v>12</v>
      </c>
      <c r="Y126" s="316" t="s">
        <v>74</v>
      </c>
      <c r="Z126" s="316" t="s">
        <v>52</v>
      </c>
      <c r="AA126" s="316" t="s">
        <v>298</v>
      </c>
      <c r="AB126" s="77"/>
      <c r="AC126" s="77">
        <f t="shared" ref="AC126" si="16">Q126*U126*X126</f>
        <v>480000</v>
      </c>
      <c r="AD126" s="57" t="s">
        <v>25</v>
      </c>
      <c r="AE126" s="17"/>
    </row>
    <row r="127" spans="1:31" s="16" customFormat="1" ht="9.75" customHeight="1">
      <c r="A127" s="48"/>
      <c r="B127" s="310"/>
      <c r="C127" s="310"/>
      <c r="D127" s="171"/>
      <c r="E127" s="121"/>
      <c r="F127" s="121"/>
      <c r="G127" s="121"/>
      <c r="H127" s="121"/>
      <c r="I127" s="121"/>
      <c r="J127" s="121"/>
      <c r="K127" s="121"/>
      <c r="L127" s="80"/>
      <c r="M127" s="317"/>
      <c r="N127" s="317"/>
      <c r="O127" s="317"/>
      <c r="P127" s="317"/>
      <c r="Q127" s="316"/>
      <c r="R127" s="316"/>
      <c r="S127" s="316"/>
      <c r="T127" s="317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57"/>
      <c r="AE127" s="17"/>
    </row>
    <row r="128" spans="1:31" s="16" customFormat="1" ht="24" customHeight="1">
      <c r="A128" s="48"/>
      <c r="B128" s="310"/>
      <c r="C128" s="310"/>
      <c r="D128" s="171"/>
      <c r="E128" s="121"/>
      <c r="F128" s="121"/>
      <c r="G128" s="121"/>
      <c r="H128" s="121"/>
      <c r="I128" s="121"/>
      <c r="J128" s="121"/>
      <c r="K128" s="121"/>
      <c r="L128" s="80"/>
      <c r="M128" s="81" t="s">
        <v>394</v>
      </c>
      <c r="N128" s="127"/>
      <c r="O128" s="201"/>
      <c r="P128" s="34"/>
      <c r="Q128" s="34"/>
      <c r="R128" s="34"/>
      <c r="S128" s="34"/>
      <c r="T128" s="34"/>
      <c r="U128" s="34"/>
      <c r="V128" s="312" t="s">
        <v>128</v>
      </c>
      <c r="W128" s="312"/>
      <c r="X128" s="312"/>
      <c r="Y128" s="312"/>
      <c r="Z128" s="312"/>
      <c r="AA128" s="312"/>
      <c r="AB128" s="82"/>
      <c r="AC128" s="82">
        <f>SUM(AC129:AC132)</f>
        <v>1840000</v>
      </c>
      <c r="AD128" s="83" t="s">
        <v>25</v>
      </c>
      <c r="AE128" s="17"/>
    </row>
    <row r="129" spans="1:32" s="16" customFormat="1" ht="24" customHeight="1">
      <c r="A129" s="48"/>
      <c r="B129" s="310"/>
      <c r="C129" s="310"/>
      <c r="D129" s="174"/>
      <c r="E129" s="121"/>
      <c r="F129" s="121"/>
      <c r="G129" s="121"/>
      <c r="H129" s="121"/>
      <c r="I129" s="121"/>
      <c r="J129" s="121"/>
      <c r="K129" s="121"/>
      <c r="L129" s="80"/>
      <c r="M129" s="317" t="s">
        <v>336</v>
      </c>
      <c r="N129" s="201"/>
      <c r="O129" s="201"/>
      <c r="P129" s="34"/>
      <c r="Q129" s="316">
        <v>30000</v>
      </c>
      <c r="R129" s="316"/>
      <c r="S129" s="55" t="s">
        <v>56</v>
      </c>
      <c r="T129" s="55" t="s">
        <v>26</v>
      </c>
      <c r="U129" s="316">
        <v>4</v>
      </c>
      <c r="V129" s="316" t="s">
        <v>159</v>
      </c>
      <c r="W129" s="211"/>
      <c r="X129" s="149"/>
      <c r="Y129" s="85"/>
      <c r="Z129" s="199" t="s">
        <v>52</v>
      </c>
      <c r="AA129" s="316" t="s">
        <v>109</v>
      </c>
      <c r="AB129" s="316"/>
      <c r="AC129" s="316">
        <f>Q129*U129</f>
        <v>120000</v>
      </c>
      <c r="AD129" s="57" t="s">
        <v>25</v>
      </c>
      <c r="AE129" s="17"/>
    </row>
    <row r="130" spans="1:32" s="16" customFormat="1" ht="24" customHeight="1">
      <c r="A130" s="48"/>
      <c r="B130" s="310"/>
      <c r="C130" s="310"/>
      <c r="D130" s="174"/>
      <c r="E130" s="121"/>
      <c r="F130" s="121"/>
      <c r="G130" s="121"/>
      <c r="H130" s="121"/>
      <c r="I130" s="121"/>
      <c r="J130" s="121"/>
      <c r="K130" s="121"/>
      <c r="L130" s="80"/>
      <c r="M130" s="317" t="s">
        <v>337</v>
      </c>
      <c r="N130" s="201"/>
      <c r="O130" s="201"/>
      <c r="P130" s="34"/>
      <c r="Q130" s="316">
        <v>250000</v>
      </c>
      <c r="R130" s="316"/>
      <c r="S130" s="55" t="s">
        <v>56</v>
      </c>
      <c r="T130" s="55" t="s">
        <v>26</v>
      </c>
      <c r="U130" s="316">
        <v>4</v>
      </c>
      <c r="V130" s="316" t="s">
        <v>159</v>
      </c>
      <c r="W130" s="211"/>
      <c r="X130" s="149"/>
      <c r="Y130" s="85"/>
      <c r="Z130" s="199" t="s">
        <v>52</v>
      </c>
      <c r="AA130" s="316" t="s">
        <v>109</v>
      </c>
      <c r="AB130" s="316"/>
      <c r="AC130" s="316">
        <f>Q130*U130</f>
        <v>1000000</v>
      </c>
      <c r="AD130" s="57" t="s">
        <v>25</v>
      </c>
      <c r="AE130" s="17"/>
    </row>
    <row r="131" spans="1:32" s="16" customFormat="1" ht="24" customHeight="1">
      <c r="A131" s="48"/>
      <c r="B131" s="310"/>
      <c r="C131" s="310"/>
      <c r="D131" s="174"/>
      <c r="E131" s="121"/>
      <c r="F131" s="121"/>
      <c r="G131" s="121"/>
      <c r="H131" s="121"/>
      <c r="I131" s="121"/>
      <c r="J131" s="121"/>
      <c r="K131" s="121"/>
      <c r="L131" s="80"/>
      <c r="M131" s="150" t="s">
        <v>330</v>
      </c>
      <c r="N131" s="150"/>
      <c r="O131" s="150"/>
      <c r="P131" s="150"/>
      <c r="Q131" s="316">
        <v>150000</v>
      </c>
      <c r="R131" s="316"/>
      <c r="S131" s="55" t="s">
        <v>56</v>
      </c>
      <c r="T131" s="55" t="s">
        <v>26</v>
      </c>
      <c r="U131" s="316">
        <v>4</v>
      </c>
      <c r="V131" s="316" t="s">
        <v>159</v>
      </c>
      <c r="W131" s="211"/>
      <c r="X131" s="149"/>
      <c r="Y131" s="85"/>
      <c r="Z131" s="199" t="s">
        <v>52</v>
      </c>
      <c r="AA131" s="316" t="s">
        <v>109</v>
      </c>
      <c r="AB131" s="316"/>
      <c r="AC131" s="316">
        <f>Q131*U131</f>
        <v>600000</v>
      </c>
      <c r="AD131" s="57" t="s">
        <v>25</v>
      </c>
      <c r="AE131" s="17"/>
    </row>
    <row r="132" spans="1:32" s="16" customFormat="1" ht="24" customHeight="1">
      <c r="A132" s="48"/>
      <c r="B132" s="310"/>
      <c r="C132" s="310"/>
      <c r="D132" s="174"/>
      <c r="E132" s="121"/>
      <c r="F132" s="121"/>
      <c r="G132" s="121"/>
      <c r="H132" s="121"/>
      <c r="I132" s="121"/>
      <c r="J132" s="121"/>
      <c r="K132" s="121"/>
      <c r="L132" s="80"/>
      <c r="M132" s="150" t="s">
        <v>335</v>
      </c>
      <c r="N132" s="150"/>
      <c r="O132" s="150"/>
      <c r="P132" s="150"/>
      <c r="Q132" s="316">
        <v>30000</v>
      </c>
      <c r="R132" s="316"/>
      <c r="S132" s="55" t="s">
        <v>56</v>
      </c>
      <c r="T132" s="55" t="s">
        <v>26</v>
      </c>
      <c r="U132" s="316">
        <v>4</v>
      </c>
      <c r="V132" s="316" t="s">
        <v>333</v>
      </c>
      <c r="W132" s="211"/>
      <c r="X132" s="149"/>
      <c r="Y132" s="85"/>
      <c r="Z132" s="199" t="s">
        <v>52</v>
      </c>
      <c r="AA132" s="316" t="s">
        <v>297</v>
      </c>
      <c r="AB132" s="316"/>
      <c r="AC132" s="316">
        <f>Q132*U132</f>
        <v>120000</v>
      </c>
      <c r="AD132" s="57" t="s">
        <v>25</v>
      </c>
      <c r="AE132" s="17"/>
      <c r="AF132" s="17"/>
    </row>
    <row r="133" spans="1:32" s="16" customFormat="1" ht="10.5" customHeight="1">
      <c r="A133" s="48"/>
      <c r="B133" s="310"/>
      <c r="C133" s="310"/>
      <c r="D133" s="171"/>
      <c r="E133" s="121"/>
      <c r="F133" s="121"/>
      <c r="G133" s="121"/>
      <c r="H133" s="121"/>
      <c r="I133" s="121"/>
      <c r="J133" s="121"/>
      <c r="K133" s="121"/>
      <c r="L133" s="80"/>
      <c r="AD133" s="348"/>
      <c r="AE133" s="17"/>
    </row>
    <row r="134" spans="1:32" s="16" customFormat="1" ht="24" customHeight="1">
      <c r="A134" s="48"/>
      <c r="B134" s="310"/>
      <c r="C134" s="310"/>
      <c r="D134" s="171"/>
      <c r="E134" s="121"/>
      <c r="F134" s="121"/>
      <c r="G134" s="121"/>
      <c r="H134" s="121"/>
      <c r="I134" s="121"/>
      <c r="J134" s="121"/>
      <c r="K134" s="121"/>
      <c r="L134" s="80"/>
      <c r="M134" s="81" t="s">
        <v>344</v>
      </c>
      <c r="N134" s="127"/>
      <c r="O134" s="201"/>
      <c r="P134" s="34"/>
      <c r="Q134" s="34"/>
      <c r="R134" s="34"/>
      <c r="S134" s="34"/>
      <c r="T134" s="34"/>
      <c r="U134" s="34"/>
      <c r="V134" s="312" t="s">
        <v>128</v>
      </c>
      <c r="W134" s="312"/>
      <c r="X134" s="312"/>
      <c r="Y134" s="312"/>
      <c r="Z134" s="312"/>
      <c r="AA134" s="312"/>
      <c r="AB134" s="82"/>
      <c r="AC134" s="82">
        <f>SUM(AC136:AC138)</f>
        <v>700000</v>
      </c>
      <c r="AD134" s="83" t="s">
        <v>25</v>
      </c>
      <c r="AE134" s="17"/>
    </row>
    <row r="135" spans="1:32" s="16" customFormat="1" ht="24" customHeight="1">
      <c r="A135" s="48"/>
      <c r="B135" s="310"/>
      <c r="C135" s="310"/>
      <c r="D135" s="171"/>
      <c r="E135" s="121"/>
      <c r="F135" s="121"/>
      <c r="G135" s="121"/>
      <c r="H135" s="121"/>
      <c r="I135" s="121"/>
      <c r="J135" s="121"/>
      <c r="K135" s="121"/>
      <c r="L135" s="80"/>
      <c r="M135" s="317" t="s">
        <v>345</v>
      </c>
      <c r="N135" s="317"/>
      <c r="O135" s="317"/>
      <c r="P135" s="317"/>
      <c r="Q135" s="316">
        <v>50000</v>
      </c>
      <c r="R135" s="316"/>
      <c r="S135" s="55" t="s">
        <v>56</v>
      </c>
      <c r="T135" s="55" t="s">
        <v>26</v>
      </c>
      <c r="U135" s="316">
        <v>2</v>
      </c>
      <c r="V135" s="316" t="s">
        <v>183</v>
      </c>
      <c r="W135" s="211"/>
      <c r="X135" s="149"/>
      <c r="Y135" s="85"/>
      <c r="Z135" s="199" t="s">
        <v>52</v>
      </c>
      <c r="AA135" s="316" t="s">
        <v>346</v>
      </c>
      <c r="AB135" s="316"/>
      <c r="AC135" s="316">
        <v>100000</v>
      </c>
      <c r="AD135" s="57" t="s">
        <v>25</v>
      </c>
      <c r="AE135" s="17"/>
    </row>
    <row r="136" spans="1:32" s="16" customFormat="1" ht="24" customHeight="1">
      <c r="A136" s="48"/>
      <c r="B136" s="310"/>
      <c r="C136" s="310"/>
      <c r="D136" s="171"/>
      <c r="E136" s="121"/>
      <c r="F136" s="121"/>
      <c r="G136" s="121"/>
      <c r="H136" s="121"/>
      <c r="I136" s="121"/>
      <c r="J136" s="121"/>
      <c r="K136" s="121"/>
      <c r="L136" s="80"/>
      <c r="M136" s="317"/>
      <c r="N136" s="317"/>
      <c r="O136" s="317"/>
      <c r="P136" s="317"/>
      <c r="Q136" s="316">
        <v>150000</v>
      </c>
      <c r="R136" s="316"/>
      <c r="S136" s="55" t="s">
        <v>56</v>
      </c>
      <c r="T136" s="55" t="s">
        <v>26</v>
      </c>
      <c r="U136" s="316">
        <v>2</v>
      </c>
      <c r="V136" s="316" t="s">
        <v>159</v>
      </c>
      <c r="W136" s="211"/>
      <c r="X136" s="149"/>
      <c r="Y136" s="85"/>
      <c r="Z136" s="199" t="s">
        <v>52</v>
      </c>
      <c r="AA136" s="316" t="s">
        <v>350</v>
      </c>
      <c r="AB136" s="316"/>
      <c r="AC136" s="316">
        <f>Q136*U136</f>
        <v>300000</v>
      </c>
      <c r="AD136" s="57" t="s">
        <v>25</v>
      </c>
      <c r="AE136" s="17"/>
    </row>
    <row r="137" spans="1:32" s="16" customFormat="1" ht="24" customHeight="1">
      <c r="A137" s="48"/>
      <c r="B137" s="310"/>
      <c r="C137" s="310"/>
      <c r="D137" s="171"/>
      <c r="E137" s="121"/>
      <c r="F137" s="121"/>
      <c r="G137" s="121"/>
      <c r="H137" s="121"/>
      <c r="I137" s="121"/>
      <c r="J137" s="121"/>
      <c r="K137" s="121"/>
      <c r="L137" s="80"/>
      <c r="M137" s="317"/>
      <c r="N137" s="317"/>
      <c r="O137" s="317"/>
      <c r="P137" s="317"/>
      <c r="Q137" s="316">
        <v>50000</v>
      </c>
      <c r="R137" s="316"/>
      <c r="S137" s="55" t="s">
        <v>56</v>
      </c>
      <c r="T137" s="55" t="s">
        <v>26</v>
      </c>
      <c r="U137" s="316">
        <v>2</v>
      </c>
      <c r="V137" s="316" t="s">
        <v>159</v>
      </c>
      <c r="W137" s="211"/>
      <c r="X137" s="149"/>
      <c r="Y137" s="85"/>
      <c r="Z137" s="199" t="s">
        <v>52</v>
      </c>
      <c r="AA137" s="316" t="s">
        <v>350</v>
      </c>
      <c r="AB137" s="316"/>
      <c r="AC137" s="316">
        <f>Q137*U137</f>
        <v>100000</v>
      </c>
      <c r="AD137" s="57" t="s">
        <v>25</v>
      </c>
      <c r="AE137" s="17"/>
    </row>
    <row r="138" spans="1:32" s="16" customFormat="1" ht="21.75" customHeight="1">
      <c r="A138" s="48"/>
      <c r="B138" s="310"/>
      <c r="C138" s="310"/>
      <c r="D138" s="171"/>
      <c r="E138" s="121"/>
      <c r="F138" s="121"/>
      <c r="G138" s="121"/>
      <c r="H138" s="121"/>
      <c r="I138" s="121"/>
      <c r="J138" s="121"/>
      <c r="K138" s="121"/>
      <c r="L138" s="80"/>
      <c r="M138" s="317"/>
      <c r="N138" s="317"/>
      <c r="O138" s="317"/>
      <c r="P138" s="317"/>
      <c r="Q138" s="316">
        <v>150000</v>
      </c>
      <c r="R138" s="316"/>
      <c r="S138" s="55" t="s">
        <v>56</v>
      </c>
      <c r="T138" s="55" t="s">
        <v>26</v>
      </c>
      <c r="U138" s="316">
        <v>2</v>
      </c>
      <c r="V138" s="316" t="s">
        <v>159</v>
      </c>
      <c r="W138" s="211"/>
      <c r="X138" s="149"/>
      <c r="Y138" s="85"/>
      <c r="Z138" s="199" t="s">
        <v>52</v>
      </c>
      <c r="AA138" s="316" t="s">
        <v>329</v>
      </c>
      <c r="AB138" s="316"/>
      <c r="AC138" s="316">
        <f>Q138*U138</f>
        <v>300000</v>
      </c>
      <c r="AD138" s="57" t="s">
        <v>25</v>
      </c>
      <c r="AE138" s="17"/>
    </row>
    <row r="139" spans="1:32" s="16" customFormat="1" ht="8.25" customHeight="1">
      <c r="A139" s="48" t="s">
        <v>395</v>
      </c>
      <c r="B139" s="310"/>
      <c r="C139" s="310"/>
      <c r="D139" s="171"/>
      <c r="E139" s="121"/>
      <c r="F139" s="121"/>
      <c r="G139" s="121"/>
      <c r="H139" s="121"/>
      <c r="I139" s="121"/>
      <c r="J139" s="121"/>
      <c r="K139" s="121"/>
      <c r="L139" s="80"/>
      <c r="M139" s="347"/>
      <c r="N139" s="347" t="s">
        <v>395</v>
      </c>
      <c r="O139" s="347"/>
      <c r="P139" s="347"/>
      <c r="Q139" s="347"/>
      <c r="R139" s="347"/>
      <c r="S139" s="347"/>
      <c r="T139" s="347"/>
      <c r="U139" s="347"/>
      <c r="V139" s="347"/>
      <c r="W139" s="347"/>
      <c r="X139" s="347"/>
      <c r="Y139" s="347"/>
      <c r="Z139" s="347"/>
      <c r="AA139" s="347"/>
      <c r="AB139" s="347"/>
      <c r="AC139" s="347"/>
      <c r="AD139" s="348"/>
      <c r="AE139" s="17"/>
    </row>
    <row r="140" spans="1:32" s="16" customFormat="1" ht="24" customHeight="1">
      <c r="A140" s="48"/>
      <c r="B140" s="310"/>
      <c r="C140" s="310"/>
      <c r="D140" s="171"/>
      <c r="E140" s="121"/>
      <c r="F140" s="121"/>
      <c r="G140" s="121"/>
      <c r="H140" s="121"/>
      <c r="I140" s="121"/>
      <c r="J140" s="121"/>
      <c r="K140" s="121"/>
      <c r="L140" s="80"/>
      <c r="M140" s="81" t="s">
        <v>396</v>
      </c>
      <c r="N140" s="127"/>
      <c r="O140" s="201"/>
      <c r="P140" s="34"/>
      <c r="Q140" s="34"/>
      <c r="R140" s="34"/>
      <c r="S140" s="34"/>
      <c r="T140" s="34"/>
      <c r="U140" s="34"/>
      <c r="V140" s="312" t="s">
        <v>128</v>
      </c>
      <c r="W140" s="312"/>
      <c r="X140" s="312"/>
      <c r="Y140" s="312"/>
      <c r="Z140" s="312"/>
      <c r="AA140" s="312"/>
      <c r="AB140" s="82"/>
      <c r="AC140" s="82">
        <f>SUM(AC141:AC141)</f>
        <v>480000</v>
      </c>
      <c r="AD140" s="83" t="s">
        <v>25</v>
      </c>
      <c r="AE140" s="17"/>
    </row>
    <row r="141" spans="1:32" s="16" customFormat="1" ht="24" customHeight="1">
      <c r="A141" s="48"/>
      <c r="B141" s="310"/>
      <c r="C141" s="310"/>
      <c r="D141" s="171"/>
      <c r="E141" s="121"/>
      <c r="F141" s="121"/>
      <c r="G141" s="121"/>
      <c r="H141" s="121"/>
      <c r="I141" s="121"/>
      <c r="J141" s="121"/>
      <c r="K141" s="121"/>
      <c r="L141" s="80"/>
      <c r="M141" s="150" t="s">
        <v>334</v>
      </c>
      <c r="N141" s="150"/>
      <c r="O141" s="150"/>
      <c r="P141" s="150"/>
      <c r="Q141" s="316">
        <v>30000</v>
      </c>
      <c r="R141" s="316"/>
      <c r="S141" s="316" t="s">
        <v>56</v>
      </c>
      <c r="T141" s="317" t="s">
        <v>57</v>
      </c>
      <c r="U141" s="316">
        <v>4</v>
      </c>
      <c r="V141" s="316" t="s">
        <v>55</v>
      </c>
      <c r="W141" s="317" t="s">
        <v>57</v>
      </c>
      <c r="X141" s="316">
        <v>4</v>
      </c>
      <c r="Y141" s="316" t="s">
        <v>74</v>
      </c>
      <c r="Z141" s="316" t="s">
        <v>52</v>
      </c>
      <c r="AA141" s="316" t="s">
        <v>298</v>
      </c>
      <c r="AB141" s="77"/>
      <c r="AC141" s="77">
        <f t="shared" ref="AC141" si="17">Q141*U141*X141</f>
        <v>480000</v>
      </c>
      <c r="AD141" s="57" t="s">
        <v>25</v>
      </c>
      <c r="AE141" s="17"/>
    </row>
    <row r="142" spans="1:32" s="12" customFormat="1" ht="21" customHeight="1">
      <c r="A142" s="319" t="s">
        <v>374</v>
      </c>
      <c r="B142" s="411" t="s">
        <v>21</v>
      </c>
      <c r="C142" s="411"/>
      <c r="D142" s="320">
        <v>137</v>
      </c>
      <c r="E142" s="320">
        <f>SUM(E143)</f>
        <v>134.47999999999999</v>
      </c>
      <c r="F142" s="320">
        <f t="shared" ref="F142:J142" si="18">SUM(F143)</f>
        <v>4.4800000000000004</v>
      </c>
      <c r="G142" s="320">
        <f t="shared" si="18"/>
        <v>130</v>
      </c>
      <c r="H142" s="320">
        <f t="shared" si="18"/>
        <v>0</v>
      </c>
      <c r="I142" s="320">
        <v>0</v>
      </c>
      <c r="J142" s="320">
        <f t="shared" si="18"/>
        <v>0</v>
      </c>
      <c r="K142" s="320">
        <f>E142-D142</f>
        <v>-2.5200000000000102</v>
      </c>
      <c r="L142" s="321">
        <f>IF(D142=0,0,K142/D142)</f>
        <v>-1.8394160583941679E-2</v>
      </c>
      <c r="M142" s="341" t="s">
        <v>380</v>
      </c>
      <c r="N142" s="328"/>
      <c r="O142" s="328"/>
      <c r="P142" s="328"/>
      <c r="Q142" s="329"/>
      <c r="R142" s="329"/>
      <c r="S142" s="329"/>
      <c r="T142" s="329"/>
      <c r="U142" s="329"/>
      <c r="V142" s="329"/>
      <c r="W142" s="329"/>
      <c r="X142" s="329"/>
      <c r="Y142" s="329"/>
      <c r="Z142" s="329"/>
      <c r="AA142" s="329"/>
      <c r="AB142" s="329"/>
      <c r="AC142" s="329">
        <f>SUM(AB144:AC146)</f>
        <v>134480</v>
      </c>
      <c r="AD142" s="330" t="s">
        <v>25</v>
      </c>
      <c r="AE142" s="1"/>
    </row>
    <row r="143" spans="1:32" s="12" customFormat="1" ht="21" customHeight="1">
      <c r="A143" s="319" t="s">
        <v>150</v>
      </c>
      <c r="B143" s="322" t="s">
        <v>374</v>
      </c>
      <c r="C143" s="322" t="s">
        <v>374</v>
      </c>
      <c r="D143" s="320">
        <v>137</v>
      </c>
      <c r="E143" s="320">
        <f>SUM(F143,G143)</f>
        <v>134.47999999999999</v>
      </c>
      <c r="F143" s="320">
        <f>SUM(AC144)/1000</f>
        <v>4.4800000000000004</v>
      </c>
      <c r="G143" s="320">
        <f>SUM(AC145)/1000</f>
        <v>130</v>
      </c>
      <c r="H143" s="320">
        <v>0</v>
      </c>
      <c r="I143" s="320">
        <v>0</v>
      </c>
      <c r="J143" s="320">
        <v>0</v>
      </c>
      <c r="K143" s="320">
        <f>E143-D143</f>
        <v>-2.5200000000000102</v>
      </c>
      <c r="L143" s="321">
        <f>IF(D143=0,0,K143/D143)</f>
        <v>-1.8394160583941679E-2</v>
      </c>
      <c r="M143" s="341" t="s">
        <v>375</v>
      </c>
      <c r="N143" s="331"/>
      <c r="O143" s="331"/>
      <c r="P143" s="331"/>
      <c r="Q143" s="331"/>
      <c r="R143" s="331"/>
      <c r="S143" s="332"/>
      <c r="T143" s="332"/>
      <c r="U143" s="332"/>
      <c r="V143" s="332"/>
      <c r="W143" s="332"/>
      <c r="X143" s="332" t="s">
        <v>376</v>
      </c>
      <c r="Y143" s="332"/>
      <c r="Z143" s="332"/>
      <c r="AA143" s="332"/>
      <c r="AB143" s="333"/>
      <c r="AC143" s="333">
        <f>SUM(AC144:AC146)</f>
        <v>134480</v>
      </c>
      <c r="AD143" s="334" t="s">
        <v>25</v>
      </c>
      <c r="AE143" s="1"/>
    </row>
    <row r="144" spans="1:32" ht="21" customHeight="1">
      <c r="A144" s="323"/>
      <c r="B144" s="322" t="s">
        <v>377</v>
      </c>
      <c r="C144" s="322" t="s">
        <v>377</v>
      </c>
      <c r="D144" s="320"/>
      <c r="E144" s="320"/>
      <c r="F144" s="320"/>
      <c r="G144" s="320"/>
      <c r="H144" s="320"/>
      <c r="I144" s="320"/>
      <c r="J144" s="320"/>
      <c r="K144" s="320"/>
      <c r="L144" s="321"/>
      <c r="M144" s="342" t="s">
        <v>378</v>
      </c>
      <c r="N144" s="335"/>
      <c r="O144" s="335"/>
      <c r="P144" s="335"/>
      <c r="Q144" s="336"/>
      <c r="R144" s="336"/>
      <c r="S144" s="336"/>
      <c r="T144" s="336"/>
      <c r="U144" s="336"/>
      <c r="V144" s="336"/>
      <c r="W144" s="336"/>
      <c r="X144" s="336"/>
      <c r="Y144" s="336"/>
      <c r="Z144" s="336"/>
      <c r="AA144" s="336"/>
      <c r="AB144" s="336"/>
      <c r="AC144" s="336">
        <v>4480</v>
      </c>
      <c r="AD144" s="337" t="s">
        <v>25</v>
      </c>
    </row>
    <row r="145" spans="1:30" ht="21" customHeight="1">
      <c r="A145" s="323"/>
      <c r="B145" s="322"/>
      <c r="C145" s="322"/>
      <c r="D145" s="320"/>
      <c r="E145" s="320"/>
      <c r="F145" s="320"/>
      <c r="G145" s="320"/>
      <c r="H145" s="320"/>
      <c r="I145" s="320"/>
      <c r="J145" s="320"/>
      <c r="K145" s="320"/>
      <c r="L145" s="321"/>
      <c r="M145" s="342" t="s">
        <v>381</v>
      </c>
      <c r="N145" s="335"/>
      <c r="O145" s="335"/>
      <c r="P145" s="335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>
        <v>130000</v>
      </c>
      <c r="AD145" s="337" t="s">
        <v>379</v>
      </c>
    </row>
    <row r="146" spans="1:30" ht="21" customHeight="1" thickBot="1">
      <c r="A146" s="324"/>
      <c r="B146" s="325"/>
      <c r="C146" s="325"/>
      <c r="D146" s="326"/>
      <c r="E146" s="326"/>
      <c r="F146" s="326"/>
      <c r="G146" s="326"/>
      <c r="H146" s="326"/>
      <c r="I146" s="326"/>
      <c r="J146" s="326"/>
      <c r="K146" s="326"/>
      <c r="L146" s="327"/>
      <c r="M146" s="349"/>
      <c r="N146" s="338"/>
      <c r="O146" s="338"/>
      <c r="P146" s="338"/>
      <c r="Q146" s="339"/>
      <c r="R146" s="339"/>
      <c r="S146" s="339"/>
      <c r="T146" s="339"/>
      <c r="U146" s="339"/>
      <c r="V146" s="339"/>
      <c r="W146" s="339"/>
      <c r="X146" s="339"/>
      <c r="Y146" s="339"/>
      <c r="Z146" s="339"/>
      <c r="AA146" s="339"/>
      <c r="AB146" s="339"/>
      <c r="AC146" s="339"/>
      <c r="AD146" s="340"/>
    </row>
    <row r="147" spans="1:30" ht="21" customHeight="1">
      <c r="M147" s="317"/>
    </row>
    <row r="148" spans="1:30" ht="21" customHeight="1">
      <c r="M148" s="317"/>
    </row>
  </sheetData>
  <mergeCells count="14">
    <mergeCell ref="B142:C142"/>
    <mergeCell ref="B87:C87"/>
    <mergeCell ref="B77:C77"/>
    <mergeCell ref="U73:V73"/>
    <mergeCell ref="U48:V48"/>
    <mergeCell ref="U53:V53"/>
    <mergeCell ref="M2:AD3"/>
    <mergeCell ref="A1:C1"/>
    <mergeCell ref="B5:C5"/>
    <mergeCell ref="A4:C4"/>
    <mergeCell ref="K2:L2"/>
    <mergeCell ref="A2:C2"/>
    <mergeCell ref="D2:D3"/>
    <mergeCell ref="E2:J2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differentOddEven="1" differentFirst="1">
    <oddFooter>&amp;R&amp;9장애인공동생활가정 몬띠의 집</oddFooter>
    <evenFooter>&amp;R장애인공동생활가정 몬띠의집</evenFooter>
    <firstFooter>&amp;R장애인공동생활가정 몬띠의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Normal="100" workbookViewId="0">
      <selection activeCell="N9" sqref="N9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247" t="s">
        <v>382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 t="s">
        <v>209</v>
      </c>
    </row>
    <row r="2" spans="1:12" ht="8.25" customHeight="1" thickBot="1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6.5">
      <c r="A3" s="444" t="s">
        <v>210</v>
      </c>
      <c r="B3" s="445"/>
      <c r="C3" s="445"/>
      <c r="D3" s="445"/>
      <c r="E3" s="446"/>
      <c r="F3" s="446"/>
      <c r="G3" s="444" t="s">
        <v>211</v>
      </c>
      <c r="H3" s="445"/>
      <c r="I3" s="445"/>
      <c r="J3" s="445"/>
      <c r="K3" s="446"/>
      <c r="L3" s="447"/>
    </row>
    <row r="4" spans="1:12" ht="13.5" customHeight="1">
      <c r="A4" s="448" t="s">
        <v>303</v>
      </c>
      <c r="B4" s="424"/>
      <c r="C4" s="450" t="s">
        <v>364</v>
      </c>
      <c r="D4" s="450" t="s">
        <v>360</v>
      </c>
      <c r="E4" s="452" t="s">
        <v>304</v>
      </c>
      <c r="F4" s="454" t="s">
        <v>305</v>
      </c>
      <c r="G4" s="448" t="s">
        <v>303</v>
      </c>
      <c r="H4" s="424"/>
      <c r="I4" s="450" t="s">
        <v>365</v>
      </c>
      <c r="J4" s="450" t="s">
        <v>360</v>
      </c>
      <c r="K4" s="424" t="s">
        <v>306</v>
      </c>
      <c r="L4" s="426" t="s">
        <v>305</v>
      </c>
    </row>
    <row r="5" spans="1:12" ht="25.5" customHeight="1" thickBot="1">
      <c r="A5" s="449"/>
      <c r="B5" s="425"/>
      <c r="C5" s="451"/>
      <c r="D5" s="451"/>
      <c r="E5" s="453"/>
      <c r="F5" s="455"/>
      <c r="G5" s="449"/>
      <c r="H5" s="425"/>
      <c r="I5" s="451"/>
      <c r="J5" s="451"/>
      <c r="K5" s="425"/>
      <c r="L5" s="427"/>
    </row>
    <row r="6" spans="1:12" ht="14.25" thickTop="1">
      <c r="A6" s="423" t="s">
        <v>214</v>
      </c>
      <c r="B6" s="428"/>
      <c r="C6" s="255">
        <f>SUM(C7:C17)</f>
        <v>63073614</v>
      </c>
      <c r="D6" s="255">
        <f>SUM(D7:D17)</f>
        <v>58870484</v>
      </c>
      <c r="E6" s="256">
        <f>SUM(E7:E17)</f>
        <v>-4203130</v>
      </c>
      <c r="F6" s="257"/>
      <c r="G6" s="423" t="s">
        <v>214</v>
      </c>
      <c r="H6" s="428"/>
      <c r="I6" s="255">
        <f>SUM(I7:I19)</f>
        <v>63073614</v>
      </c>
      <c r="J6" s="255">
        <f>SUM(J7:J19)</f>
        <v>58870484</v>
      </c>
      <c r="K6" s="256">
        <f>SUM(K7:K19)</f>
        <v>-4203130</v>
      </c>
      <c r="L6" s="258"/>
    </row>
    <row r="7" spans="1:12" ht="31.5">
      <c r="A7" s="259" t="s">
        <v>275</v>
      </c>
      <c r="B7" s="260" t="s">
        <v>275</v>
      </c>
      <c r="C7" s="261">
        <f>세입세출총괄표!E8</f>
        <v>8120082</v>
      </c>
      <c r="D7" s="261">
        <f>세입!AB5</f>
        <v>7200000</v>
      </c>
      <c r="E7" s="262">
        <f>D7-C7</f>
        <v>-920082</v>
      </c>
      <c r="F7" s="277" t="s">
        <v>387</v>
      </c>
      <c r="G7" s="421" t="s">
        <v>259</v>
      </c>
      <c r="H7" s="260" t="s">
        <v>262</v>
      </c>
      <c r="I7" s="261">
        <f>'[1]세출(수정)'!$AD$6</f>
        <v>39779400</v>
      </c>
      <c r="J7" s="261">
        <f>세출!AC6</f>
        <v>34268640</v>
      </c>
      <c r="K7" s="263">
        <f>J7-I7</f>
        <v>-5510760</v>
      </c>
      <c r="L7" s="264" t="s">
        <v>367</v>
      </c>
    </row>
    <row r="8" spans="1:12" ht="28.5" customHeight="1">
      <c r="A8" s="429" t="s">
        <v>277</v>
      </c>
      <c r="B8" s="260" t="s">
        <v>300</v>
      </c>
      <c r="C8" s="261">
        <f>'[1]세입(수정)'!$AC$12</f>
        <v>3375000</v>
      </c>
      <c r="D8" s="261">
        <f>세입!AB9</f>
        <v>3475000</v>
      </c>
      <c r="E8" s="262">
        <f>D8-C8</f>
        <v>100000</v>
      </c>
      <c r="F8" s="277"/>
      <c r="G8" s="422"/>
      <c r="H8" s="260" t="s">
        <v>263</v>
      </c>
      <c r="I8" s="261">
        <f>'[1]세출(수정)'!$AD$63</f>
        <v>0</v>
      </c>
      <c r="J8" s="261">
        <f>세출!AC39</f>
        <v>140000</v>
      </c>
      <c r="K8" s="263">
        <f>J8-I8</f>
        <v>140000</v>
      </c>
      <c r="L8" s="266"/>
    </row>
    <row r="9" spans="1:12" ht="42" customHeight="1">
      <c r="A9" s="430"/>
      <c r="B9" s="260" t="s">
        <v>301</v>
      </c>
      <c r="C9" s="261">
        <v>46550000</v>
      </c>
      <c r="D9" s="261">
        <f>세입!AB14</f>
        <v>46850000</v>
      </c>
      <c r="E9" s="262">
        <f>D9-C9</f>
        <v>300000</v>
      </c>
      <c r="F9" s="277"/>
      <c r="G9" s="423"/>
      <c r="H9" s="260" t="s">
        <v>264</v>
      </c>
      <c r="I9" s="261">
        <v>6561100</v>
      </c>
      <c r="J9" s="267">
        <f>세출!AC48</f>
        <v>4565364</v>
      </c>
      <c r="K9" s="263">
        <f>J9-I9</f>
        <v>-1995736</v>
      </c>
      <c r="L9" s="299"/>
    </row>
    <row r="10" spans="1:12" ht="27.75" customHeight="1">
      <c r="A10" s="430"/>
      <c r="B10" s="274" t="s">
        <v>397</v>
      </c>
      <c r="C10" s="306">
        <v>200000</v>
      </c>
      <c r="D10" s="267">
        <v>0</v>
      </c>
      <c r="E10" s="262">
        <f t="shared" ref="E10:E17" si="0">D10-C10</f>
        <v>-200000</v>
      </c>
      <c r="F10" s="265"/>
      <c r="G10" s="429" t="s">
        <v>258</v>
      </c>
      <c r="H10" s="260" t="s">
        <v>265</v>
      </c>
      <c r="I10" s="261">
        <v>0</v>
      </c>
      <c r="J10" s="261">
        <v>0</v>
      </c>
      <c r="K10" s="263">
        <f t="shared" ref="K10:K19" si="1">J10-I10</f>
        <v>0</v>
      </c>
      <c r="L10" s="266"/>
    </row>
    <row r="11" spans="1:12" ht="27.75" customHeight="1">
      <c r="A11" s="429" t="s">
        <v>278</v>
      </c>
      <c r="B11" s="260" t="s">
        <v>308</v>
      </c>
      <c r="C11" s="261">
        <v>0</v>
      </c>
      <c r="D11" s="261">
        <v>0</v>
      </c>
      <c r="E11" s="262">
        <f t="shared" si="0"/>
        <v>0</v>
      </c>
      <c r="F11" s="262"/>
      <c r="G11" s="430"/>
      <c r="H11" s="260" t="s">
        <v>267</v>
      </c>
      <c r="I11" s="261">
        <v>128000</v>
      </c>
      <c r="J11" s="261">
        <f>세출!AC81</f>
        <v>750000</v>
      </c>
      <c r="K11" s="263">
        <f t="shared" ref="K11:K16" si="2">J11-I11</f>
        <v>622000</v>
      </c>
      <c r="L11" s="299" t="s">
        <v>320</v>
      </c>
    </row>
    <row r="12" spans="1:12" ht="26.25" customHeight="1">
      <c r="A12" s="431"/>
      <c r="B12" s="260" t="s">
        <v>307</v>
      </c>
      <c r="C12" s="261">
        <f>'[1]세입(수정)'!$AC$33</f>
        <v>316000</v>
      </c>
      <c r="D12" s="261">
        <f>세입!AB31</f>
        <v>300000</v>
      </c>
      <c r="E12" s="262">
        <f t="shared" si="0"/>
        <v>-16000</v>
      </c>
      <c r="F12" s="262"/>
      <c r="G12" s="431"/>
      <c r="H12" s="260" t="s">
        <v>266</v>
      </c>
      <c r="I12" s="261">
        <v>0</v>
      </c>
      <c r="J12" s="261">
        <f>세출!AC84</f>
        <v>1200000</v>
      </c>
      <c r="K12" s="263">
        <f t="shared" si="2"/>
        <v>1200000</v>
      </c>
      <c r="L12" s="266" t="s">
        <v>385</v>
      </c>
    </row>
    <row r="13" spans="1:12" ht="28.5" customHeight="1">
      <c r="A13" s="268" t="s">
        <v>279</v>
      </c>
      <c r="B13" s="260" t="s">
        <v>309</v>
      </c>
      <c r="C13" s="261">
        <f>'[1]세입(수정)'!$AC$23</f>
        <v>3791100</v>
      </c>
      <c r="D13" s="261">
        <v>0</v>
      </c>
      <c r="E13" s="262">
        <f t="shared" si="0"/>
        <v>-3791100</v>
      </c>
      <c r="F13" s="265"/>
      <c r="G13" s="421" t="s">
        <v>260</v>
      </c>
      <c r="H13" s="260" t="s">
        <v>268</v>
      </c>
      <c r="I13" s="261">
        <f>'[1]세출(수정)'!$AD$115</f>
        <v>11613095</v>
      </c>
      <c r="J13" s="261">
        <f>세출!AC89</f>
        <v>10190000</v>
      </c>
      <c r="K13" s="263">
        <f t="shared" si="2"/>
        <v>-1423095</v>
      </c>
      <c r="L13" s="266" t="s">
        <v>366</v>
      </c>
    </row>
    <row r="14" spans="1:12" ht="27.75" customHeight="1">
      <c r="A14" s="421" t="s">
        <v>280</v>
      </c>
      <c r="B14" s="441" t="s">
        <v>310</v>
      </c>
      <c r="C14" s="438">
        <f>'[1]세입(수정)'!$AC$38</f>
        <v>0</v>
      </c>
      <c r="D14" s="438">
        <f>세입!AB34</f>
        <v>1034484</v>
      </c>
      <c r="E14" s="435">
        <f>D14-C14</f>
        <v>1034484</v>
      </c>
      <c r="F14" s="432"/>
      <c r="G14" s="422"/>
      <c r="H14" s="260" t="s">
        <v>269</v>
      </c>
      <c r="I14" s="261">
        <v>803208</v>
      </c>
      <c r="J14" s="261">
        <f>세출!AC95</f>
        <v>702000</v>
      </c>
      <c r="K14" s="263">
        <f t="shared" si="2"/>
        <v>-101208</v>
      </c>
      <c r="L14" s="269"/>
    </row>
    <row r="15" spans="1:12" ht="28.5" hidden="1" customHeight="1">
      <c r="A15" s="422"/>
      <c r="B15" s="442"/>
      <c r="C15" s="439"/>
      <c r="D15" s="439"/>
      <c r="E15" s="436"/>
      <c r="F15" s="433"/>
      <c r="G15" s="422"/>
      <c r="H15" s="260" t="s">
        <v>270</v>
      </c>
      <c r="I15" s="261">
        <f>'[1]세출(수정)'!$AD$128</f>
        <v>186000</v>
      </c>
      <c r="J15" s="261">
        <f>세출!AC98</f>
        <v>200000</v>
      </c>
      <c r="K15" s="263">
        <f t="shared" si="2"/>
        <v>14000</v>
      </c>
      <c r="L15" s="266"/>
    </row>
    <row r="16" spans="1:12" ht="24.75" hidden="1" customHeight="1">
      <c r="A16" s="423"/>
      <c r="B16" s="443"/>
      <c r="C16" s="440"/>
      <c r="D16" s="440"/>
      <c r="E16" s="437"/>
      <c r="F16" s="434"/>
      <c r="G16" s="422"/>
      <c r="H16" s="260" t="s">
        <v>271</v>
      </c>
      <c r="I16" s="261">
        <f>'[1]세출(수정)'!$AD$131</f>
        <v>237082</v>
      </c>
      <c r="J16" s="261">
        <f>세출!AC101</f>
        <v>260000</v>
      </c>
      <c r="K16" s="263">
        <f t="shared" si="2"/>
        <v>22918</v>
      </c>
      <c r="L16" s="266"/>
    </row>
    <row r="17" spans="1:12" ht="31.5" customHeight="1" thickBot="1">
      <c r="A17" s="275" t="s">
        <v>281</v>
      </c>
      <c r="B17" s="272" t="s">
        <v>276</v>
      </c>
      <c r="C17" s="270">
        <f>'[1]세입(수정)'!$AC$44</f>
        <v>721432</v>
      </c>
      <c r="D17" s="270">
        <f>세입!AB41</f>
        <v>11000</v>
      </c>
      <c r="E17" s="273">
        <f t="shared" si="0"/>
        <v>-710432</v>
      </c>
      <c r="F17" s="276"/>
      <c r="G17" s="422"/>
      <c r="H17" s="260" t="s">
        <v>272</v>
      </c>
      <c r="I17" s="261">
        <f>'[1]세출(수정)'!$AD$135</f>
        <v>86720</v>
      </c>
      <c r="J17" s="261">
        <f>세출!AC105</f>
        <v>120000</v>
      </c>
      <c r="K17" s="263">
        <f t="shared" si="1"/>
        <v>33280</v>
      </c>
      <c r="L17" s="266"/>
    </row>
    <row r="18" spans="1:12" ht="27" customHeight="1">
      <c r="A18" s="292"/>
      <c r="B18" s="293"/>
      <c r="C18" s="293"/>
      <c r="D18" s="293"/>
      <c r="E18" s="293"/>
      <c r="F18" s="294"/>
      <c r="G18" s="423"/>
      <c r="H18" s="260" t="s">
        <v>273</v>
      </c>
      <c r="I18" s="261">
        <f>'[1]세출(수정)'!$AD$139</f>
        <v>3542443</v>
      </c>
      <c r="J18" s="261">
        <f>세출!AC108</f>
        <v>6340000</v>
      </c>
      <c r="K18" s="263">
        <f>J18-I18</f>
        <v>2797557</v>
      </c>
      <c r="L18" s="266"/>
    </row>
    <row r="19" spans="1:12" ht="25.5" customHeight="1" thickBot="1">
      <c r="A19" s="295"/>
      <c r="B19" s="296"/>
      <c r="C19" s="296"/>
      <c r="D19" s="296"/>
      <c r="E19" s="296"/>
      <c r="F19" s="297"/>
      <c r="G19" s="271" t="s">
        <v>261</v>
      </c>
      <c r="H19" s="272" t="s">
        <v>274</v>
      </c>
      <c r="I19" s="270">
        <f>'[1]세출(수정)'!$AD$169</f>
        <v>136566</v>
      </c>
      <c r="J19" s="270">
        <f>세출!AC142</f>
        <v>134480</v>
      </c>
      <c r="K19" s="273">
        <f t="shared" si="1"/>
        <v>-2086</v>
      </c>
      <c r="L19" s="307"/>
    </row>
    <row r="20" spans="1:12" ht="24" customHeight="1"/>
    <row r="21" spans="1:12" ht="29.25" customHeight="1"/>
  </sheetData>
  <mergeCells count="25"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G13:G18"/>
    <mergeCell ref="K4:K5"/>
    <mergeCell ref="L4:L5"/>
    <mergeCell ref="A6:B6"/>
    <mergeCell ref="G6:H6"/>
    <mergeCell ref="G7:G9"/>
    <mergeCell ref="G10:G12"/>
    <mergeCell ref="A11:A12"/>
    <mergeCell ref="A8:A10"/>
    <mergeCell ref="F14:F16"/>
    <mergeCell ref="E14:E16"/>
    <mergeCell ref="D14:D16"/>
    <mergeCell ref="C14:C16"/>
    <mergeCell ref="B14:B16"/>
    <mergeCell ref="A14:A1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세입</vt:lpstr>
      <vt:lpstr>세출</vt:lpstr>
      <vt:lpstr>증감사유</vt:lpstr>
      <vt:lpstr>세입!Print_Area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revision>65</cp:revision>
  <cp:lastPrinted>2014-12-26T07:16:21Z</cp:lastPrinted>
  <dcterms:created xsi:type="dcterms:W3CDTF">2003-12-18T04:11:57Z</dcterms:created>
  <dcterms:modified xsi:type="dcterms:W3CDTF">2014-12-26T08:34:15Z</dcterms:modified>
</cp:coreProperties>
</file>