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-60" windowWidth="19620" windowHeight="9915" tabRatio="685" activeTab="3"/>
  </bookViews>
  <sheets>
    <sheet name="Sheet1" sheetId="23" r:id="rId1"/>
    <sheet name="세입세출총괄표" sheetId="16" r:id="rId2"/>
    <sheet name="세출(수정)" sheetId="20" r:id="rId3"/>
    <sheet name="증감사유 수정" sheetId="19" r:id="rId4"/>
    <sheet name="세입(수정)" sheetId="22" r:id="rId5"/>
  </sheets>
  <definedNames>
    <definedName name="_xlnm.Print_Area" localSheetId="4">'세입(수정)'!$A$1:$AD$59</definedName>
    <definedName name="_xlnm.Print_Titles" localSheetId="2">'세출(수정)'!$2:$3</definedName>
    <definedName name="가계보조수당" localSheetId="2">#REF!</definedName>
    <definedName name="가계보조수당">#REF!</definedName>
    <definedName name="가족수당" localSheetId="2">'세출(수정)'!#REF!</definedName>
    <definedName name="급식비1" localSheetId="2">#REF!</definedName>
    <definedName name="급식비1">#REF!</definedName>
    <definedName name="급여총액" localSheetId="2">#REF!</definedName>
    <definedName name="급여총액">#REF!</definedName>
    <definedName name="기본급" localSheetId="2">'세출(수정)'!#REF!</definedName>
    <definedName name="기본급">#REF!</definedName>
    <definedName name="기본급1" localSheetId="2">'세출(수정)'!#REF!</definedName>
    <definedName name="기본급7종" localSheetId="2">'세출(수정)'!#REF!</definedName>
    <definedName name="기본급법인" localSheetId="2">'세출(수정)'!#REF!</definedName>
    <definedName name="기본급총액" localSheetId="2">'세출(수정)'!#REF!</definedName>
    <definedName name="명절휴가비" localSheetId="2">'세출(수정)'!$AD$14</definedName>
    <definedName name="사회보험" localSheetId="2">#REF!</definedName>
    <definedName name="사회보험">#REF!</definedName>
    <definedName name="상여금" localSheetId="2">#REF!</definedName>
    <definedName name="상여금">#REF!</definedName>
    <definedName name="상여금총액" localSheetId="2">'세출(수정)'!#REF!</definedName>
    <definedName name="수정제수당총액" localSheetId="2">#REF!</definedName>
    <definedName name="수정제수당총액">#REF!</definedName>
    <definedName name="연장근로수당" localSheetId="2">'세출(수정)'!$AD$21</definedName>
    <definedName name="제수당" localSheetId="2">#REF!</definedName>
    <definedName name="제수당">#REF!</definedName>
    <definedName name="제수당1" localSheetId="2">'세출(수정)'!#REF!</definedName>
    <definedName name="제수당총액" localSheetId="2">'세출(수정)'!#REF!</definedName>
    <definedName name="직원급식비" localSheetId="2">#REF!</definedName>
    <definedName name="직원급식비">#REF!</definedName>
    <definedName name="퇴직금" localSheetId="2">#REF!</definedName>
    <definedName name="퇴직금">#REF!</definedName>
    <definedName name="특수근무수당" localSheetId="2">#REF!</definedName>
    <definedName name="특수근무수당">#REF!</definedName>
    <definedName name="특수근무수당1" localSheetId="2">#REF!</definedName>
    <definedName name="특수근무수당1">#REF!</definedName>
    <definedName name="특수근무수당2" localSheetId="2">#REF!</definedName>
    <definedName name="특수근무수당2">#REF!</definedName>
    <definedName name="특수근무수당3" localSheetId="2">#REF!</definedName>
    <definedName name="특수근무수당3">#REF!</definedName>
  </definedNames>
  <calcPr calcId="125725"/>
</workbook>
</file>

<file path=xl/calcChain.xml><?xml version="1.0" encoding="utf-8"?>
<calcChain xmlns="http://schemas.openxmlformats.org/spreadsheetml/2006/main">
  <c r="F10" i="16"/>
  <c r="F9"/>
  <c r="O25" i="20" l="1"/>
  <c r="D17" i="19"/>
  <c r="D16"/>
  <c r="D11"/>
  <c r="D9"/>
  <c r="D8"/>
  <c r="D7"/>
  <c r="F16" i="16"/>
  <c r="F13"/>
  <c r="F8"/>
  <c r="AD119" i="20"/>
  <c r="J140"/>
  <c r="I5" l="1"/>
  <c r="AD83"/>
  <c r="F36"/>
  <c r="AD24"/>
  <c r="AC24" i="22" l="1"/>
  <c r="AC26"/>
  <c r="AC25"/>
  <c r="AD36" i="20"/>
  <c r="H123" l="1"/>
  <c r="I6" i="19"/>
  <c r="C6"/>
  <c r="E17"/>
  <c r="K16"/>
  <c r="E16"/>
  <c r="K13"/>
  <c r="E13"/>
  <c r="K11"/>
  <c r="E11"/>
  <c r="E10"/>
  <c r="K9"/>
  <c r="E9"/>
  <c r="K8"/>
  <c r="E8"/>
  <c r="E7"/>
  <c r="AC55" i="22" l="1"/>
  <c r="AC44" s="1"/>
  <c r="AC8"/>
  <c r="AC7"/>
  <c r="AC6"/>
  <c r="M55" l="1"/>
  <c r="I55"/>
  <c r="H55"/>
  <c r="E55"/>
  <c r="L55" s="1"/>
  <c r="AC45"/>
  <c r="K45"/>
  <c r="J45"/>
  <c r="I45"/>
  <c r="H45"/>
  <c r="F45"/>
  <c r="E45"/>
  <c r="L45" s="1"/>
  <c r="M45" s="1"/>
  <c r="K44"/>
  <c r="J44"/>
  <c r="J4" s="1"/>
  <c r="I44"/>
  <c r="H44"/>
  <c r="G44"/>
  <c r="F44"/>
  <c r="L44"/>
  <c r="AC38"/>
  <c r="I38"/>
  <c r="H38"/>
  <c r="F38"/>
  <c r="E38" s="1"/>
  <c r="L38" s="1"/>
  <c r="M38" s="1"/>
  <c r="AC33"/>
  <c r="I33" s="1"/>
  <c r="AC17"/>
  <c r="K17"/>
  <c r="I17"/>
  <c r="H17"/>
  <c r="G17"/>
  <c r="F17"/>
  <c r="E17"/>
  <c r="L17" s="1"/>
  <c r="M17" s="1"/>
  <c r="AC12"/>
  <c r="G12"/>
  <c r="F12"/>
  <c r="E12"/>
  <c r="L12" s="1"/>
  <c r="M12" s="1"/>
  <c r="AC11"/>
  <c r="K11"/>
  <c r="H11"/>
  <c r="G11"/>
  <c r="F11"/>
  <c r="E11"/>
  <c r="L11" s="1"/>
  <c r="M11" s="1"/>
  <c r="AC10"/>
  <c r="K10"/>
  <c r="H10"/>
  <c r="G10"/>
  <c r="F10"/>
  <c r="E10"/>
  <c r="L10" s="1"/>
  <c r="AC5"/>
  <c r="H5" s="1"/>
  <c r="G4"/>
  <c r="F4"/>
  <c r="AD108" i="20"/>
  <c r="E33" i="22" l="1"/>
  <c r="L33" s="1"/>
  <c r="M33" s="1"/>
  <c r="I4"/>
  <c r="H4"/>
  <c r="E5"/>
  <c r="L5" s="1"/>
  <c r="M5" s="1"/>
  <c r="M10"/>
  <c r="M44"/>
  <c r="AD59" i="20" l="1"/>
  <c r="AD58"/>
  <c r="AD57"/>
  <c r="AD56"/>
  <c r="I4"/>
  <c r="AD170" l="1"/>
  <c r="AD169" s="1"/>
  <c r="F170"/>
  <c r="F169" s="1"/>
  <c r="L170"/>
  <c r="M170" s="1"/>
  <c r="K169"/>
  <c r="J169"/>
  <c r="H169"/>
  <c r="G169"/>
  <c r="D169"/>
  <c r="L169" s="1"/>
  <c r="J139"/>
  <c r="AD165"/>
  <c r="AD164"/>
  <c r="AD163"/>
  <c r="AD161"/>
  <c r="AD158"/>
  <c r="AD157"/>
  <c r="AD154"/>
  <c r="AD153"/>
  <c r="AD150"/>
  <c r="AD149"/>
  <c r="AD148"/>
  <c r="AD147"/>
  <c r="AD146"/>
  <c r="AD145"/>
  <c r="AD143"/>
  <c r="K139"/>
  <c r="G139"/>
  <c r="F139"/>
  <c r="D139"/>
  <c r="AD137"/>
  <c r="AD136"/>
  <c r="AD135" s="1"/>
  <c r="H135"/>
  <c r="AD132"/>
  <c r="AD131" s="1"/>
  <c r="H131"/>
  <c r="AD129"/>
  <c r="AD128" s="1"/>
  <c r="AD123"/>
  <c r="K123"/>
  <c r="K114" s="1"/>
  <c r="K113" s="1"/>
  <c r="J123"/>
  <c r="J114" s="1"/>
  <c r="F123"/>
  <c r="E123" s="1"/>
  <c r="L123" s="1"/>
  <c r="M123" s="1"/>
  <c r="AD118"/>
  <c r="H115" s="1"/>
  <c r="AD116"/>
  <c r="I115"/>
  <c r="I114"/>
  <c r="G114"/>
  <c r="D114"/>
  <c r="AD109"/>
  <c r="M109"/>
  <c r="H109"/>
  <c r="H102" s="1"/>
  <c r="H101" s="1"/>
  <c r="G109"/>
  <c r="F109"/>
  <c r="AD106"/>
  <c r="H106"/>
  <c r="G106"/>
  <c r="G102" s="1"/>
  <c r="G101" s="1"/>
  <c r="F106"/>
  <c r="AD103"/>
  <c r="M103"/>
  <c r="L103"/>
  <c r="F103"/>
  <c r="AD102"/>
  <c r="AD101" s="1"/>
  <c r="J12" i="19" s="1"/>
  <c r="K12" s="1"/>
  <c r="K102" i="20"/>
  <c r="J102"/>
  <c r="J101" s="1"/>
  <c r="J4" s="1"/>
  <c r="K101"/>
  <c r="AD98"/>
  <c r="F98"/>
  <c r="E98"/>
  <c r="L98" s="1"/>
  <c r="M98" s="1"/>
  <c r="AD96"/>
  <c r="AD95" s="1"/>
  <c r="E95" s="1"/>
  <c r="L95" s="1"/>
  <c r="M95"/>
  <c r="AD93"/>
  <c r="AD92"/>
  <c r="AD91"/>
  <c r="AD90"/>
  <c r="AD89"/>
  <c r="AD88"/>
  <c r="AD82"/>
  <c r="H81"/>
  <c r="AD76"/>
  <c r="H76"/>
  <c r="F76"/>
  <c r="AD73"/>
  <c r="M73"/>
  <c r="E73"/>
  <c r="L73" s="1"/>
  <c r="K72"/>
  <c r="J72"/>
  <c r="G72"/>
  <c r="AD70"/>
  <c r="AD69" s="1"/>
  <c r="M67"/>
  <c r="E67"/>
  <c r="L67" s="1"/>
  <c r="AD64"/>
  <c r="F64" s="1"/>
  <c r="M64"/>
  <c r="E64"/>
  <c r="L64" s="1"/>
  <c r="K63"/>
  <c r="J63"/>
  <c r="G63"/>
  <c r="D63"/>
  <c r="D5" s="1"/>
  <c r="AD60"/>
  <c r="K60"/>
  <c r="I60"/>
  <c r="H60"/>
  <c r="G60"/>
  <c r="F60"/>
  <c r="AD55"/>
  <c r="AD54"/>
  <c r="AD53"/>
  <c r="AD52"/>
  <c r="AD51"/>
  <c r="AD50"/>
  <c r="AD49"/>
  <c r="AD48"/>
  <c r="AD47"/>
  <c r="AD46"/>
  <c r="AD45"/>
  <c r="AD35"/>
  <c r="AD34"/>
  <c r="AD33"/>
  <c r="AD32"/>
  <c r="R28"/>
  <c r="AD28" s="1"/>
  <c r="AD27" s="1"/>
  <c r="O28"/>
  <c r="O24"/>
  <c r="R23"/>
  <c r="O23"/>
  <c r="R22"/>
  <c r="AD22" s="1"/>
  <c r="O22"/>
  <c r="AD19"/>
  <c r="AD18" s="1"/>
  <c r="R16"/>
  <c r="AD16" s="1"/>
  <c r="O16"/>
  <c r="AD15"/>
  <c r="O15"/>
  <c r="AD9"/>
  <c r="AD8"/>
  <c r="J6"/>
  <c r="H6"/>
  <c r="E76" l="1"/>
  <c r="L76" s="1"/>
  <c r="M76" s="1"/>
  <c r="AD72"/>
  <c r="AD14"/>
  <c r="F13" s="1"/>
  <c r="AD160"/>
  <c r="H128"/>
  <c r="E128" s="1"/>
  <c r="L128" s="1"/>
  <c r="M128" s="1"/>
  <c r="K17" i="16"/>
  <c r="K18"/>
  <c r="J17" i="19"/>
  <c r="K17" s="1"/>
  <c r="K13" i="16"/>
  <c r="J18" i="19"/>
  <c r="K18" s="1"/>
  <c r="K19" i="16"/>
  <c r="AD142" i="20"/>
  <c r="H140"/>
  <c r="J20" i="19"/>
  <c r="K20" s="1"/>
  <c r="K21" i="16"/>
  <c r="AD7" i="20"/>
  <c r="F7" s="1"/>
  <c r="E60"/>
  <c r="L60" s="1"/>
  <c r="AD87"/>
  <c r="E87" s="1"/>
  <c r="L87" s="1"/>
  <c r="M87" s="1"/>
  <c r="F87"/>
  <c r="H87" s="1"/>
  <c r="H72" s="1"/>
  <c r="H5" s="1"/>
  <c r="E106"/>
  <c r="L106" s="1"/>
  <c r="M106" s="1"/>
  <c r="E109"/>
  <c r="G113"/>
  <c r="F131"/>
  <c r="E131" s="1"/>
  <c r="L131" s="1"/>
  <c r="M131" s="1"/>
  <c r="AD152"/>
  <c r="AD156"/>
  <c r="I140"/>
  <c r="I139" s="1"/>
  <c r="J15" i="19"/>
  <c r="K15" s="1"/>
  <c r="K16" i="16"/>
  <c r="AD115" i="20"/>
  <c r="F115"/>
  <c r="AD23"/>
  <c r="AD21" s="1"/>
  <c r="AD31"/>
  <c r="G13" s="1"/>
  <c r="G6" s="1"/>
  <c r="G5" s="1"/>
  <c r="G4" s="1"/>
  <c r="AD44"/>
  <c r="F44" s="1"/>
  <c r="E44" s="1"/>
  <c r="L44" s="1"/>
  <c r="M44" s="1"/>
  <c r="F102"/>
  <c r="F101" s="1"/>
  <c r="F135"/>
  <c r="E135" s="1"/>
  <c r="L135" s="1"/>
  <c r="M135" s="1"/>
  <c r="F69"/>
  <c r="E69" s="1"/>
  <c r="L69" s="1"/>
  <c r="M69" s="1"/>
  <c r="AD81"/>
  <c r="K36"/>
  <c r="L109"/>
  <c r="M169"/>
  <c r="AD63"/>
  <c r="F81"/>
  <c r="F72" s="1"/>
  <c r="E81" l="1"/>
  <c r="AD140"/>
  <c r="AD139" s="1"/>
  <c r="R37"/>
  <c r="AD13"/>
  <c r="AD6" s="1"/>
  <c r="K13"/>
  <c r="F114"/>
  <c r="F113" s="1"/>
  <c r="AD114"/>
  <c r="J14" i="19"/>
  <c r="K14" s="1"/>
  <c r="K15" i="16"/>
  <c r="E140" i="20"/>
  <c r="E102"/>
  <c r="L102" s="1"/>
  <c r="M102" s="1"/>
  <c r="E115"/>
  <c r="L115" s="1"/>
  <c r="M115" s="1"/>
  <c r="E63"/>
  <c r="L63" s="1"/>
  <c r="M63" s="1"/>
  <c r="H114"/>
  <c r="E13"/>
  <c r="E114"/>
  <c r="L114" s="1"/>
  <c r="F63"/>
  <c r="H139"/>
  <c r="E7"/>
  <c r="L81"/>
  <c r="M81" s="1"/>
  <c r="E72"/>
  <c r="L72" s="1"/>
  <c r="M72" s="1"/>
  <c r="K6"/>
  <c r="K5" s="1"/>
  <c r="K4" s="1"/>
  <c r="E36"/>
  <c r="L36" s="1"/>
  <c r="M36" s="1"/>
  <c r="AD113" l="1"/>
  <c r="K11" i="16"/>
  <c r="E101" i="20"/>
  <c r="L101" s="1"/>
  <c r="M101" s="1"/>
  <c r="J10" i="19"/>
  <c r="K10" s="1"/>
  <c r="J19"/>
  <c r="K19" s="1"/>
  <c r="H113" i="20"/>
  <c r="H4" s="1"/>
  <c r="K20" i="16"/>
  <c r="AD5" i="20"/>
  <c r="K7" i="19"/>
  <c r="K8" i="16"/>
  <c r="L13" i="20"/>
  <c r="M13" s="1"/>
  <c r="E6"/>
  <c r="F6"/>
  <c r="L113"/>
  <c r="M113" s="1"/>
  <c r="M114"/>
  <c r="L7"/>
  <c r="M7" s="1"/>
  <c r="L140"/>
  <c r="M140" s="1"/>
  <c r="E139"/>
  <c r="AD4" l="1"/>
  <c r="J6" i="19" s="1"/>
  <c r="K6"/>
  <c r="K7" i="16"/>
  <c r="F5" i="20"/>
  <c r="F4" s="1"/>
  <c r="E4" s="1"/>
  <c r="L4" s="1"/>
  <c r="M4" s="1"/>
  <c r="L139"/>
  <c r="M139" s="1"/>
  <c r="E113"/>
  <c r="L6"/>
  <c r="M6" s="1"/>
  <c r="E5"/>
  <c r="L5" l="1"/>
  <c r="M5" s="1"/>
  <c r="G12" i="16" l="1"/>
  <c r="G9"/>
  <c r="G10"/>
  <c r="G11"/>
  <c r="G13"/>
  <c r="G15"/>
  <c r="G16"/>
  <c r="G8"/>
  <c r="L23" l="1"/>
  <c r="L22"/>
  <c r="L21"/>
  <c r="L20"/>
  <c r="L19"/>
  <c r="L18"/>
  <c r="L17"/>
  <c r="L16"/>
  <c r="L15"/>
  <c r="L14"/>
  <c r="L13"/>
  <c r="L12"/>
  <c r="L11"/>
  <c r="L10"/>
  <c r="L9"/>
  <c r="L8"/>
  <c r="L7" l="1"/>
  <c r="AC23" i="22"/>
  <c r="AC4" l="1"/>
  <c r="D12" i="19"/>
  <c r="E12" s="1"/>
  <c r="E6" s="1"/>
  <c r="F14" i="16"/>
  <c r="G14" s="1"/>
  <c r="G7" s="1"/>
  <c r="K23" i="22"/>
  <c r="F7" i="16" l="1"/>
  <c r="D6" i="19"/>
  <c r="E23" i="22"/>
  <c r="L23" s="1"/>
  <c r="M23" s="1"/>
  <c r="K4"/>
  <c r="E4" s="1"/>
  <c r="L4" s="1"/>
  <c r="M4" s="1"/>
</calcChain>
</file>

<file path=xl/sharedStrings.xml><?xml version="1.0" encoding="utf-8"?>
<sst xmlns="http://schemas.openxmlformats.org/spreadsheetml/2006/main" count="1094" uniqueCount="418">
  <si>
    <t>월</t>
    <phoneticPr fontId="6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</si>
  <si>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</si>
  <si>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</si>
  <si>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</si>
  <si>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</si>
  <si>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</si>
  <si>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</si>
  <si>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</si>
  <si>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</si>
  <si>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</si>
  <si>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</si>
  <si>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</si>
  <si>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</si>
  <si>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</si>
  <si>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</si>
  <si>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</si>
  <si>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</si>
  <si>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소       계</t>
  </si>
  <si>
    <t>시설비</t>
  </si>
  <si>
    <t>자산취득비</t>
  </si>
  <si>
    <t>사업비</t>
  </si>
  <si>
    <t>소     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</si>
  <si>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</si>
  <si>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</si>
  <si>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</si>
  <si>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</si>
  <si>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</si>
  <si>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</si>
  <si>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</si>
  <si>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</si>
  <si>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보조금</t>
  </si>
  <si>
    <t>※ 법인전입금</t>
  </si>
  <si>
    <t>※ 기타잡수입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</si>
  <si>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</si>
  <si>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</si>
  <si>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</si>
  <si>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</si>
  <si>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</si>
  <si>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</si>
  <si>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</si>
  <si>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</si>
  <si>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</si>
  <si>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</si>
  <si>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</si>
  <si>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</si>
  <si>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</si>
  <si>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</si>
  <si>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</si>
  <si>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</si>
  <si>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</si>
  <si>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</si>
  <si>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</si>
  <si>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</si>
  <si>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</si>
  <si>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=</t>
    <phoneticPr fontId="6" type="noConversion"/>
  </si>
  <si>
    <t>산              출               기              초</t>
    <phoneticPr fontId="6" type="noConversion"/>
  </si>
  <si>
    <t>산               출                기               초</t>
    <phoneticPr fontId="6" type="noConversion"/>
  </si>
  <si>
    <t>명</t>
    <phoneticPr fontId="6" type="noConversion"/>
  </si>
  <si>
    <t>원</t>
    <phoneticPr fontId="6" type="noConversion"/>
  </si>
  <si>
    <t>×</t>
    <phoneticPr fontId="6" type="noConversion"/>
  </si>
  <si>
    <t>생계비</t>
    <phoneticPr fontId="6" type="noConversion"/>
  </si>
  <si>
    <t>입  소</t>
    <phoneticPr fontId="6" type="noConversion"/>
  </si>
  <si>
    <t>비  용</t>
    <phoneticPr fontId="6" type="noConversion"/>
  </si>
  <si>
    <t xml:space="preserve"> </t>
    <phoneticPr fontId="6" type="noConversion"/>
  </si>
  <si>
    <t>합  계 :</t>
    <phoneticPr fontId="6" type="noConversion"/>
  </si>
  <si>
    <t>과            목</t>
    <phoneticPr fontId="6" type="noConversion"/>
  </si>
  <si>
    <t>&lt;보조금수입 합계&gt;</t>
    <phoneticPr fontId="6" type="noConversion"/>
  </si>
  <si>
    <t>계</t>
    <phoneticPr fontId="6" type="noConversion"/>
  </si>
  <si>
    <t>총  계 :</t>
    <phoneticPr fontId="6" type="noConversion"/>
  </si>
  <si>
    <t>보조금</t>
    <phoneticPr fontId="6" type="noConversion"/>
  </si>
  <si>
    <t>합    계 :</t>
    <phoneticPr fontId="6" type="noConversion"/>
  </si>
  <si>
    <t>÷</t>
    <phoneticPr fontId="6" type="noConversion"/>
  </si>
  <si>
    <t>회</t>
    <phoneticPr fontId="6" type="noConversion"/>
  </si>
  <si>
    <t>전입금</t>
    <phoneticPr fontId="6" type="noConversion"/>
  </si>
  <si>
    <t>전년도</t>
    <phoneticPr fontId="6" type="noConversion"/>
  </si>
  <si>
    <t>잡수입</t>
    <phoneticPr fontId="6" type="noConversion"/>
  </si>
  <si>
    <t>소계</t>
    <phoneticPr fontId="6" type="noConversion"/>
  </si>
  <si>
    <t>&lt;잡수입 합계&gt;</t>
    <phoneticPr fontId="6" type="noConversion"/>
  </si>
  <si>
    <t>※ 예금이자수입</t>
    <phoneticPr fontId="6" type="noConversion"/>
  </si>
  <si>
    <t>※기본급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</si>
  <si>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</si>
  <si>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</si>
  <si>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</si>
  <si>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 xml:space="preserve"> </t>
    <phoneticPr fontId="6" type="noConversion"/>
  </si>
  <si>
    <t>합    계 :</t>
    <phoneticPr fontId="6" type="noConversion"/>
  </si>
  <si>
    <t>사회보험</t>
    <phoneticPr fontId="6" type="noConversion"/>
  </si>
  <si>
    <t>회  의  비</t>
    <phoneticPr fontId="6" type="noConversion"/>
  </si>
  <si>
    <t>여    비</t>
    <phoneticPr fontId="6" type="noConversion"/>
  </si>
  <si>
    <t>보조</t>
    <phoneticPr fontId="6" type="noConversion"/>
  </si>
  <si>
    <t>기타운영비</t>
    <phoneticPr fontId="6" type="noConversion"/>
  </si>
  <si>
    <t>※ 직원 교육훈련비</t>
    <phoneticPr fontId="6" type="noConversion"/>
  </si>
  <si>
    <t>회</t>
    <phoneticPr fontId="6" type="noConversion"/>
  </si>
  <si>
    <t>피복비</t>
    <phoneticPr fontId="6" type="noConversion"/>
  </si>
  <si>
    <t>의료비</t>
    <phoneticPr fontId="6" type="noConversion"/>
  </si>
  <si>
    <t>연료비</t>
    <phoneticPr fontId="6" type="noConversion"/>
  </si>
  <si>
    <t>운영비</t>
    <phoneticPr fontId="6" type="noConversion"/>
  </si>
  <si>
    <t>※ 생계비</t>
    <phoneticPr fontId="6" type="noConversion"/>
  </si>
  <si>
    <t>수용기관</t>
    <phoneticPr fontId="6" type="noConversion"/>
  </si>
  <si>
    <t>※ 수용기관경비</t>
    <phoneticPr fontId="6" type="noConversion"/>
  </si>
  <si>
    <t>※ 연료비</t>
    <phoneticPr fontId="6" type="noConversion"/>
  </si>
  <si>
    <t>프로그램</t>
    <phoneticPr fontId="6" type="noConversion"/>
  </si>
  <si>
    <t>입소</t>
    <phoneticPr fontId="6" type="noConversion"/>
  </si>
  <si>
    <t>원</t>
    <phoneticPr fontId="6" type="noConversion"/>
  </si>
  <si>
    <t>원</t>
    <phoneticPr fontId="6" type="noConversion"/>
  </si>
  <si>
    <t>입소자
부담금</t>
    <phoneticPr fontId="6" type="noConversion"/>
  </si>
  <si>
    <t>비  용</t>
  </si>
  <si>
    <t>법인
전입금</t>
    <phoneticPr fontId="6" type="noConversion"/>
  </si>
  <si>
    <t xml:space="preserve">총  계 : </t>
    <phoneticPr fontId="6" type="noConversion"/>
  </si>
  <si>
    <t>합계:</t>
    <phoneticPr fontId="6" type="noConversion"/>
  </si>
  <si>
    <t>법인</t>
    <phoneticPr fontId="6" type="noConversion"/>
  </si>
  <si>
    <t>기타</t>
    <phoneticPr fontId="6" type="noConversion"/>
  </si>
  <si>
    <t>예금</t>
    <phoneticPr fontId="6" type="noConversion"/>
  </si>
  <si>
    <t>이자</t>
    <phoneticPr fontId="6" type="noConversion"/>
  </si>
  <si>
    <t>입   소</t>
    <phoneticPr fontId="6" type="noConversion"/>
  </si>
  <si>
    <t>계
(B)</t>
    <phoneticPr fontId="6" type="noConversion"/>
  </si>
  <si>
    <t>금액
(B-A)</t>
    <phoneticPr fontId="6" type="noConversion"/>
  </si>
  <si>
    <t>합  계 :</t>
    <phoneticPr fontId="6" type="noConversion"/>
  </si>
  <si>
    <t>업   무</t>
    <phoneticPr fontId="6" type="noConversion"/>
  </si>
  <si>
    <t>프로그램</t>
    <phoneticPr fontId="6" type="noConversion"/>
  </si>
  <si>
    <t>사업비</t>
    <phoneticPr fontId="6" type="noConversion"/>
  </si>
  <si>
    <t>※ 프로그램사업비 합계</t>
    <phoneticPr fontId="6" type="noConversion"/>
  </si>
  <si>
    <t>소  계 :</t>
    <phoneticPr fontId="6" type="noConversion"/>
  </si>
  <si>
    <t>※ 피복비</t>
  </si>
  <si>
    <t>※ 의료비</t>
    <phoneticPr fontId="6" type="noConversion"/>
  </si>
  <si>
    <t>추진비</t>
    <phoneticPr fontId="6" type="noConversion"/>
  </si>
  <si>
    <t>업무추진비</t>
    <phoneticPr fontId="6" type="noConversion"/>
  </si>
  <si>
    <t>※ 직책보조비</t>
    <phoneticPr fontId="6" type="noConversion"/>
  </si>
  <si>
    <t>소계:</t>
    <phoneticPr fontId="6" type="noConversion"/>
  </si>
  <si>
    <t>인건비</t>
    <phoneticPr fontId="6" type="noConversion"/>
  </si>
  <si>
    <t>사무비</t>
    <phoneticPr fontId="6" type="noConversion"/>
  </si>
  <si>
    <t>세출총계</t>
    <phoneticPr fontId="6" type="noConversion"/>
  </si>
  <si>
    <t>운영비</t>
    <phoneticPr fontId="6" type="noConversion"/>
  </si>
  <si>
    <t xml:space="preserve"> * 교육 및 출장여비</t>
    <phoneticPr fontId="6" type="noConversion"/>
  </si>
  <si>
    <t>명</t>
  </si>
  <si>
    <t>회</t>
    <phoneticPr fontId="6" type="noConversion"/>
  </si>
  <si>
    <t>재산조성비</t>
    <phoneticPr fontId="6" type="noConversion"/>
  </si>
  <si>
    <t>계</t>
    <phoneticPr fontId="6" type="noConversion"/>
  </si>
  <si>
    <t>시설비</t>
    <phoneticPr fontId="6" type="noConversion"/>
  </si>
  <si>
    <t>수수료</t>
    <phoneticPr fontId="6" type="noConversion"/>
  </si>
  <si>
    <t>경비</t>
    <phoneticPr fontId="6" type="noConversion"/>
  </si>
  <si>
    <t>조성비</t>
    <phoneticPr fontId="6" type="noConversion"/>
  </si>
  <si>
    <t>보조금</t>
    <phoneticPr fontId="6" type="noConversion"/>
  </si>
  <si>
    <t>반환금</t>
    <phoneticPr fontId="6" type="noConversion"/>
  </si>
  <si>
    <t>반환금</t>
    <phoneticPr fontId="6" type="noConversion"/>
  </si>
  <si>
    <t>보조금 반환금</t>
    <phoneticPr fontId="6" type="noConversion"/>
  </si>
  <si>
    <t>※ 보조금 반환금(수원시)</t>
    <phoneticPr fontId="6" type="noConversion"/>
  </si>
  <si>
    <t>유지비</t>
    <phoneticPr fontId="6" type="noConversion"/>
  </si>
  <si>
    <t>보조금</t>
    <phoneticPr fontId="6" type="noConversion"/>
  </si>
  <si>
    <t>* 연장근로수당</t>
    <phoneticPr fontId="6" type="noConversion"/>
  </si>
  <si>
    <t>=</t>
    <phoneticPr fontId="6" type="noConversion"/>
  </si>
  <si>
    <t>2. 입소비용</t>
    <phoneticPr fontId="6" type="noConversion"/>
  </si>
  <si>
    <t>3. 법인전입금</t>
    <phoneticPr fontId="6" type="noConversion"/>
  </si>
  <si>
    <t>1. 보조금 이월금(예금이자)</t>
    <phoneticPr fontId="6" type="noConversion"/>
  </si>
  <si>
    <t>보조금
(7종)</t>
    <phoneticPr fontId="6" type="noConversion"/>
  </si>
  <si>
    <t>원</t>
    <phoneticPr fontId="6" type="noConversion"/>
  </si>
  <si>
    <t>*사회재활교사</t>
    <phoneticPr fontId="6" type="noConversion"/>
  </si>
  <si>
    <t>월</t>
    <phoneticPr fontId="6" type="noConversion"/>
  </si>
  <si>
    <t>1.명절휴가비(보조금)</t>
    <phoneticPr fontId="6" type="noConversion"/>
  </si>
  <si>
    <t>* 건강보험부담금</t>
    <phoneticPr fontId="6" type="noConversion"/>
  </si>
  <si>
    <t>* 고용보험부담금</t>
    <phoneticPr fontId="6" type="noConversion"/>
  </si>
  <si>
    <t>* 국민연금부담금</t>
    <phoneticPr fontId="6" type="noConversion"/>
  </si>
  <si>
    <t>* 회의관련 다과비등</t>
    <phoneticPr fontId="6" type="noConversion"/>
  </si>
  <si>
    <t>소계:</t>
    <phoneticPr fontId="6" type="noConversion"/>
  </si>
  <si>
    <t>1. 사무용품비(문구류 )</t>
    <phoneticPr fontId="6" type="noConversion"/>
  </si>
  <si>
    <t>월</t>
    <phoneticPr fontId="6" type="noConversion"/>
  </si>
  <si>
    <t>1. 화재보험료</t>
    <phoneticPr fontId="6" type="noConversion"/>
  </si>
  <si>
    <t>2. 상해보험료</t>
    <phoneticPr fontId="6" type="noConversion"/>
  </si>
  <si>
    <t>3. 소방안전점검</t>
    <phoneticPr fontId="6" type="noConversion"/>
  </si>
  <si>
    <t>4. 전기안전점검</t>
    <phoneticPr fontId="6" type="noConversion"/>
  </si>
  <si>
    <t>5. 가스안전점검</t>
    <phoneticPr fontId="6" type="noConversion"/>
  </si>
  <si>
    <t>* 차량유류대</t>
    <phoneticPr fontId="6" type="noConversion"/>
  </si>
  <si>
    <t>* 직원 외부교육비</t>
    <phoneticPr fontId="6" type="noConversion"/>
  </si>
  <si>
    <t>1.주부식비</t>
    <phoneticPr fontId="6" type="noConversion"/>
  </si>
  <si>
    <t>* 일상생활용품</t>
    <phoneticPr fontId="6" type="noConversion"/>
  </si>
  <si>
    <t>* 피복비</t>
    <phoneticPr fontId="6" type="noConversion"/>
  </si>
  <si>
    <t>명</t>
    <phoneticPr fontId="6" type="noConversion"/>
  </si>
  <si>
    <t>=</t>
    <phoneticPr fontId="6" type="noConversion"/>
  </si>
  <si>
    <t>* 입소자 건강진단비</t>
    <phoneticPr fontId="6" type="noConversion"/>
  </si>
  <si>
    <t>* 외래진료 및 의약품비 등</t>
    <phoneticPr fontId="6" type="noConversion"/>
  </si>
  <si>
    <t>* 취사용 연료비</t>
    <phoneticPr fontId="6" type="noConversion"/>
  </si>
  <si>
    <t>1. 찜질방 이용</t>
    <phoneticPr fontId="6" type="noConversion"/>
  </si>
  <si>
    <t>B. 정서안정지원 프로그램</t>
    <phoneticPr fontId="6" type="noConversion"/>
  </si>
  <si>
    <t>1. 생일축하 파티(선물 및 케익 등)</t>
    <phoneticPr fontId="6" type="noConversion"/>
  </si>
  <si>
    <t>E. 계절별 프로그램</t>
    <phoneticPr fontId="6" type="noConversion"/>
  </si>
  <si>
    <t>1. 여름캠프</t>
    <phoneticPr fontId="6" type="noConversion"/>
  </si>
  <si>
    <t>F. 기타 프로그램 지원사업</t>
    <phoneticPr fontId="6" type="noConversion"/>
  </si>
  <si>
    <t>1.보조금 예금이자 이월금</t>
    <phoneticPr fontId="6" type="noConversion"/>
  </si>
  <si>
    <t>원</t>
    <phoneticPr fontId="6" type="noConversion"/>
  </si>
  <si>
    <t>세입총계</t>
    <phoneticPr fontId="6" type="noConversion"/>
  </si>
  <si>
    <t>* 퇴직적립금</t>
    <phoneticPr fontId="6" type="noConversion"/>
  </si>
  <si>
    <t>7호</t>
    <phoneticPr fontId="6" type="noConversion"/>
  </si>
  <si>
    <t xml:space="preserve"> </t>
    <phoneticPr fontId="6" type="noConversion"/>
  </si>
  <si>
    <t>원</t>
    <phoneticPr fontId="6" type="noConversion"/>
  </si>
  <si>
    <t>※ 기타후생경비</t>
    <phoneticPr fontId="6" type="noConversion"/>
  </si>
  <si>
    <t>* 종사자건강검진비용</t>
    <phoneticPr fontId="6" type="noConversion"/>
  </si>
  <si>
    <t>기타        후생경비</t>
    <phoneticPr fontId="6" type="noConversion"/>
  </si>
  <si>
    <t>2. 가족수당(보조금)</t>
    <phoneticPr fontId="6" type="noConversion"/>
  </si>
  <si>
    <t>4.종사자근무수당(7종)</t>
    <phoneticPr fontId="6" type="noConversion"/>
  </si>
  <si>
    <t>* 설 명절 휴가비</t>
    <phoneticPr fontId="6" type="noConversion"/>
  </si>
  <si>
    <t>* 추석 명절휴가비</t>
    <phoneticPr fontId="6" type="noConversion"/>
  </si>
  <si>
    <t>월</t>
    <phoneticPr fontId="6" type="noConversion"/>
  </si>
  <si>
    <t>원</t>
    <phoneticPr fontId="6" type="noConversion"/>
  </si>
  <si>
    <t>* 퇴직적립금(보조금)</t>
    <phoneticPr fontId="6" type="noConversion"/>
  </si>
  <si>
    <t>* 퇴직적립금(자부담)</t>
    <phoneticPr fontId="6" type="noConversion"/>
  </si>
  <si>
    <t>A. 지역사회이용 프로그램</t>
    <phoneticPr fontId="6" type="noConversion"/>
  </si>
  <si>
    <t>2. 주방용품 구입 및 소규모수선비</t>
    <phoneticPr fontId="6" type="noConversion"/>
  </si>
  <si>
    <t>3.기타 수용비 및 수수료</t>
    <phoneticPr fontId="6" type="noConversion"/>
  </si>
  <si>
    <t>□ 세 입 · 세 출 총  괄  표</t>
    <phoneticPr fontId="26" type="noConversion"/>
  </si>
  <si>
    <t>(단위:원)</t>
    <phoneticPr fontId="26" type="noConversion"/>
  </si>
  <si>
    <t>세       입</t>
    <phoneticPr fontId="26" type="noConversion"/>
  </si>
  <si>
    <t>세       출</t>
    <phoneticPr fontId="26" type="noConversion"/>
  </si>
  <si>
    <t>구        분</t>
    <phoneticPr fontId="26" type="noConversion"/>
  </si>
  <si>
    <t>증감</t>
    <phoneticPr fontId="26" type="noConversion"/>
  </si>
  <si>
    <t>합        계</t>
    <phoneticPr fontId="26" type="noConversion"/>
  </si>
  <si>
    <t>입소비용수입</t>
    <phoneticPr fontId="26" type="noConversion"/>
  </si>
  <si>
    <t>입소비용   수입</t>
    <phoneticPr fontId="26" type="noConversion"/>
  </si>
  <si>
    <t>사무비</t>
    <phoneticPr fontId="6" type="noConversion"/>
  </si>
  <si>
    <t>인      건      비</t>
    <phoneticPr fontId="26" type="noConversion"/>
  </si>
  <si>
    <t>보조금  수입</t>
    <phoneticPr fontId="26" type="noConversion"/>
  </si>
  <si>
    <t>기타후생경비</t>
    <phoneticPr fontId="6" type="noConversion"/>
  </si>
  <si>
    <t>업 무   추 진 비</t>
    <phoneticPr fontId="26" type="noConversion"/>
  </si>
  <si>
    <t>기타보조금수입</t>
    <phoneticPr fontId="26" type="noConversion"/>
  </si>
  <si>
    <t>운      영      비</t>
    <phoneticPr fontId="26" type="noConversion"/>
  </si>
  <si>
    <t>후원금  수입</t>
    <phoneticPr fontId="26" type="noConversion"/>
  </si>
  <si>
    <t>지정      후원금</t>
    <phoneticPr fontId="26" type="noConversion"/>
  </si>
  <si>
    <t>재산조성비</t>
    <phoneticPr fontId="26" type="noConversion"/>
  </si>
  <si>
    <t>시      설      비</t>
    <phoneticPr fontId="26" type="noConversion"/>
  </si>
  <si>
    <t>비지정   후원금</t>
    <phoneticPr fontId="26" type="noConversion"/>
  </si>
  <si>
    <t>자 산   취 득 비</t>
    <phoneticPr fontId="26" type="noConversion"/>
  </si>
  <si>
    <t>전    입    금</t>
    <phoneticPr fontId="26" type="noConversion"/>
  </si>
  <si>
    <t>법인      전입금</t>
    <phoneticPr fontId="26" type="noConversion"/>
  </si>
  <si>
    <t>시설장비유지비</t>
    <phoneticPr fontId="26" type="noConversion"/>
  </si>
  <si>
    <t>이    월    금</t>
    <phoneticPr fontId="26" type="noConversion"/>
  </si>
  <si>
    <t>전년도   이월금</t>
    <phoneticPr fontId="26" type="noConversion"/>
  </si>
  <si>
    <t>사   업   비</t>
    <phoneticPr fontId="26" type="noConversion"/>
  </si>
  <si>
    <t>생      계      비</t>
    <phoneticPr fontId="26" type="noConversion"/>
  </si>
  <si>
    <t>잡    수    입</t>
    <phoneticPr fontId="26" type="noConversion"/>
  </si>
  <si>
    <t>잡      수      입</t>
    <phoneticPr fontId="26" type="noConversion"/>
  </si>
  <si>
    <t>수용기관   경비</t>
    <phoneticPr fontId="26" type="noConversion"/>
  </si>
  <si>
    <t>피      복      비</t>
    <phoneticPr fontId="26" type="noConversion"/>
  </si>
  <si>
    <t>의      료      비</t>
    <phoneticPr fontId="26" type="noConversion"/>
  </si>
  <si>
    <t>연      료      비</t>
    <phoneticPr fontId="26" type="noConversion"/>
  </si>
  <si>
    <t>프로그램사업비</t>
    <phoneticPr fontId="26" type="noConversion"/>
  </si>
  <si>
    <t>보조금반환</t>
    <phoneticPr fontId="26" type="noConversion"/>
  </si>
  <si>
    <t>보조금   반납금</t>
    <phoneticPr fontId="26" type="noConversion"/>
  </si>
  <si>
    <t>잡   지   출</t>
    <phoneticPr fontId="26" type="noConversion"/>
  </si>
  <si>
    <t>잡      지      출</t>
    <phoneticPr fontId="26" type="noConversion"/>
  </si>
  <si>
    <t>예   비   비</t>
    <phoneticPr fontId="26" type="noConversion"/>
  </si>
  <si>
    <t>예      비      비</t>
    <phoneticPr fontId="26" type="noConversion"/>
  </si>
  <si>
    <t>* 종사자교육비용</t>
    <phoneticPr fontId="6" type="noConversion"/>
  </si>
  <si>
    <t>원</t>
    <phoneticPr fontId="6" type="noConversion"/>
  </si>
  <si>
    <t>* 욕실 파티션</t>
    <phoneticPr fontId="6" type="noConversion"/>
  </si>
  <si>
    <t>※ 후원금</t>
    <phoneticPr fontId="6" type="noConversion"/>
  </si>
  <si>
    <t>※ 전년도 이월금</t>
    <phoneticPr fontId="6" type="noConversion"/>
  </si>
  <si>
    <t>* 비지정 후원금</t>
    <phoneticPr fontId="6" type="noConversion"/>
  </si>
  <si>
    <t>후원금</t>
    <phoneticPr fontId="6" type="noConversion"/>
  </si>
  <si>
    <t>비지정</t>
    <phoneticPr fontId="6" type="noConversion"/>
  </si>
  <si>
    <t>사 업 비</t>
    <phoneticPr fontId="26" type="noConversion"/>
  </si>
  <si>
    <t>보조금     반환</t>
    <phoneticPr fontId="26" type="noConversion"/>
  </si>
  <si>
    <t>인 건 비</t>
    <phoneticPr fontId="26" type="noConversion"/>
  </si>
  <si>
    <t>4. 후원금</t>
    <phoneticPr fontId="6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</si>
  <si>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6" type="noConversion"/>
  </si>
  <si>
    <t>6. 신용보증보험</t>
    <phoneticPr fontId="6" type="noConversion"/>
  </si>
  <si>
    <t>2. 찜질방 이용</t>
  </si>
  <si>
    <t>3. 지역사회 미용실 이용</t>
    <phoneticPr fontId="6" type="noConversion"/>
  </si>
  <si>
    <t>4. 지역사회 미용실 이용</t>
    <phoneticPr fontId="6" type="noConversion"/>
  </si>
  <si>
    <t>5. 지역사회 식당 이용 외식</t>
    <phoneticPr fontId="6" type="noConversion"/>
  </si>
  <si>
    <t>6. 영화관람</t>
    <phoneticPr fontId="6" type="noConversion"/>
  </si>
  <si>
    <t>7. 스포츠관람</t>
    <phoneticPr fontId="6" type="noConversion"/>
  </si>
  <si>
    <t>4. 지역사회 식당 이용 외식</t>
  </si>
  <si>
    <t>1. 헬스</t>
    <phoneticPr fontId="6" type="noConversion"/>
  </si>
  <si>
    <t>* 환경개선사업비(7종)시군구</t>
    <phoneticPr fontId="6" type="noConversion"/>
  </si>
  <si>
    <t>* 환경개선사업비(7종)시도</t>
    <phoneticPr fontId="6" type="noConversion"/>
  </si>
  <si>
    <t>* 종사자근무수당(시군구)</t>
    <phoneticPr fontId="6" type="noConversion"/>
  </si>
  <si>
    <t>* 종사자근무수당(시도)</t>
    <phoneticPr fontId="6" type="noConversion"/>
  </si>
  <si>
    <t>이월금</t>
    <phoneticPr fontId="6" type="noConversion"/>
  </si>
  <si>
    <t>1. 전화료 인터넷 요금(보조)</t>
    <phoneticPr fontId="6" type="noConversion"/>
  </si>
  <si>
    <t>2. 아파트관리비(보조)</t>
    <phoneticPr fontId="6" type="noConversion"/>
  </si>
  <si>
    <t>3. 전화료 인터넷 요금(입소)</t>
    <phoneticPr fontId="6" type="noConversion"/>
  </si>
  <si>
    <t>4. 아파트관리비(입소)</t>
    <phoneticPr fontId="6" type="noConversion"/>
  </si>
  <si>
    <t xml:space="preserve">* 적산열량계교체비용(보조) </t>
    <phoneticPr fontId="6" type="noConversion"/>
  </si>
  <si>
    <t>* 환경개선 수선비 등(7종)</t>
    <phoneticPr fontId="6" type="noConversion"/>
  </si>
  <si>
    <t>8호</t>
    <phoneticPr fontId="6" type="noConversion"/>
  </si>
  <si>
    <t>* 산재보험부담금</t>
    <phoneticPr fontId="6" type="noConversion"/>
  </si>
  <si>
    <t>후원</t>
    <phoneticPr fontId="6" type="noConversion"/>
  </si>
  <si>
    <t>입소</t>
    <phoneticPr fontId="6" type="noConversion"/>
  </si>
  <si>
    <t>보조</t>
    <phoneticPr fontId="6" type="noConversion"/>
  </si>
  <si>
    <t>* 가족수당</t>
    <phoneticPr fontId="6" type="noConversion"/>
  </si>
  <si>
    <t>시도보조금</t>
    <phoneticPr fontId="26" type="noConversion"/>
  </si>
  <si>
    <t>* 종사자 건강검진비용</t>
    <phoneticPr fontId="6" type="noConversion"/>
  </si>
  <si>
    <t>* 환경개선사업비</t>
    <phoneticPr fontId="6" type="noConversion"/>
  </si>
  <si>
    <t>증감</t>
    <phoneticPr fontId="6" type="noConversion"/>
  </si>
  <si>
    <t>증감사유</t>
    <phoneticPr fontId="26" type="noConversion"/>
  </si>
  <si>
    <t>비지정후원금</t>
    <phoneticPr fontId="26" type="noConversion"/>
  </si>
  <si>
    <t>전년도이월금</t>
    <phoneticPr fontId="26" type="noConversion"/>
  </si>
  <si>
    <t>시도보조금</t>
    <phoneticPr fontId="6" type="noConversion"/>
  </si>
  <si>
    <t>※ 2014년 시도보조금</t>
    <phoneticPr fontId="6" type="noConversion"/>
  </si>
  <si>
    <t>시군구보조금</t>
    <phoneticPr fontId="6" type="noConversion"/>
  </si>
  <si>
    <t>※ 2014년 시군구보조금</t>
    <phoneticPr fontId="6" type="noConversion"/>
  </si>
  <si>
    <t>&lt;2014년도 세출내역&gt;</t>
    <phoneticPr fontId="6" type="noConversion"/>
  </si>
  <si>
    <t>&lt;2014년도 세입내역&gt;</t>
    <phoneticPr fontId="6" type="noConversion"/>
  </si>
  <si>
    <t>보조금      운영비</t>
    <phoneticPr fontId="6" type="noConversion"/>
  </si>
  <si>
    <t>※ 입소자부담금수입</t>
    <phoneticPr fontId="6" type="noConversion"/>
  </si>
  <si>
    <t>* 입소자부담금수입</t>
    <phoneticPr fontId="6" type="noConversion"/>
  </si>
  <si>
    <t>* 전년도 이월금</t>
    <phoneticPr fontId="6" type="noConversion"/>
  </si>
  <si>
    <t>* 2014년 시도보조금</t>
    <phoneticPr fontId="6" type="noConversion"/>
  </si>
  <si>
    <t>* 2014년 시군구보조금</t>
    <phoneticPr fontId="6" type="noConversion"/>
  </si>
  <si>
    <t>* 후원금 이월금</t>
    <phoneticPr fontId="6" type="noConversion"/>
  </si>
  <si>
    <t>1. 보조금</t>
    <phoneticPr fontId="6" type="noConversion"/>
  </si>
  <si>
    <t>2. 보조금 이월금</t>
    <phoneticPr fontId="6" type="noConversion"/>
  </si>
  <si>
    <t>3. 입소비용</t>
    <phoneticPr fontId="6" type="noConversion"/>
  </si>
  <si>
    <t>4. 법인전입금</t>
    <phoneticPr fontId="6" type="noConversion"/>
  </si>
  <si>
    <t>5. 법인전입금 이월금</t>
    <phoneticPr fontId="6" type="noConversion"/>
  </si>
  <si>
    <t>6. 후원금</t>
    <phoneticPr fontId="6" type="noConversion"/>
  </si>
  <si>
    <t>7. 후원금 이월금</t>
    <phoneticPr fontId="6" type="noConversion"/>
  </si>
  <si>
    <t>원</t>
    <phoneticPr fontId="6" type="noConversion"/>
  </si>
  <si>
    <t>* 입소비용(체크카드환급금)</t>
    <phoneticPr fontId="6" type="noConversion"/>
  </si>
  <si>
    <t>* 후원금(체크카드환급금)</t>
    <phoneticPr fontId="6" type="noConversion"/>
  </si>
  <si>
    <t>* 수수깡작업수당</t>
    <phoneticPr fontId="6" type="noConversion"/>
  </si>
  <si>
    <t>잡수입</t>
    <phoneticPr fontId="6" type="noConversion"/>
  </si>
  <si>
    <t>8. 잡수입</t>
    <phoneticPr fontId="6" type="noConversion"/>
  </si>
  <si>
    <t>* 건강보험 정산금</t>
    <phoneticPr fontId="6" type="noConversion"/>
  </si>
  <si>
    <t>* 고용보험부담금정산금</t>
    <phoneticPr fontId="6" type="noConversion"/>
  </si>
  <si>
    <t>* 산재보험부담금정산금</t>
    <phoneticPr fontId="6" type="noConversion"/>
  </si>
  <si>
    <t>4. 대중교통 이용 서비스</t>
    <phoneticPr fontId="6" type="noConversion"/>
  </si>
  <si>
    <t>5. 낮 시간 프로그램 후 점심식사</t>
    <phoneticPr fontId="6" type="noConversion"/>
  </si>
  <si>
    <t>6. 수수깡 작업수당지급</t>
    <phoneticPr fontId="6" type="noConversion"/>
  </si>
  <si>
    <t>잡수</t>
    <phoneticPr fontId="6" type="noConversion"/>
  </si>
  <si>
    <t>7. 기타프로그램</t>
    <phoneticPr fontId="6" type="noConversion"/>
  </si>
  <si>
    <t>3. 바다의별사회적응훈련(하나그룹)</t>
    <phoneticPr fontId="6" type="noConversion"/>
  </si>
  <si>
    <t>2. 바다의별 사회적응 훈련(둘그룹)</t>
    <phoneticPr fontId="6" type="noConversion"/>
  </si>
  <si>
    <t>법인</t>
    <phoneticPr fontId="6" type="noConversion"/>
  </si>
  <si>
    <t>후원</t>
    <phoneticPr fontId="6" type="noConversion"/>
  </si>
  <si>
    <t>2014년
1차 추가경정</t>
    <phoneticPr fontId="26" type="noConversion"/>
  </si>
  <si>
    <t>이자수입</t>
    <phoneticPr fontId="26" type="noConversion"/>
  </si>
  <si>
    <t>기타잡수입</t>
    <phoneticPr fontId="26" type="noConversion"/>
  </si>
  <si>
    <t>수용           기관경비감액</t>
    <phoneticPr fontId="6" type="noConversion"/>
  </si>
  <si>
    <t>* 건강보험 부담금</t>
    <phoneticPr fontId="6" type="noConversion"/>
  </si>
  <si>
    <t>입소비용     수입</t>
    <phoneticPr fontId="26" type="noConversion"/>
  </si>
  <si>
    <t>사 무 비</t>
    <phoneticPr fontId="26" type="noConversion"/>
  </si>
  <si>
    <t>보조금        수입</t>
    <phoneticPr fontId="26" type="noConversion"/>
  </si>
  <si>
    <t>시군구보조금</t>
    <phoneticPr fontId="26" type="noConversion"/>
  </si>
  <si>
    <t>업 무              추 진 비</t>
    <phoneticPr fontId="26" type="noConversion"/>
  </si>
  <si>
    <t>후원금        수입</t>
    <phoneticPr fontId="26" type="noConversion"/>
  </si>
  <si>
    <t>지정후원금</t>
    <phoneticPr fontId="26" type="noConversion"/>
  </si>
  <si>
    <t>운 영 비</t>
    <phoneticPr fontId="26" type="noConversion"/>
  </si>
  <si>
    <t>재산        조성비</t>
    <phoneticPr fontId="26" type="noConversion"/>
  </si>
  <si>
    <t>시 설 비</t>
    <phoneticPr fontId="26" type="noConversion"/>
  </si>
  <si>
    <t>전 입 금</t>
    <phoneticPr fontId="26" type="noConversion"/>
  </si>
  <si>
    <t>법인전입금</t>
    <phoneticPr fontId="26" type="noConversion"/>
  </si>
  <si>
    <t>자 산              취 득 비</t>
    <phoneticPr fontId="26" type="noConversion"/>
  </si>
  <si>
    <t>이 월 금</t>
    <phoneticPr fontId="26" type="noConversion"/>
  </si>
  <si>
    <t>시설장비         유지비</t>
    <phoneticPr fontId="26" type="noConversion"/>
  </si>
  <si>
    <t>생 계 비</t>
    <phoneticPr fontId="26" type="noConversion"/>
  </si>
  <si>
    <t>수용기관         경비</t>
    <phoneticPr fontId="26" type="noConversion"/>
  </si>
  <si>
    <t>잡 수 입</t>
    <phoneticPr fontId="26" type="noConversion"/>
  </si>
  <si>
    <t>피 복 비</t>
    <phoneticPr fontId="26" type="noConversion"/>
  </si>
  <si>
    <t>의 료 비</t>
    <phoneticPr fontId="26" type="noConversion"/>
  </si>
  <si>
    <t>연 료 비</t>
    <phoneticPr fontId="26" type="noConversion"/>
  </si>
  <si>
    <t>프로그램         사업비</t>
    <phoneticPr fontId="26" type="noConversion"/>
  </si>
  <si>
    <t>보조금            반납금</t>
    <phoneticPr fontId="26" type="noConversion"/>
  </si>
  <si>
    <t>x</t>
    <phoneticPr fontId="6" type="noConversion"/>
  </si>
  <si>
    <t>월</t>
    <phoneticPr fontId="6" type="noConversion"/>
  </si>
  <si>
    <t>2.주부식비</t>
    <phoneticPr fontId="6" type="noConversion"/>
  </si>
  <si>
    <t>3.주부식비(보충액)</t>
    <phoneticPr fontId="6" type="noConversion"/>
  </si>
  <si>
    <t>4.주부식비(보충액)</t>
    <phoneticPr fontId="6" type="noConversion"/>
  </si>
  <si>
    <t>5. 김장비용</t>
    <phoneticPr fontId="6" type="noConversion"/>
  </si>
  <si>
    <t>6. 간식비용</t>
    <phoneticPr fontId="6" type="noConversion"/>
  </si>
  <si>
    <t>8호</t>
    <phoneticPr fontId="6" type="noConversion"/>
  </si>
  <si>
    <t>3호</t>
    <phoneticPr fontId="6" type="noConversion"/>
  </si>
  <si>
    <t>연장근로수당(보조금)</t>
    <phoneticPr fontId="6" type="noConversion"/>
  </si>
  <si>
    <t>2. 가을여행</t>
    <phoneticPr fontId="6" type="noConversion"/>
  </si>
  <si>
    <t>3.연장근로수당</t>
    <phoneticPr fontId="6" type="noConversion"/>
  </si>
  <si>
    <t>연장근로수당(법인)</t>
    <phoneticPr fontId="6" type="noConversion"/>
  </si>
  <si>
    <t>원</t>
    <phoneticPr fontId="6" type="noConversion"/>
  </si>
  <si>
    <t>x</t>
    <phoneticPr fontId="6" type="noConversion"/>
  </si>
  <si>
    <t>회</t>
    <phoneticPr fontId="6" type="noConversion"/>
  </si>
  <si>
    <t>보조</t>
    <phoneticPr fontId="6" type="noConversion"/>
  </si>
  <si>
    <t>지문인식기 구입비</t>
    <phoneticPr fontId="6" type="noConversion"/>
  </si>
  <si>
    <t>2014년
본 예산 1차추경안(A)
(단위:천원)</t>
    <phoneticPr fontId="6" type="noConversion"/>
  </si>
  <si>
    <t>2014년  2차 추가경정 예산액(단위:천원)</t>
    <phoneticPr fontId="6" type="noConversion"/>
  </si>
  <si>
    <t>안원준 7월 25일 퇴소</t>
    <phoneticPr fontId="6" type="noConversion"/>
  </si>
  <si>
    <t>원</t>
    <phoneticPr fontId="6" type="noConversion"/>
  </si>
  <si>
    <t>입소</t>
    <phoneticPr fontId="6" type="noConversion"/>
  </si>
  <si>
    <t>2014년
2차추가경정</t>
    <phoneticPr fontId="26" type="noConversion"/>
  </si>
  <si>
    <t>* 신용카드 해지에 따른 환급액</t>
    <phoneticPr fontId="6" type="noConversion"/>
  </si>
  <si>
    <t>□ 2014년도 2차 추가경정 예산 세 입 · 세 출 총  괄  표</t>
    <phoneticPr fontId="26" type="noConversion"/>
  </si>
  <si>
    <t>2014년
2차 추가경정</t>
    <phoneticPr fontId="26" type="noConversion"/>
  </si>
  <si>
    <t>2014년
1차추가경정액</t>
    <phoneticPr fontId="26" type="noConversion"/>
  </si>
  <si>
    <t>비지정 후원금 금액 증가</t>
    <phoneticPr fontId="6" type="noConversion"/>
  </si>
  <si>
    <t>신용카드 해지로 인한 환금액 증가</t>
    <phoneticPr fontId="6" type="noConversion"/>
  </si>
  <si>
    <t>연료비 감액</t>
    <phoneticPr fontId="6" type="noConversion"/>
  </si>
  <si>
    <t>피복비 감액</t>
    <phoneticPr fontId="6" type="noConversion"/>
  </si>
  <si>
    <t>생계비 증액</t>
    <phoneticPr fontId="6" type="noConversion"/>
  </si>
  <si>
    <t>자산취득비 증가(지문인식기 구입)</t>
    <phoneticPr fontId="6" type="noConversion"/>
  </si>
  <si>
    <t>수용비및수수료 증액</t>
    <phoneticPr fontId="6" type="noConversion"/>
  </si>
  <si>
    <t>회의비 감액</t>
    <phoneticPr fontId="6" type="noConversion"/>
  </si>
  <si>
    <t>종사자 교체로 인한 인건비 감소</t>
    <phoneticPr fontId="6" type="noConversion"/>
  </si>
  <si>
    <t>x12</t>
    <phoneticPr fontId="6" type="noConversion"/>
  </si>
  <si>
    <t>÷31</t>
    <phoneticPr fontId="6" type="noConversion"/>
  </si>
  <si>
    <t>월</t>
    <phoneticPr fontId="6" type="noConversion"/>
  </si>
  <si>
    <t>x2</t>
    <phoneticPr fontId="6" type="noConversion"/>
  </si>
  <si>
    <t>8호</t>
    <phoneticPr fontId="6" type="noConversion"/>
  </si>
  <si>
    <t>감봉액</t>
    <phoneticPr fontId="6" type="noConversion"/>
  </si>
  <si>
    <t>원</t>
    <phoneticPr fontId="6" type="noConversion"/>
  </si>
  <si>
    <t>-</t>
    <phoneticPr fontId="6" type="noConversion"/>
  </si>
  <si>
    <t>감봉금액 44,590</t>
    <phoneticPr fontId="6" type="noConversion"/>
  </si>
  <si>
    <t>2014년 2차 추가경정 예산액(단위:천원)</t>
    <phoneticPr fontId="6" type="noConversion"/>
  </si>
  <si>
    <t>2014년
1차추경
예산액(A)
(단위:천원)</t>
    <phoneticPr fontId="6" type="noConversion"/>
  </si>
  <si>
    <t>법인전입금 지원 중단으로 인한 감액</t>
    <phoneticPr fontId="6" type="noConversion"/>
  </si>
  <si>
    <t>프로그램비 감소</t>
    <phoneticPr fontId="6" type="noConversion"/>
  </si>
  <si>
    <t>2014년
1차추가경정 예산</t>
    <phoneticPr fontId="26" type="noConversion"/>
  </si>
  <si>
    <t>2014년
2차추가경정 예산</t>
    <phoneticPr fontId="26" type="noConversion"/>
  </si>
  <si>
    <t>2. 보조금(7종) 반납</t>
    <phoneticPr fontId="6" type="noConversion"/>
  </si>
  <si>
    <t>시도보조금</t>
    <phoneticPr fontId="26" type="noConversion"/>
  </si>
  <si>
    <t>시군구보조금</t>
    <phoneticPr fontId="26" type="noConversion"/>
  </si>
  <si>
    <t>기타후생경비</t>
    <phoneticPr fontId="6" type="noConversion"/>
  </si>
  <si>
    <t>종사자 교체로
인한 수당변경</t>
    <phoneticPr fontId="6" type="noConversion"/>
  </si>
</sst>
</file>

<file path=xl/styles.xml><?xml version="1.0" encoding="utf-8"?>
<styleSheet xmlns="http://schemas.openxmlformats.org/spreadsheetml/2006/main">
  <numFmts count="15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_-* #,##0.0_-;\-* #,##0.0_-;_-* &quot;-&quot;_-;_-@_-"/>
    <numFmt numFmtId="180" formatCode="0_);[Red]\(0\)"/>
    <numFmt numFmtId="181" formatCode="_-* #,##0_-;&quot;▼&quot;* #,##0_-;_-* &quot;-&quot;_-;_-@_-"/>
    <numFmt numFmtId="182" formatCode="#,##0&quot;h&quot;;[Red]#,##0"/>
    <numFmt numFmtId="183" formatCode="#,##0_)&quot;월&quot;;[Red]\(#,##0\)"/>
    <numFmt numFmtId="184" formatCode="&quot;×&quot;#,##0.0_);[Red]\(#,##0.0\)"/>
    <numFmt numFmtId="185" formatCode="#&quot;호&quot;"/>
    <numFmt numFmtId="186" formatCode="#,##0_ &quot;명&quot;"/>
    <numFmt numFmtId="187" formatCode="&quot;×&quot;#,##0_);[Red]\(#,##0\)"/>
    <numFmt numFmtId="188" formatCode="#,##0_);\(#,##0\)"/>
  </numFmts>
  <fonts count="36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b/>
      <sz val="10"/>
      <color theme="7" tint="-0.249977111117893"/>
      <name val="맑은 고딕"/>
      <family val="3"/>
      <charset val="129"/>
      <scheme val="major"/>
    </font>
    <font>
      <sz val="10"/>
      <color theme="7" tint="-0.249977111117893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</font>
    <font>
      <sz val="9"/>
      <color indexed="8"/>
      <name val="돋움"/>
      <family val="3"/>
      <charset val="129"/>
    </font>
    <font>
      <sz val="8"/>
      <color indexed="8"/>
      <name val="돋움"/>
      <family val="3"/>
      <charset val="129"/>
    </font>
    <font>
      <b/>
      <sz val="9"/>
      <color theme="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11"/>
      <color indexed="8"/>
      <name val="돋움"/>
      <family val="3"/>
      <charset val="129"/>
    </font>
    <font>
      <sz val="10"/>
      <color indexed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 applyFill="0" applyAlignment="0">
      <alignment vertical="center"/>
    </xf>
    <xf numFmtId="9" fontId="5" fillId="0" borderId="0" applyFont="0" applyFill="0" applyAlignment="0" applyProtection="0">
      <alignment vertical="center"/>
    </xf>
    <xf numFmtId="41" fontId="5" fillId="0" borderId="0" applyFont="0" applyFill="0" applyAlignment="0" applyProtection="0">
      <alignment vertical="center"/>
    </xf>
    <xf numFmtId="0" fontId="5" fillId="0" borderId="0" applyFill="0" applyAlignment="0"/>
    <xf numFmtId="0" fontId="8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464">
    <xf numFmtId="0" fontId="0" fillId="0" borderId="0" xfId="0" applyFill="1" applyAlignment="1">
      <alignment vertical="center"/>
    </xf>
    <xf numFmtId="0" fontId="7" fillId="0" borderId="0" xfId="3" applyFont="1" applyFill="1" applyAlignment="1">
      <alignment vertical="center"/>
    </xf>
    <xf numFmtId="176" fontId="7" fillId="0" borderId="0" xfId="3" applyNumberFormat="1" applyFont="1" applyFill="1" applyAlignment="1">
      <alignment vertical="center"/>
    </xf>
    <xf numFmtId="0" fontId="7" fillId="0" borderId="0" xfId="3" applyFont="1" applyFill="1" applyAlignment="1">
      <alignment horizontal="center" vertical="center"/>
    </xf>
    <xf numFmtId="0" fontId="7" fillId="0" borderId="0" xfId="3" applyFont="1" applyFill="1" applyBorder="1" applyAlignment="1">
      <alignment vertical="center"/>
    </xf>
    <xf numFmtId="176" fontId="7" fillId="0" borderId="0" xfId="3" applyNumberFormat="1" applyFont="1" applyFill="1" applyBorder="1" applyAlignment="1">
      <alignment vertical="center"/>
    </xf>
    <xf numFmtId="178" fontId="7" fillId="0" borderId="0" xfId="3" applyNumberFormat="1" applyFont="1" applyFill="1" applyAlignment="1">
      <alignment vertical="center"/>
    </xf>
    <xf numFmtId="177" fontId="7" fillId="0" borderId="0" xfId="3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9" fontId="7" fillId="0" borderId="0" xfId="3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176" fontId="7" fillId="0" borderId="0" xfId="0" applyNumberFormat="1" applyFont="1" applyFill="1">
      <alignment vertical="center"/>
    </xf>
    <xf numFmtId="176" fontId="9" fillId="0" borderId="0" xfId="3" applyNumberFormat="1" applyFont="1" applyFill="1" applyAlignment="1">
      <alignment vertical="center"/>
    </xf>
    <xf numFmtId="38" fontId="7" fillId="0" borderId="0" xfId="3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7" fillId="0" borderId="0" xfId="3" applyFont="1" applyFill="1" applyBorder="1" applyAlignment="1">
      <alignment horizontal="center" vertical="center" wrapText="1"/>
    </xf>
    <xf numFmtId="0" fontId="11" fillId="0" borderId="15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9" fontId="12" fillId="0" borderId="3" xfId="3" applyNumberFormat="1" applyFont="1" applyFill="1" applyBorder="1" applyAlignment="1">
      <alignment horizontal="center" vertical="center"/>
    </xf>
    <xf numFmtId="178" fontId="11" fillId="0" borderId="22" xfId="3" applyNumberFormat="1" applyFont="1" applyFill="1" applyBorder="1" applyAlignment="1">
      <alignment vertical="center"/>
    </xf>
    <xf numFmtId="177" fontId="11" fillId="0" borderId="22" xfId="3" applyNumberFormat="1" applyFont="1" applyFill="1" applyBorder="1" applyAlignment="1">
      <alignment vertical="center"/>
    </xf>
    <xf numFmtId="0" fontId="14" fillId="0" borderId="21" xfId="3" applyFont="1" applyFill="1" applyBorder="1" applyAlignment="1">
      <alignment vertical="center"/>
    </xf>
    <xf numFmtId="176" fontId="14" fillId="0" borderId="21" xfId="3" applyNumberFormat="1" applyFont="1" applyFill="1" applyBorder="1" applyAlignment="1">
      <alignment horizontal="center" vertical="center"/>
    </xf>
    <xf numFmtId="176" fontId="14" fillId="0" borderId="21" xfId="3" applyNumberFormat="1" applyFont="1" applyFill="1" applyBorder="1" applyAlignment="1">
      <alignment vertical="center"/>
    </xf>
    <xf numFmtId="176" fontId="14" fillId="0" borderId="23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 wrapText="1"/>
    </xf>
    <xf numFmtId="9" fontId="15" fillId="0" borderId="26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vertical="center"/>
    </xf>
    <xf numFmtId="9" fontId="11" fillId="0" borderId="26" xfId="3" applyNumberFormat="1" applyFont="1" applyFill="1" applyBorder="1" applyAlignment="1">
      <alignment horizontal="center" vertical="center"/>
    </xf>
    <xf numFmtId="176" fontId="13" fillId="0" borderId="5" xfId="3" applyNumberFormat="1" applyFont="1" applyFill="1" applyBorder="1" applyAlignment="1">
      <alignment vertical="center"/>
    </xf>
    <xf numFmtId="0" fontId="11" fillId="0" borderId="2" xfId="3" applyFont="1" applyFill="1" applyBorder="1" applyAlignment="1">
      <alignment horizontal="center" vertical="center" wrapText="1"/>
    </xf>
    <xf numFmtId="178" fontId="11" fillId="0" borderId="1" xfId="3" applyNumberFormat="1" applyFont="1" applyFill="1" applyBorder="1" applyAlignment="1">
      <alignment vertical="center"/>
    </xf>
    <xf numFmtId="177" fontId="11" fillId="0" borderId="1" xfId="3" applyNumberFormat="1" applyFont="1" applyFill="1" applyBorder="1" applyAlignment="1">
      <alignment vertical="center"/>
    </xf>
    <xf numFmtId="9" fontId="11" fillId="0" borderId="1" xfId="3" applyNumberFormat="1" applyFont="1" applyFill="1" applyBorder="1" applyAlignment="1">
      <alignment horizontal="center" vertical="center"/>
    </xf>
    <xf numFmtId="0" fontId="14" fillId="0" borderId="28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176" fontId="14" fillId="0" borderId="31" xfId="3" applyNumberFormat="1" applyFont="1" applyFill="1" applyBorder="1" applyAlignment="1">
      <alignment vertical="center"/>
    </xf>
    <xf numFmtId="0" fontId="11" fillId="0" borderId="32" xfId="3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178" fontId="11" fillId="0" borderId="26" xfId="3" applyNumberFormat="1" applyFont="1" applyFill="1" applyBorder="1" applyAlignment="1">
      <alignment vertical="center"/>
    </xf>
    <xf numFmtId="177" fontId="11" fillId="0" borderId="26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right" vertical="center"/>
    </xf>
    <xf numFmtId="0" fontId="11" fillId="0" borderId="33" xfId="3" applyFont="1" applyFill="1" applyBorder="1" applyAlignment="1">
      <alignment horizontal="left" vertical="center"/>
    </xf>
    <xf numFmtId="176" fontId="11" fillId="0" borderId="0" xfId="3" applyNumberFormat="1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center" vertical="center"/>
    </xf>
    <xf numFmtId="41" fontId="11" fillId="0" borderId="0" xfId="2" applyFont="1" applyFill="1" applyBorder="1" applyAlignment="1">
      <alignment vertical="center"/>
    </xf>
    <xf numFmtId="176" fontId="11" fillId="0" borderId="5" xfId="3" applyNumberFormat="1" applyFont="1" applyFill="1" applyBorder="1" applyAlignment="1">
      <alignment vertical="center"/>
    </xf>
    <xf numFmtId="0" fontId="11" fillId="0" borderId="16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4" fillId="0" borderId="34" xfId="3" applyFont="1" applyFill="1" applyBorder="1" applyAlignment="1">
      <alignment vertical="center"/>
    </xf>
    <xf numFmtId="0" fontId="14" fillId="0" borderId="30" xfId="3" applyFont="1" applyFill="1" applyBorder="1" applyAlignment="1">
      <alignment horizontal="center" vertical="center"/>
    </xf>
    <xf numFmtId="0" fontId="14" fillId="0" borderId="30" xfId="3" applyFont="1" applyFill="1" applyBorder="1" applyAlignment="1">
      <alignment vertical="center"/>
    </xf>
    <xf numFmtId="0" fontId="11" fillId="0" borderId="32" xfId="3" applyFont="1" applyFill="1" applyBorder="1" applyAlignment="1">
      <alignment vertical="center" wrapText="1"/>
    </xf>
    <xf numFmtId="0" fontId="17" fillId="0" borderId="28" xfId="3" applyFont="1" applyFill="1" applyBorder="1" applyAlignment="1">
      <alignment vertical="center"/>
    </xf>
    <xf numFmtId="0" fontId="18" fillId="0" borderId="29" xfId="3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7" fillId="0" borderId="29" xfId="3" applyNumberFormat="1" applyFont="1" applyFill="1" applyBorder="1" applyAlignment="1">
      <alignment vertical="center"/>
    </xf>
    <xf numFmtId="176" fontId="17" fillId="0" borderId="29" xfId="3" applyNumberFormat="1" applyFont="1" applyFill="1" applyBorder="1" applyAlignment="1">
      <alignment horizontal="right" vertical="center"/>
    </xf>
    <xf numFmtId="176" fontId="17" fillId="0" borderId="35" xfId="3" applyNumberFormat="1" applyFont="1" applyFill="1" applyBorder="1" applyAlignment="1">
      <alignment vertical="center"/>
    </xf>
    <xf numFmtId="178" fontId="11" fillId="0" borderId="10" xfId="3" applyNumberFormat="1" applyFont="1" applyFill="1" applyBorder="1" applyAlignment="1">
      <alignment vertical="center"/>
    </xf>
    <xf numFmtId="177" fontId="11" fillId="0" borderId="10" xfId="3" applyNumberFormat="1" applyFont="1" applyFill="1" applyBorder="1" applyAlignment="1">
      <alignment vertical="center"/>
    </xf>
    <xf numFmtId="0" fontId="11" fillId="0" borderId="12" xfId="3" applyFont="1" applyFill="1" applyBorder="1" applyAlignment="1">
      <alignment vertical="center"/>
    </xf>
    <xf numFmtId="176" fontId="11" fillId="0" borderId="12" xfId="3" applyNumberFormat="1" applyFont="1" applyFill="1" applyBorder="1" applyAlignment="1">
      <alignment vertical="center"/>
    </xf>
    <xf numFmtId="176" fontId="11" fillId="0" borderId="39" xfId="3" applyNumberFormat="1" applyFont="1" applyFill="1" applyBorder="1" applyAlignment="1">
      <alignment vertical="center"/>
    </xf>
    <xf numFmtId="0" fontId="11" fillId="0" borderId="3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right" vertical="center"/>
    </xf>
    <xf numFmtId="178" fontId="11" fillId="0" borderId="0" xfId="3" applyNumberFormat="1" applyFont="1" applyFill="1" applyBorder="1" applyAlignment="1">
      <alignment vertical="center"/>
    </xf>
    <xf numFmtId="178" fontId="11" fillId="0" borderId="0" xfId="3" applyNumberFormat="1" applyFont="1" applyFill="1" applyBorder="1" applyAlignment="1">
      <alignment horizontal="center" vertical="center"/>
    </xf>
    <xf numFmtId="9" fontId="11" fillId="0" borderId="26" xfId="1" applyFont="1" applyFill="1" applyBorder="1" applyAlignment="1">
      <alignment horizontal="center" vertical="center"/>
    </xf>
    <xf numFmtId="0" fontId="11" fillId="0" borderId="36" xfId="3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horizontal="right" vertical="center"/>
    </xf>
    <xf numFmtId="176" fontId="11" fillId="0" borderId="37" xfId="3" applyNumberFormat="1" applyFont="1" applyFill="1" applyBorder="1" applyAlignment="1">
      <alignment vertical="center"/>
    </xf>
    <xf numFmtId="42" fontId="11" fillId="0" borderId="0" xfId="3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8" fontId="21" fillId="0" borderId="0" xfId="0" applyNumberFormat="1" applyFont="1" applyBorder="1">
      <alignment vertical="center"/>
    </xf>
    <xf numFmtId="180" fontId="11" fillId="0" borderId="0" xfId="1" applyNumberFormat="1" applyFont="1" applyFill="1" applyBorder="1" applyAlignment="1">
      <alignment vertical="center"/>
    </xf>
    <xf numFmtId="10" fontId="11" fillId="0" borderId="0" xfId="1" applyNumberFormat="1" applyFont="1" applyFill="1" applyBorder="1" applyAlignment="1">
      <alignment horizontal="center" vertical="center"/>
    </xf>
    <xf numFmtId="179" fontId="11" fillId="0" borderId="0" xfId="2" applyNumberFormat="1" applyFont="1" applyFill="1" applyBorder="1" applyAlignment="1">
      <alignment horizontal="center" vertical="center"/>
    </xf>
    <xf numFmtId="0" fontId="20" fillId="0" borderId="29" xfId="3" applyFont="1" applyFill="1" applyBorder="1" applyAlignment="1">
      <alignment vertical="center"/>
    </xf>
    <xf numFmtId="176" fontId="20" fillId="0" borderId="30" xfId="3" applyNumberFormat="1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9" fillId="0" borderId="29" xfId="3" applyNumberFormat="1" applyFont="1" applyFill="1" applyBorder="1" applyAlignment="1">
      <alignment vertical="center"/>
    </xf>
    <xf numFmtId="176" fontId="19" fillId="0" borderId="29" xfId="3" applyNumberFormat="1" applyFont="1" applyFill="1" applyBorder="1" applyAlignment="1">
      <alignment horizontal="right" vertical="center"/>
    </xf>
    <xf numFmtId="176" fontId="19" fillId="0" borderId="35" xfId="3" applyNumberFormat="1" applyFont="1" applyFill="1" applyBorder="1" applyAlignment="1">
      <alignment vertical="center"/>
    </xf>
    <xf numFmtId="9" fontId="11" fillId="0" borderId="10" xfId="1" applyFont="1" applyFill="1" applyBorder="1" applyAlignment="1">
      <alignment horizontal="center" vertical="center"/>
    </xf>
    <xf numFmtId="0" fontId="11" fillId="0" borderId="13" xfId="3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vertical="center"/>
    </xf>
    <xf numFmtId="0" fontId="11" fillId="0" borderId="1" xfId="3" applyFont="1" applyFill="1" applyBorder="1" applyAlignment="1">
      <alignment horizontal="center" vertical="center"/>
    </xf>
    <xf numFmtId="176" fontId="11" fillId="0" borderId="30" xfId="3" applyNumberFormat="1" applyFont="1" applyFill="1" applyBorder="1" applyAlignment="1">
      <alignment vertical="center"/>
    </xf>
    <xf numFmtId="0" fontId="11" fillId="0" borderId="26" xfId="3" applyFont="1" applyFill="1" applyBorder="1" applyAlignment="1">
      <alignment horizontal="center" vertical="center"/>
    </xf>
    <xf numFmtId="0" fontId="14" fillId="0" borderId="29" xfId="3" applyFont="1" applyFill="1" applyBorder="1" applyAlignment="1">
      <alignment vertical="center"/>
    </xf>
    <xf numFmtId="176" fontId="14" fillId="0" borderId="29" xfId="3" applyNumberFormat="1" applyFont="1" applyFill="1" applyBorder="1" applyAlignment="1">
      <alignment vertical="center"/>
    </xf>
    <xf numFmtId="176" fontId="14" fillId="0" borderId="29" xfId="3" applyNumberFormat="1" applyFont="1" applyFill="1" applyBorder="1" applyAlignment="1">
      <alignment horizontal="right" vertical="center"/>
    </xf>
    <xf numFmtId="176" fontId="14" fillId="0" borderId="35" xfId="3" applyNumberFormat="1" applyFont="1" applyFill="1" applyBorder="1" applyAlignment="1">
      <alignment vertical="center"/>
    </xf>
    <xf numFmtId="177" fontId="11" fillId="0" borderId="0" xfId="3" applyNumberFormat="1" applyFont="1" applyFill="1" applyBorder="1" applyAlignment="1">
      <alignment horizontal="right" vertical="center"/>
    </xf>
    <xf numFmtId="176" fontId="13" fillId="0" borderId="30" xfId="3" applyNumberFormat="1" applyFont="1" applyFill="1" applyBorder="1" applyAlignment="1">
      <alignment horizontal="right" vertical="center"/>
    </xf>
    <xf numFmtId="176" fontId="13" fillId="0" borderId="31" xfId="3" applyNumberFormat="1" applyFont="1" applyFill="1" applyBorder="1" applyAlignment="1">
      <alignment vertical="center"/>
    </xf>
    <xf numFmtId="0" fontId="13" fillId="0" borderId="41" xfId="3" applyFont="1" applyFill="1" applyBorder="1" applyAlignment="1">
      <alignment vertical="center"/>
    </xf>
    <xf numFmtId="0" fontId="13" fillId="0" borderId="36" xfId="3" applyFont="1" applyFill="1" applyBorder="1" applyAlignment="1">
      <alignment vertical="center"/>
    </xf>
    <xf numFmtId="176" fontId="13" fillId="0" borderId="13" xfId="3" applyNumberFormat="1" applyFont="1" applyFill="1" applyBorder="1" applyAlignment="1">
      <alignment vertical="center"/>
    </xf>
    <xf numFmtId="0" fontId="11" fillId="0" borderId="6" xfId="3" applyFont="1" applyFill="1" applyBorder="1" applyAlignment="1">
      <alignment horizontal="center" vertical="center"/>
    </xf>
    <xf numFmtId="0" fontId="11" fillId="0" borderId="6" xfId="3" applyFont="1" applyFill="1" applyBorder="1" applyAlignment="1">
      <alignment horizontal="center" vertical="center" wrapText="1"/>
    </xf>
    <xf numFmtId="178" fontId="11" fillId="0" borderId="6" xfId="3" applyNumberFormat="1" applyFont="1" applyFill="1" applyBorder="1" applyAlignment="1">
      <alignment vertical="center"/>
    </xf>
    <xf numFmtId="177" fontId="11" fillId="0" borderId="6" xfId="3" applyNumberFormat="1" applyFont="1" applyFill="1" applyBorder="1" applyAlignment="1">
      <alignment vertical="center"/>
    </xf>
    <xf numFmtId="9" fontId="11" fillId="0" borderId="6" xfId="3" applyNumberFormat="1" applyFont="1" applyFill="1" applyBorder="1" applyAlignment="1">
      <alignment horizontal="center" vertical="center"/>
    </xf>
    <xf numFmtId="176" fontId="11" fillId="0" borderId="12" xfId="3" applyNumberFormat="1" applyFont="1" applyFill="1" applyBorder="1" applyAlignment="1">
      <alignment horizontal="center" vertical="center"/>
    </xf>
    <xf numFmtId="9" fontId="11" fillId="0" borderId="3" xfId="1" applyFont="1" applyFill="1" applyBorder="1" applyAlignment="1">
      <alignment horizontal="center" vertical="center"/>
    </xf>
    <xf numFmtId="38" fontId="13" fillId="0" borderId="26" xfId="3" applyNumberFormat="1" applyFont="1" applyFill="1" applyBorder="1" applyAlignment="1">
      <alignment vertical="center"/>
    </xf>
    <xf numFmtId="38" fontId="11" fillId="0" borderId="26" xfId="3" applyNumberFormat="1" applyFont="1" applyFill="1" applyBorder="1" applyAlignment="1">
      <alignment vertical="center"/>
    </xf>
    <xf numFmtId="0" fontId="11" fillId="0" borderId="42" xfId="3" applyFont="1" applyFill="1" applyBorder="1" applyAlignment="1">
      <alignment horizontal="center" vertical="center" wrapText="1"/>
    </xf>
    <xf numFmtId="38" fontId="11" fillId="0" borderId="10" xfId="3" applyNumberFormat="1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 wrapText="1"/>
    </xf>
    <xf numFmtId="38" fontId="11" fillId="0" borderId="1" xfId="3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/>
    </xf>
    <xf numFmtId="38" fontId="15" fillId="0" borderId="26" xfId="3" applyNumberFormat="1" applyFont="1" applyFill="1" applyBorder="1" applyAlignment="1">
      <alignment vertical="center"/>
    </xf>
    <xf numFmtId="0" fontId="13" fillId="0" borderId="13" xfId="3" applyFont="1" applyFill="1" applyBorder="1" applyAlignment="1">
      <alignment vertical="center"/>
    </xf>
    <xf numFmtId="176" fontId="13" fillId="0" borderId="13" xfId="3" applyNumberFormat="1" applyFont="1" applyFill="1" applyBorder="1" applyAlignment="1">
      <alignment horizontal="right" vertical="center"/>
    </xf>
    <xf numFmtId="176" fontId="13" fillId="0" borderId="37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horizontal="left" vertical="center"/>
    </xf>
    <xf numFmtId="9" fontId="11" fillId="0" borderId="1" xfId="1" applyFont="1" applyFill="1" applyBorder="1" applyAlignment="1">
      <alignment horizontal="center" vertical="center"/>
    </xf>
    <xf numFmtId="176" fontId="11" fillId="0" borderId="31" xfId="3" applyNumberFormat="1" applyFont="1" applyFill="1" applyBorder="1" applyAlignment="1">
      <alignment vertical="center"/>
    </xf>
    <xf numFmtId="0" fontId="24" fillId="0" borderId="1" xfId="3" applyFont="1" applyFill="1" applyBorder="1" applyAlignment="1">
      <alignment horizontal="center" vertical="center" wrapText="1"/>
    </xf>
    <xf numFmtId="38" fontId="24" fillId="0" borderId="1" xfId="3" applyNumberFormat="1" applyFont="1" applyFill="1" applyBorder="1" applyAlignment="1">
      <alignment vertical="center"/>
    </xf>
    <xf numFmtId="0" fontId="11" fillId="0" borderId="37" xfId="0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horizontal="center" vertical="center"/>
    </xf>
    <xf numFmtId="176" fontId="12" fillId="0" borderId="5" xfId="3" applyNumberFormat="1" applyFont="1" applyFill="1" applyBorder="1" applyAlignment="1">
      <alignment vertical="center"/>
    </xf>
    <xf numFmtId="0" fontId="12" fillId="0" borderId="13" xfId="0" applyFont="1" applyFill="1" applyBorder="1" applyAlignment="1">
      <alignment vertical="center"/>
    </xf>
    <xf numFmtId="3" fontId="12" fillId="0" borderId="13" xfId="0" applyNumberFormat="1" applyFont="1" applyFill="1" applyBorder="1" applyAlignment="1">
      <alignment vertical="center"/>
    </xf>
    <xf numFmtId="176" fontId="12" fillId="0" borderId="37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horizontal="left" vertical="center" wrapText="1"/>
    </xf>
    <xf numFmtId="38" fontId="11" fillId="0" borderId="13" xfId="3" applyNumberFormat="1" applyFont="1" applyFill="1" applyBorder="1" applyAlignment="1">
      <alignment vertical="center"/>
    </xf>
    <xf numFmtId="38" fontId="11" fillId="0" borderId="30" xfId="3" applyNumberFormat="1" applyFont="1" applyFill="1" applyBorder="1" applyAlignment="1">
      <alignment vertical="center"/>
    </xf>
    <xf numFmtId="38" fontId="11" fillId="0" borderId="0" xfId="3" applyNumberFormat="1" applyFont="1" applyFill="1" applyBorder="1" applyAlignment="1">
      <alignment vertical="center"/>
    </xf>
    <xf numFmtId="176" fontId="24" fillId="0" borderId="0" xfId="4" applyNumberFormat="1" applyFont="1" applyFill="1" applyBorder="1" applyAlignment="1">
      <alignment vertical="center"/>
    </xf>
    <xf numFmtId="0" fontId="11" fillId="0" borderId="0" xfId="0" applyFont="1" applyFill="1" applyBorder="1">
      <alignment vertical="center"/>
    </xf>
    <xf numFmtId="38" fontId="24" fillId="0" borderId="10" xfId="4" applyNumberFormat="1" applyFont="1" applyFill="1" applyBorder="1" applyAlignment="1">
      <alignment vertical="center"/>
    </xf>
    <xf numFmtId="0" fontId="24" fillId="0" borderId="0" xfId="4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11" fillId="0" borderId="5" xfId="0" applyFont="1" applyFill="1" applyBorder="1">
      <alignment vertical="center"/>
    </xf>
    <xf numFmtId="0" fontId="4" fillId="0" borderId="0" xfId="5">
      <alignment vertical="center"/>
    </xf>
    <xf numFmtId="0" fontId="25" fillId="0" borderId="0" xfId="5" applyFont="1">
      <alignment vertical="center"/>
    </xf>
    <xf numFmtId="0" fontId="27" fillId="0" borderId="0" xfId="5" applyFont="1" applyAlignment="1">
      <alignment horizontal="right"/>
    </xf>
    <xf numFmtId="41" fontId="0" fillId="0" borderId="10" xfId="6" applyFont="1" applyBorder="1" applyAlignment="1">
      <alignment vertical="center"/>
    </xf>
    <xf numFmtId="181" fontId="0" fillId="0" borderId="36" xfId="6" applyNumberFormat="1" applyFont="1" applyBorder="1" applyAlignment="1">
      <alignment vertical="center"/>
    </xf>
    <xf numFmtId="181" fontId="0" fillId="0" borderId="11" xfId="6" applyNumberFormat="1" applyFont="1" applyBorder="1" applyAlignment="1">
      <alignment vertical="center"/>
    </xf>
    <xf numFmtId="41" fontId="0" fillId="0" borderId="19" xfId="6" applyFont="1" applyBorder="1">
      <alignment vertical="center"/>
    </xf>
    <xf numFmtId="181" fontId="0" fillId="0" borderId="41" xfId="6" applyNumberFormat="1" applyFont="1" applyBorder="1">
      <alignment vertical="center"/>
    </xf>
    <xf numFmtId="181" fontId="0" fillId="0" borderId="17" xfId="6" applyNumberFormat="1" applyFont="1" applyBorder="1">
      <alignment vertical="center"/>
    </xf>
    <xf numFmtId="41" fontId="0" fillId="0" borderId="3" xfId="6" applyFont="1" applyBorder="1">
      <alignment vertical="center"/>
    </xf>
    <xf numFmtId="181" fontId="0" fillId="0" borderId="4" xfId="6" applyNumberFormat="1" applyFont="1" applyBorder="1">
      <alignment vertical="center"/>
    </xf>
    <xf numFmtId="0" fontId="16" fillId="0" borderId="30" xfId="3" applyFont="1" applyFill="1" applyBorder="1" applyAlignment="1">
      <alignment vertical="center"/>
    </xf>
    <xf numFmtId="0" fontId="11" fillId="0" borderId="27" xfId="3" applyFont="1" applyFill="1" applyBorder="1" applyAlignment="1">
      <alignment horizontal="center" vertical="center" wrapText="1"/>
    </xf>
    <xf numFmtId="0" fontId="19" fillId="0" borderId="28" xfId="3" applyFont="1" applyFill="1" applyBorder="1" applyAlignment="1">
      <alignment vertical="center"/>
    </xf>
    <xf numFmtId="176" fontId="11" fillId="0" borderId="54" xfId="3" applyNumberFormat="1" applyFont="1" applyFill="1" applyBorder="1" applyAlignment="1">
      <alignment vertical="center"/>
    </xf>
    <xf numFmtId="0" fontId="11" fillId="0" borderId="53" xfId="3" applyFont="1" applyFill="1" applyBorder="1" applyAlignment="1">
      <alignment vertical="center"/>
    </xf>
    <xf numFmtId="177" fontId="11" fillId="0" borderId="3" xfId="3" applyNumberFormat="1" applyFont="1" applyFill="1" applyBorder="1" applyAlignment="1">
      <alignment horizontal="center" vertical="center" wrapText="1"/>
    </xf>
    <xf numFmtId="38" fontId="11" fillId="0" borderId="33" xfId="3" applyNumberFormat="1" applyFont="1" applyFill="1" applyBorder="1" applyAlignment="1">
      <alignment vertical="center"/>
    </xf>
    <xf numFmtId="38" fontId="11" fillId="0" borderId="36" xfId="3" applyNumberFormat="1" applyFont="1" applyFill="1" applyBorder="1" applyAlignment="1">
      <alignment vertical="center"/>
    </xf>
    <xf numFmtId="38" fontId="11" fillId="0" borderId="34" xfId="3" applyNumberFormat="1" applyFont="1" applyFill="1" applyBorder="1" applyAlignment="1">
      <alignment vertical="center"/>
    </xf>
    <xf numFmtId="3" fontId="23" fillId="0" borderId="33" xfId="0" applyNumberFormat="1" applyFont="1" applyFill="1" applyBorder="1" applyAlignment="1">
      <alignment vertical="center"/>
    </xf>
    <xf numFmtId="3" fontId="23" fillId="0" borderId="36" xfId="0" applyNumberFormat="1" applyFont="1" applyFill="1" applyBorder="1" applyAlignment="1">
      <alignment vertical="center"/>
    </xf>
    <xf numFmtId="0" fontId="11" fillId="0" borderId="30" xfId="3" applyFont="1" applyFill="1" applyBorder="1" applyAlignment="1">
      <alignment vertical="center"/>
    </xf>
    <xf numFmtId="41" fontId="13" fillId="0" borderId="26" xfId="0" applyNumberFormat="1" applyFont="1" applyFill="1" applyBorder="1" applyAlignment="1">
      <alignment vertical="center"/>
    </xf>
    <xf numFmtId="38" fontId="24" fillId="0" borderId="10" xfId="4" applyNumberFormat="1" applyFont="1" applyFill="1" applyBorder="1" applyAlignment="1">
      <alignment horizontal="center" vertical="center" wrapText="1"/>
    </xf>
    <xf numFmtId="38" fontId="13" fillId="0" borderId="7" xfId="3" applyNumberFormat="1" applyFont="1" applyFill="1" applyBorder="1" applyAlignment="1">
      <alignment vertical="center"/>
    </xf>
    <xf numFmtId="41" fontId="13" fillId="0" borderId="7" xfId="0" applyNumberFormat="1" applyFont="1" applyFill="1" applyBorder="1" applyAlignment="1">
      <alignment vertical="center"/>
    </xf>
    <xf numFmtId="9" fontId="13" fillId="0" borderId="7" xfId="3" applyNumberFormat="1" applyFont="1" applyFill="1" applyBorder="1" applyAlignment="1">
      <alignment horizontal="center" vertical="center"/>
    </xf>
    <xf numFmtId="0" fontId="13" fillId="0" borderId="9" xfId="3" applyFont="1" applyFill="1" applyBorder="1" applyAlignment="1">
      <alignment vertical="center"/>
    </xf>
    <xf numFmtId="0" fontId="13" fillId="0" borderId="44" xfId="3" applyFont="1" applyFill="1" applyBorder="1" applyAlignment="1">
      <alignment vertical="center"/>
    </xf>
    <xf numFmtId="176" fontId="13" fillId="0" borderId="44" xfId="3" applyNumberFormat="1" applyFont="1" applyFill="1" applyBorder="1" applyAlignment="1">
      <alignment vertical="center"/>
    </xf>
    <xf numFmtId="176" fontId="13" fillId="0" borderId="45" xfId="3" applyNumberFormat="1" applyFont="1" applyFill="1" applyBorder="1" applyAlignment="1">
      <alignment vertical="center"/>
    </xf>
    <xf numFmtId="9" fontId="13" fillId="0" borderId="19" xfId="1" applyFont="1" applyFill="1" applyBorder="1" applyAlignment="1">
      <alignment horizontal="center" vertical="center"/>
    </xf>
    <xf numFmtId="176" fontId="11" fillId="0" borderId="19" xfId="0" applyNumberFormat="1" applyFont="1" applyFill="1" applyBorder="1" applyAlignment="1">
      <alignment vertical="center"/>
    </xf>
    <xf numFmtId="0" fontId="11" fillId="0" borderId="19" xfId="3" applyFont="1" applyFill="1" applyBorder="1" applyAlignment="1">
      <alignment horizontal="center" vertical="center" wrapText="1"/>
    </xf>
    <xf numFmtId="38" fontId="11" fillId="0" borderId="41" xfId="3" applyNumberFormat="1" applyFont="1" applyFill="1" applyBorder="1" applyAlignment="1">
      <alignment vertical="center"/>
    </xf>
    <xf numFmtId="38" fontId="11" fillId="0" borderId="19" xfId="3" applyNumberFormat="1" applyFont="1" applyFill="1" applyBorder="1" applyAlignment="1">
      <alignment vertical="center"/>
    </xf>
    <xf numFmtId="9" fontId="11" fillId="0" borderId="19" xfId="1" applyFont="1" applyFill="1" applyBorder="1" applyAlignment="1">
      <alignment horizontal="center" vertical="center"/>
    </xf>
    <xf numFmtId="176" fontId="13" fillId="0" borderId="54" xfId="3" applyNumberFormat="1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horizontal="right" vertical="center"/>
    </xf>
    <xf numFmtId="9" fontId="7" fillId="0" borderId="0" xfId="1" applyFont="1" applyFill="1" applyBorder="1" applyAlignment="1">
      <alignment horizontal="center" vertical="center"/>
    </xf>
    <xf numFmtId="178" fontId="22" fillId="0" borderId="1" xfId="3" applyNumberFormat="1" applyFont="1" applyFill="1" applyBorder="1" applyAlignment="1">
      <alignment vertical="center"/>
    </xf>
    <xf numFmtId="177" fontId="22" fillId="0" borderId="1" xfId="3" applyNumberFormat="1" applyFont="1" applyFill="1" applyBorder="1" applyAlignment="1">
      <alignment vertical="center"/>
    </xf>
    <xf numFmtId="9" fontId="22" fillId="0" borderId="1" xfId="3" applyNumberFormat="1" applyFont="1" applyFill="1" applyBorder="1" applyAlignment="1">
      <alignment horizontal="center" vertical="center"/>
    </xf>
    <xf numFmtId="176" fontId="24" fillId="0" borderId="0" xfId="4" applyNumberFormat="1" applyFont="1" applyFill="1" applyBorder="1" applyAlignment="1">
      <alignment horizontal="left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vertical="center"/>
    </xf>
    <xf numFmtId="0" fontId="13" fillId="0" borderId="30" xfId="3" applyFont="1" applyFill="1" applyBorder="1" applyAlignment="1">
      <alignment vertical="center"/>
    </xf>
    <xf numFmtId="0" fontId="13" fillId="0" borderId="53" xfId="3" applyFont="1" applyFill="1" applyBorder="1" applyAlignment="1">
      <alignment horizontal="center" vertical="center"/>
    </xf>
    <xf numFmtId="38" fontId="22" fillId="0" borderId="1" xfId="3" applyNumberFormat="1" applyFont="1" applyFill="1" applyBorder="1" applyAlignment="1">
      <alignment vertical="center"/>
    </xf>
    <xf numFmtId="9" fontId="22" fillId="0" borderId="1" xfId="1" applyFont="1" applyFill="1" applyBorder="1" applyAlignment="1">
      <alignment horizontal="center" vertical="center"/>
    </xf>
    <xf numFmtId="0" fontId="13" fillId="0" borderId="32" xfId="3" applyFont="1" applyFill="1" applyBorder="1" applyAlignment="1">
      <alignment horizontal="center" vertical="center" wrapText="1"/>
    </xf>
    <xf numFmtId="38" fontId="13" fillId="0" borderId="19" xfId="3" applyNumberFormat="1" applyFont="1" applyFill="1" applyBorder="1" applyAlignment="1">
      <alignment vertical="center"/>
    </xf>
    <xf numFmtId="38" fontId="13" fillId="0" borderId="1" xfId="3" applyNumberFormat="1" applyFont="1" applyFill="1" applyBorder="1" applyAlignment="1">
      <alignment vertical="center"/>
    </xf>
    <xf numFmtId="9" fontId="13" fillId="0" borderId="1" xfId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vertical="center"/>
    </xf>
    <xf numFmtId="176" fontId="20" fillId="0" borderId="0" xfId="3" applyNumberFormat="1" applyFont="1" applyFill="1" applyBorder="1" applyAlignment="1">
      <alignment vertical="center"/>
    </xf>
    <xf numFmtId="0" fontId="22" fillId="0" borderId="33" xfId="3" applyFont="1" applyFill="1" applyBorder="1" applyAlignment="1">
      <alignment vertical="center"/>
    </xf>
    <xf numFmtId="176" fontId="20" fillId="0" borderId="0" xfId="3" applyNumberFormat="1" applyFont="1" applyFill="1" applyBorder="1" applyAlignment="1">
      <alignment horizontal="right" vertical="center"/>
    </xf>
    <xf numFmtId="176" fontId="22" fillId="0" borderId="0" xfId="3" applyNumberFormat="1" applyFont="1" applyFill="1" applyBorder="1" applyAlignment="1">
      <alignment horizontal="right" vertical="center"/>
    </xf>
    <xf numFmtId="176" fontId="22" fillId="0" borderId="5" xfId="3" applyNumberFormat="1" applyFont="1" applyFill="1" applyBorder="1" applyAlignment="1">
      <alignment vertical="center"/>
    </xf>
    <xf numFmtId="0" fontId="22" fillId="0" borderId="0" xfId="3" applyFont="1" applyFill="1" applyBorder="1" applyAlignment="1">
      <alignment vertical="center"/>
    </xf>
    <xf numFmtId="176" fontId="22" fillId="0" borderId="0" xfId="3" applyNumberFormat="1" applyFont="1" applyFill="1" applyBorder="1" applyAlignment="1">
      <alignment vertical="center"/>
    </xf>
    <xf numFmtId="182" fontId="11" fillId="0" borderId="0" xfId="3" applyNumberFormat="1" applyFont="1" applyFill="1" applyBorder="1" applyAlignment="1">
      <alignment horizontal="center" vertical="center"/>
    </xf>
    <xf numFmtId="183" fontId="11" fillId="0" borderId="0" xfId="2" applyNumberFormat="1" applyFont="1" applyFill="1" applyBorder="1" applyAlignment="1">
      <alignment horizontal="center" vertical="center"/>
    </xf>
    <xf numFmtId="184" fontId="11" fillId="0" borderId="0" xfId="2" applyNumberFormat="1" applyFont="1" applyFill="1" applyBorder="1" applyAlignment="1">
      <alignment horizontal="center" vertical="center"/>
    </xf>
    <xf numFmtId="176" fontId="11" fillId="0" borderId="26" xfId="0" applyNumberFormat="1" applyFont="1" applyFill="1" applyBorder="1" applyAlignment="1">
      <alignment vertical="center"/>
    </xf>
    <xf numFmtId="185" fontId="11" fillId="0" borderId="0" xfId="3" applyNumberFormat="1" applyFont="1" applyFill="1" applyBorder="1" applyAlignment="1">
      <alignment horizontal="right" vertical="center"/>
    </xf>
    <xf numFmtId="178" fontId="11" fillId="0" borderId="0" xfId="2" applyNumberFormat="1" applyFont="1" applyFill="1" applyBorder="1" applyAlignment="1">
      <alignment horizontal="center" vertical="center"/>
    </xf>
    <xf numFmtId="186" fontId="11" fillId="0" borderId="0" xfId="3" applyNumberFormat="1" applyFont="1" applyFill="1" applyBorder="1" applyAlignment="1">
      <alignment horizontal="center" vertical="center"/>
    </xf>
    <xf numFmtId="9" fontId="11" fillId="0" borderId="0" xfId="3" applyNumberFormat="1" applyFont="1" applyFill="1" applyBorder="1" applyAlignment="1">
      <alignment horizontal="center" vertical="center"/>
    </xf>
    <xf numFmtId="187" fontId="11" fillId="0" borderId="0" xfId="2" applyNumberFormat="1" applyFont="1" applyFill="1" applyBorder="1" applyAlignment="1">
      <alignment horizontal="center" vertical="center"/>
    </xf>
    <xf numFmtId="178" fontId="11" fillId="0" borderId="0" xfId="3" applyNumberFormat="1" applyFont="1" applyFill="1" applyBorder="1" applyAlignment="1">
      <alignment horizontal="left" vertical="center"/>
    </xf>
    <xf numFmtId="0" fontId="11" fillId="0" borderId="34" xfId="3" applyFont="1" applyFill="1" applyBorder="1" applyAlignment="1">
      <alignment vertical="center"/>
    </xf>
    <xf numFmtId="0" fontId="11" fillId="0" borderId="33" xfId="3" applyFont="1" applyFill="1" applyBorder="1" applyAlignment="1">
      <alignment vertical="center" wrapText="1"/>
    </xf>
    <xf numFmtId="176" fontId="11" fillId="0" borderId="30" xfId="3" applyNumberFormat="1" applyFont="1" applyFill="1" applyBorder="1" applyAlignment="1">
      <alignment horizontal="center" vertical="center"/>
    </xf>
    <xf numFmtId="42" fontId="11" fillId="0" borderId="30" xfId="3" applyNumberFormat="1" applyFont="1" applyFill="1" applyBorder="1" applyAlignment="1">
      <alignment horizontal="center" vertical="center"/>
    </xf>
    <xf numFmtId="10" fontId="11" fillId="0" borderId="30" xfId="1" applyNumberFormat="1" applyFont="1" applyFill="1" applyBorder="1" applyAlignment="1">
      <alignment horizontal="center" vertical="center"/>
    </xf>
    <xf numFmtId="185" fontId="11" fillId="0" borderId="0" xfId="3" applyNumberFormat="1" applyFont="1" applyFill="1" applyBorder="1" applyAlignment="1">
      <alignment vertical="center"/>
    </xf>
    <xf numFmtId="0" fontId="3" fillId="0" borderId="0" xfId="5" applyFont="1">
      <alignment vertical="center"/>
    </xf>
    <xf numFmtId="0" fontId="3" fillId="0" borderId="14" xfId="5" applyFont="1" applyBorder="1" applyAlignment="1">
      <alignment horizontal="center" vertical="center"/>
    </xf>
    <xf numFmtId="0" fontId="3" fillId="0" borderId="19" xfId="5" applyFont="1" applyBorder="1" applyAlignment="1">
      <alignment horizontal="center" vertical="center"/>
    </xf>
    <xf numFmtId="0" fontId="3" fillId="0" borderId="15" xfId="5" applyFont="1" applyBorder="1" applyAlignment="1">
      <alignment horizontal="center" vertical="center"/>
    </xf>
    <xf numFmtId="0" fontId="3" fillId="0" borderId="3" xfId="5" applyFont="1" applyBorder="1" applyAlignment="1">
      <alignment horizontal="center" vertical="center"/>
    </xf>
    <xf numFmtId="41" fontId="3" fillId="0" borderId="19" xfId="2" applyFont="1" applyBorder="1">
      <alignment vertical="center"/>
    </xf>
    <xf numFmtId="0" fontId="13" fillId="0" borderId="34" xfId="3" applyFont="1" applyFill="1" applyBorder="1" applyAlignment="1">
      <alignment vertical="center"/>
    </xf>
    <xf numFmtId="0" fontId="7" fillId="0" borderId="37" xfId="0" applyFont="1" applyFill="1" applyBorder="1" applyAlignment="1">
      <alignment vertical="center"/>
    </xf>
    <xf numFmtId="0" fontId="13" fillId="0" borderId="29" xfId="3" applyFont="1" applyFill="1" applyBorder="1" applyAlignment="1">
      <alignment vertical="center"/>
    </xf>
    <xf numFmtId="0" fontId="7" fillId="0" borderId="12" xfId="3" applyFont="1" applyFill="1" applyBorder="1" applyAlignment="1">
      <alignment vertical="center"/>
    </xf>
    <xf numFmtId="176" fontId="7" fillId="0" borderId="12" xfId="3" applyNumberFormat="1" applyFont="1" applyFill="1" applyBorder="1" applyAlignment="1">
      <alignment vertical="center"/>
    </xf>
    <xf numFmtId="0" fontId="7" fillId="0" borderId="6" xfId="3" applyFont="1" applyFill="1" applyBorder="1" applyAlignment="1">
      <alignment horizontal="center" vertical="center" wrapText="1"/>
    </xf>
    <xf numFmtId="38" fontId="7" fillId="0" borderId="6" xfId="3" applyNumberFormat="1" applyFont="1" applyFill="1" applyBorder="1" applyAlignment="1">
      <alignment vertical="center"/>
    </xf>
    <xf numFmtId="9" fontId="7" fillId="0" borderId="6" xfId="1" applyFont="1" applyFill="1" applyBorder="1" applyAlignment="1">
      <alignment horizontal="center" vertical="center"/>
    </xf>
    <xf numFmtId="0" fontId="25" fillId="0" borderId="0" xfId="7" applyFont="1">
      <alignment vertical="center"/>
    </xf>
    <xf numFmtId="0" fontId="2" fillId="0" borderId="0" xfId="7">
      <alignment vertical="center"/>
    </xf>
    <xf numFmtId="0" fontId="27" fillId="0" borderId="0" xfId="7" applyFont="1" applyAlignment="1">
      <alignment horizontal="right"/>
    </xf>
    <xf numFmtId="41" fontId="11" fillId="0" borderId="0" xfId="2" applyNumberFormat="1" applyFont="1" applyFill="1" applyBorder="1" applyAlignment="1">
      <alignment horizontal="right" vertical="center"/>
    </xf>
    <xf numFmtId="0" fontId="24" fillId="0" borderId="26" xfId="3" applyFont="1" applyFill="1" applyBorder="1" applyAlignment="1">
      <alignment horizontal="center" vertical="center" wrapText="1"/>
    </xf>
    <xf numFmtId="38" fontId="24" fillId="0" borderId="26" xfId="3" applyNumberFormat="1" applyFont="1" applyFill="1" applyBorder="1" applyAlignment="1">
      <alignment vertical="center"/>
    </xf>
    <xf numFmtId="178" fontId="21" fillId="0" borderId="0" xfId="0" applyNumberFormat="1" applyFont="1" applyBorder="1" applyAlignment="1">
      <alignment horizontal="center" vertical="center"/>
    </xf>
    <xf numFmtId="178" fontId="22" fillId="0" borderId="26" xfId="3" applyNumberFormat="1" applyFont="1" applyFill="1" applyBorder="1" applyAlignment="1">
      <alignment vertical="center"/>
    </xf>
    <xf numFmtId="38" fontId="22" fillId="0" borderId="26" xfId="3" applyNumberFormat="1" applyFont="1" applyFill="1" applyBorder="1" applyAlignment="1">
      <alignment vertical="center"/>
    </xf>
    <xf numFmtId="41" fontId="30" fillId="0" borderId="10" xfId="9" applyFont="1" applyBorder="1" applyAlignment="1">
      <alignment vertical="center"/>
    </xf>
    <xf numFmtId="181" fontId="30" fillId="0" borderId="56" xfId="10" applyNumberFormat="1" applyFont="1" applyBorder="1" applyAlignment="1">
      <alignment vertical="center"/>
    </xf>
    <xf numFmtId="181" fontId="30" fillId="0" borderId="13" xfId="10" applyNumberFormat="1" applyFont="1" applyBorder="1" applyAlignment="1">
      <alignment vertical="center"/>
    </xf>
    <xf numFmtId="181" fontId="30" fillId="0" borderId="37" xfId="10" applyNumberFormat="1" applyFont="1" applyBorder="1" applyAlignment="1">
      <alignment vertical="center"/>
    </xf>
    <xf numFmtId="181" fontId="31" fillId="0" borderId="41" xfId="10" applyNumberFormat="1" applyFont="1" applyBorder="1" applyAlignment="1">
      <alignment vertical="center" wrapText="1"/>
    </xf>
    <xf numFmtId="0" fontId="0" fillId="0" borderId="21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9" fontId="11" fillId="0" borderId="10" xfId="3" applyNumberFormat="1" applyFont="1" applyFill="1" applyBorder="1" applyAlignment="1">
      <alignment horizontal="center" vertical="center"/>
    </xf>
    <xf numFmtId="0" fontId="22" fillId="0" borderId="36" xfId="3" applyFont="1" applyFill="1" applyBorder="1" applyAlignment="1">
      <alignment vertical="center"/>
    </xf>
    <xf numFmtId="0" fontId="20" fillId="0" borderId="13" xfId="3" applyFont="1" applyFill="1" applyBorder="1" applyAlignment="1">
      <alignment vertical="center"/>
    </xf>
    <xf numFmtId="176" fontId="20" fillId="0" borderId="13" xfId="3" applyNumberFormat="1" applyFont="1" applyFill="1" applyBorder="1" applyAlignment="1">
      <alignment vertical="center"/>
    </xf>
    <xf numFmtId="0" fontId="11" fillId="0" borderId="26" xfId="3" applyFont="1" applyFill="1" applyBorder="1" applyAlignment="1">
      <alignment vertical="center" wrapText="1"/>
    </xf>
    <xf numFmtId="0" fontId="11" fillId="0" borderId="10" xfId="3" applyFont="1" applyFill="1" applyBorder="1" applyAlignment="1">
      <alignment vertical="center" wrapText="1"/>
    </xf>
    <xf numFmtId="0" fontId="7" fillId="0" borderId="29" xfId="3" applyFont="1" applyFill="1" applyBorder="1" applyAlignment="1">
      <alignment vertical="center"/>
    </xf>
    <xf numFmtId="0" fontId="7" fillId="0" borderId="35" xfId="3" applyFont="1" applyFill="1" applyBorder="1" applyAlignment="1">
      <alignment vertical="center"/>
    </xf>
    <xf numFmtId="0" fontId="11" fillId="0" borderId="58" xfId="3" applyFont="1" applyFill="1" applyBorder="1" applyAlignment="1">
      <alignment vertical="center" wrapText="1"/>
    </xf>
    <xf numFmtId="176" fontId="7" fillId="0" borderId="5" xfId="3" applyNumberFormat="1" applyFont="1" applyFill="1" applyBorder="1" applyAlignment="1">
      <alignment vertical="center"/>
    </xf>
    <xf numFmtId="176" fontId="11" fillId="0" borderId="0" xfId="3" applyNumberFormat="1" applyFont="1" applyFill="1" applyAlignment="1">
      <alignment vertical="center"/>
    </xf>
    <xf numFmtId="0" fontId="7" fillId="0" borderId="36" xfId="0" applyFont="1" applyFill="1" applyBorder="1" applyAlignment="1">
      <alignment vertical="center"/>
    </xf>
    <xf numFmtId="0" fontId="7" fillId="0" borderId="13" xfId="0" applyFont="1" applyFill="1" applyBorder="1" applyAlignment="1">
      <alignment vertical="center"/>
    </xf>
    <xf numFmtId="0" fontId="7" fillId="0" borderId="58" xfId="3" applyFont="1" applyFill="1" applyBorder="1" applyAlignment="1">
      <alignment horizontal="center" vertical="center" wrapText="1"/>
    </xf>
    <xf numFmtId="0" fontId="13" fillId="0" borderId="33" xfId="3" applyFont="1" applyFill="1" applyBorder="1" applyAlignment="1">
      <alignment vertical="center"/>
    </xf>
    <xf numFmtId="0" fontId="13" fillId="0" borderId="40" xfId="3" applyFont="1" applyFill="1" applyBorder="1" applyAlignment="1">
      <alignment vertical="center"/>
    </xf>
    <xf numFmtId="177" fontId="11" fillId="0" borderId="19" xfId="3" applyNumberFormat="1" applyFont="1" applyFill="1" applyBorder="1" applyAlignment="1">
      <alignment vertical="center"/>
    </xf>
    <xf numFmtId="178" fontId="11" fillId="0" borderId="19" xfId="3" applyNumberFormat="1" applyFont="1" applyFill="1" applyBorder="1" applyAlignment="1">
      <alignment vertical="center"/>
    </xf>
    <xf numFmtId="0" fontId="11" fillId="0" borderId="19" xfId="3" applyFont="1" applyFill="1" applyBorder="1" applyAlignment="1">
      <alignment horizontal="center" vertical="center"/>
    </xf>
    <xf numFmtId="0" fontId="13" fillId="0" borderId="28" xfId="3" applyFont="1" applyFill="1" applyBorder="1" applyAlignment="1">
      <alignment vertical="center"/>
    </xf>
    <xf numFmtId="176" fontId="13" fillId="0" borderId="29" xfId="3" applyNumberFormat="1" applyFont="1" applyFill="1" applyBorder="1" applyAlignment="1">
      <alignment vertical="center"/>
    </xf>
    <xf numFmtId="176" fontId="13" fillId="0" borderId="29" xfId="3" applyNumberFormat="1" applyFont="1" applyFill="1" applyBorder="1" applyAlignment="1">
      <alignment horizontal="right" vertical="center"/>
    </xf>
    <xf numFmtId="176" fontId="13" fillId="0" borderId="35" xfId="3" applyNumberFormat="1" applyFont="1" applyFill="1" applyBorder="1" applyAlignment="1">
      <alignment vertical="center"/>
    </xf>
    <xf numFmtId="176" fontId="13" fillId="0" borderId="23" xfId="3" applyNumberFormat="1" applyFont="1" applyFill="1" applyBorder="1" applyAlignment="1">
      <alignment vertical="center"/>
    </xf>
    <xf numFmtId="41" fontId="11" fillId="0" borderId="0" xfId="3" applyNumberFormat="1" applyFont="1" applyFill="1" applyBorder="1" applyAlignment="1">
      <alignment horizontal="right" vertical="center"/>
    </xf>
    <xf numFmtId="38" fontId="11" fillId="0" borderId="62" xfId="3" applyNumberFormat="1" applyFont="1" applyFill="1" applyBorder="1" applyAlignment="1">
      <alignment vertical="center"/>
    </xf>
    <xf numFmtId="9" fontId="11" fillId="0" borderId="62" xfId="1" applyFont="1" applyFill="1" applyBorder="1" applyAlignment="1">
      <alignment horizontal="center" vertical="center"/>
    </xf>
    <xf numFmtId="0" fontId="11" fillId="0" borderId="62" xfId="3" applyFont="1" applyFill="1" applyBorder="1" applyAlignment="1">
      <alignment vertical="center"/>
    </xf>
    <xf numFmtId="176" fontId="11" fillId="0" borderId="62" xfId="3" applyNumberFormat="1" applyFont="1" applyFill="1" applyBorder="1" applyAlignment="1">
      <alignment vertical="center"/>
    </xf>
    <xf numFmtId="176" fontId="11" fillId="0" borderId="63" xfId="3" applyNumberFormat="1" applyFont="1" applyFill="1" applyBorder="1" applyAlignment="1">
      <alignment vertical="center"/>
    </xf>
    <xf numFmtId="9" fontId="11" fillId="0" borderId="0" xfId="1" applyFont="1" applyFill="1" applyBorder="1" applyAlignment="1">
      <alignment horizontal="center" vertical="center"/>
    </xf>
    <xf numFmtId="3" fontId="23" fillId="0" borderId="0" xfId="0" applyNumberFormat="1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41" fontId="29" fillId="0" borderId="0" xfId="2" applyFont="1" applyFill="1" applyBorder="1" applyAlignment="1">
      <alignment vertical="center"/>
    </xf>
    <xf numFmtId="178" fontId="11" fillId="0" borderId="0" xfId="0" applyNumberFormat="1" applyFont="1" applyFill="1" applyBorder="1" applyAlignment="1">
      <alignment horizontal="right" vertical="center"/>
    </xf>
    <xf numFmtId="0" fontId="33" fillId="0" borderId="14" xfId="7" applyFont="1" applyBorder="1" applyAlignment="1">
      <alignment horizontal="center" vertical="center" wrapText="1"/>
    </xf>
    <xf numFmtId="0" fontId="33" fillId="0" borderId="19" xfId="7" applyFont="1" applyBorder="1" applyAlignment="1">
      <alignment horizontal="center" vertical="center" wrapText="1"/>
    </xf>
    <xf numFmtId="41" fontId="31" fillId="0" borderId="19" xfId="9" applyFont="1" applyBorder="1">
      <alignment vertical="center"/>
    </xf>
    <xf numFmtId="181" fontId="31" fillId="0" borderId="41" xfId="10" applyNumberFormat="1" applyFont="1" applyBorder="1">
      <alignment vertical="center"/>
    </xf>
    <xf numFmtId="181" fontId="31" fillId="0" borderId="19" xfId="10" applyNumberFormat="1" applyFont="1" applyBorder="1">
      <alignment vertical="center"/>
    </xf>
    <xf numFmtId="181" fontId="31" fillId="0" borderId="17" xfId="10" applyNumberFormat="1" applyFont="1" applyBorder="1" applyAlignment="1">
      <alignment horizontal="center" vertical="center" wrapText="1"/>
    </xf>
    <xf numFmtId="181" fontId="31" fillId="0" borderId="54" xfId="10" applyNumberFormat="1" applyFont="1" applyBorder="1" applyAlignment="1">
      <alignment horizontal="center" vertical="center" wrapText="1"/>
    </xf>
    <xf numFmtId="181" fontId="31" fillId="0" borderId="54" xfId="10" applyNumberFormat="1" applyFont="1" applyBorder="1" applyAlignment="1">
      <alignment vertical="center" wrapText="1"/>
    </xf>
    <xf numFmtId="41" fontId="31" fillId="0" borderId="0" xfId="2" applyFont="1" applyFill="1" applyAlignment="1">
      <alignment vertical="center"/>
    </xf>
    <xf numFmtId="0" fontId="33" fillId="0" borderId="14" xfId="7" applyFont="1" applyBorder="1" applyAlignment="1">
      <alignment horizontal="center" vertical="center"/>
    </xf>
    <xf numFmtId="0" fontId="33" fillId="0" borderId="58" xfId="7" applyFont="1" applyBorder="1" applyAlignment="1">
      <alignment horizontal="center" vertical="center"/>
    </xf>
    <xf numFmtId="0" fontId="33" fillId="0" borderId="6" xfId="7" applyFont="1" applyBorder="1" applyAlignment="1">
      <alignment horizontal="center" vertical="center" wrapText="1"/>
    </xf>
    <xf numFmtId="41" fontId="31" fillId="0" borderId="6" xfId="9" applyFont="1" applyBorder="1">
      <alignment vertical="center"/>
    </xf>
    <xf numFmtId="181" fontId="31" fillId="0" borderId="6" xfId="10" applyNumberFormat="1" applyFont="1" applyBorder="1">
      <alignment vertical="center"/>
    </xf>
    <xf numFmtId="181" fontId="31" fillId="0" borderId="4" xfId="10" applyNumberFormat="1" applyFont="1" applyBorder="1" applyAlignment="1">
      <alignment vertical="center" wrapText="1"/>
    </xf>
    <xf numFmtId="0" fontId="33" fillId="0" borderId="21" xfId="7" applyFont="1" applyBorder="1" applyAlignment="1">
      <alignment horizontal="center" vertical="center"/>
    </xf>
    <xf numFmtId="0" fontId="31" fillId="0" borderId="21" xfId="0" applyFont="1" applyFill="1" applyBorder="1" applyAlignment="1">
      <alignment vertical="center"/>
    </xf>
    <xf numFmtId="0" fontId="31" fillId="0" borderId="23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31" fillId="0" borderId="5" xfId="0" applyFont="1" applyFill="1" applyBorder="1" applyAlignment="1">
      <alignment vertical="center"/>
    </xf>
    <xf numFmtId="0" fontId="33" fillId="0" borderId="15" xfId="7" applyFont="1" applyBorder="1" applyAlignment="1">
      <alignment horizontal="center" vertical="center" wrapText="1"/>
    </xf>
    <xf numFmtId="0" fontId="33" fillId="0" borderId="3" xfId="7" applyFont="1" applyBorder="1" applyAlignment="1">
      <alignment horizontal="center" vertical="center" wrapText="1"/>
    </xf>
    <xf numFmtId="41" fontId="31" fillId="0" borderId="3" xfId="9" applyFont="1" applyBorder="1">
      <alignment vertical="center"/>
    </xf>
    <xf numFmtId="181" fontId="31" fillId="0" borderId="3" xfId="10" applyNumberFormat="1" applyFont="1" applyBorder="1">
      <alignment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176" fontId="11" fillId="0" borderId="13" xfId="3" applyNumberFormat="1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1" fillId="0" borderId="26" xfId="3" applyFont="1" applyFill="1" applyBorder="1" applyAlignment="1">
      <alignment horizontal="center" vertical="center" wrapText="1"/>
    </xf>
    <xf numFmtId="41" fontId="11" fillId="0" borderId="26" xfId="3" applyNumberFormat="1" applyFont="1" applyFill="1" applyBorder="1" applyAlignment="1">
      <alignment horizontal="center" vertical="center" wrapText="1"/>
    </xf>
    <xf numFmtId="178" fontId="12" fillId="0" borderId="3" xfId="3" applyNumberFormat="1" applyFont="1" applyFill="1" applyBorder="1" applyAlignment="1">
      <alignment horizontal="center" vertical="center" wrapText="1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0" fontId="11" fillId="0" borderId="1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1" fillId="0" borderId="26" xfId="3" applyFont="1" applyFill="1" applyBorder="1" applyAlignment="1">
      <alignment horizontal="center" vertical="center" wrapText="1"/>
    </xf>
    <xf numFmtId="181" fontId="31" fillId="0" borderId="60" xfId="10" applyNumberFormat="1" applyFont="1" applyBorder="1" applyAlignment="1">
      <alignment horizontal="center" vertical="center" wrapText="1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vertical="center"/>
    </xf>
    <xf numFmtId="0" fontId="11" fillId="0" borderId="26" xfId="3" applyFont="1" applyFill="1" applyBorder="1" applyAlignment="1">
      <alignment horizontal="center" vertical="center" wrapText="1"/>
    </xf>
    <xf numFmtId="176" fontId="13" fillId="0" borderId="12" xfId="3" applyNumberFormat="1" applyFont="1" applyFill="1" applyBorder="1" applyAlignment="1">
      <alignment vertical="center"/>
    </xf>
    <xf numFmtId="188" fontId="11" fillId="0" borderId="0" xfId="3" applyNumberFormat="1" applyFont="1" applyFill="1" applyBorder="1" applyAlignment="1">
      <alignment horizontal="center" vertical="center"/>
    </xf>
    <xf numFmtId="188" fontId="11" fillId="0" borderId="0" xfId="2" applyNumberFormat="1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right" vertical="center"/>
    </xf>
    <xf numFmtId="176" fontId="11" fillId="0" borderId="0" xfId="3" applyNumberFormat="1" applyFont="1" applyFill="1" applyBorder="1" applyAlignment="1">
      <alignment vertical="center"/>
    </xf>
    <xf numFmtId="41" fontId="0" fillId="0" borderId="0" xfId="0" applyNumberFormat="1" applyFill="1" applyAlignment="1">
      <alignment vertical="center"/>
    </xf>
    <xf numFmtId="41" fontId="3" fillId="0" borderId="0" xfId="5" applyNumberFormat="1" applyFont="1">
      <alignment vertical="center"/>
    </xf>
    <xf numFmtId="0" fontId="35" fillId="0" borderId="38" xfId="3" applyFont="1" applyFill="1" applyBorder="1" applyAlignment="1">
      <alignment vertical="center"/>
    </xf>
    <xf numFmtId="176" fontId="35" fillId="0" borderId="12" xfId="3" applyNumberFormat="1" applyFont="1" applyFill="1" applyBorder="1" applyAlignment="1">
      <alignment vertical="center"/>
    </xf>
    <xf numFmtId="178" fontId="11" fillId="0" borderId="30" xfId="3" applyNumberFormat="1" applyFont="1" applyFill="1" applyBorder="1" applyAlignment="1">
      <alignment vertical="center"/>
    </xf>
    <xf numFmtId="178" fontId="11" fillId="0" borderId="30" xfId="3" applyNumberFormat="1" applyFont="1" applyFill="1" applyBorder="1" applyAlignment="1">
      <alignment horizontal="center" vertical="center"/>
    </xf>
    <xf numFmtId="182" fontId="11" fillId="0" borderId="30" xfId="3" applyNumberFormat="1" applyFont="1" applyFill="1" applyBorder="1" applyAlignment="1">
      <alignment horizontal="center" vertical="center"/>
    </xf>
    <xf numFmtId="0" fontId="1" fillId="0" borderId="19" xfId="5" applyFont="1" applyBorder="1" applyAlignment="1">
      <alignment horizontal="center" vertical="center"/>
    </xf>
    <xf numFmtId="181" fontId="31" fillId="0" borderId="35" xfId="10" applyNumberFormat="1" applyFont="1" applyBorder="1" applyAlignment="1">
      <alignment vertical="center" wrapText="1"/>
    </xf>
    <xf numFmtId="0" fontId="28" fillId="0" borderId="19" xfId="5" applyFont="1" applyBorder="1" applyAlignment="1">
      <alignment horizontal="center" vertical="center" wrapText="1"/>
    </xf>
    <xf numFmtId="0" fontId="28" fillId="0" borderId="49" xfId="5" applyFont="1" applyBorder="1" applyAlignment="1">
      <alignment horizontal="center" vertical="center" wrapText="1"/>
    </xf>
    <xf numFmtId="0" fontId="28" fillId="0" borderId="43" xfId="5" applyFont="1" applyBorder="1" applyAlignment="1">
      <alignment horizontal="center" vertical="center"/>
    </xf>
    <xf numFmtId="0" fontId="28" fillId="0" borderId="7" xfId="5" applyFont="1" applyBorder="1" applyAlignment="1">
      <alignment horizontal="center" vertical="center"/>
    </xf>
    <xf numFmtId="0" fontId="28" fillId="0" borderId="9" xfId="5" applyFont="1" applyBorder="1" applyAlignment="1">
      <alignment horizontal="center" vertical="center"/>
    </xf>
    <xf numFmtId="0" fontId="28" fillId="0" borderId="8" xfId="5" applyFont="1" applyBorder="1" applyAlignment="1">
      <alignment horizontal="center" vertical="center"/>
    </xf>
    <xf numFmtId="0" fontId="28" fillId="0" borderId="14" xfId="5" applyFont="1" applyBorder="1" applyAlignment="1">
      <alignment horizontal="center" vertical="center"/>
    </xf>
    <xf numFmtId="0" fontId="28" fillId="0" borderId="19" xfId="5" applyFont="1" applyBorder="1" applyAlignment="1">
      <alignment horizontal="center" vertical="center"/>
    </xf>
    <xf numFmtId="0" fontId="28" fillId="0" borderId="48" xfId="5" applyFont="1" applyBorder="1" applyAlignment="1">
      <alignment horizontal="center" vertical="center"/>
    </xf>
    <xf numFmtId="0" fontId="28" fillId="0" borderId="49" xfId="5" applyFont="1" applyBorder="1" applyAlignment="1">
      <alignment horizontal="center" vertical="center"/>
    </xf>
    <xf numFmtId="0" fontId="28" fillId="0" borderId="41" xfId="5" applyFont="1" applyBorder="1" applyAlignment="1">
      <alignment horizontal="center" vertical="center"/>
    </xf>
    <xf numFmtId="0" fontId="28" fillId="0" borderId="50" xfId="5" applyFont="1" applyBorder="1" applyAlignment="1">
      <alignment horizontal="center" vertical="center"/>
    </xf>
    <xf numFmtId="0" fontId="28" fillId="0" borderId="17" xfId="5" applyFont="1" applyBorder="1" applyAlignment="1">
      <alignment horizontal="center" vertical="center"/>
    </xf>
    <xf numFmtId="0" fontId="28" fillId="0" borderId="51" xfId="5" applyFont="1" applyBorder="1" applyAlignment="1">
      <alignment horizontal="center" vertical="center"/>
    </xf>
    <xf numFmtId="0" fontId="3" fillId="0" borderId="52" xfId="5" applyFont="1" applyBorder="1" applyAlignment="1">
      <alignment horizontal="center" vertical="center"/>
    </xf>
    <xf numFmtId="0" fontId="3" fillId="0" borderId="30" xfId="5" applyFont="1" applyBorder="1" applyAlignment="1">
      <alignment horizontal="center" vertical="center"/>
    </xf>
    <xf numFmtId="0" fontId="3" fillId="0" borderId="31" xfId="5" applyFont="1" applyBorder="1" applyAlignment="1">
      <alignment horizontal="center" vertical="center"/>
    </xf>
    <xf numFmtId="0" fontId="3" fillId="0" borderId="24" xfId="5" applyFont="1" applyBorder="1" applyAlignment="1">
      <alignment horizontal="center" vertical="center"/>
    </xf>
    <xf numFmtId="0" fontId="3" fillId="0" borderId="0" xfId="5" applyFont="1" applyBorder="1" applyAlignment="1">
      <alignment horizontal="center" vertical="center"/>
    </xf>
    <xf numFmtId="0" fontId="3" fillId="0" borderId="5" xfId="5" applyFont="1" applyBorder="1" applyAlignment="1">
      <alignment horizontal="center" vertical="center"/>
    </xf>
    <xf numFmtId="0" fontId="3" fillId="0" borderId="46" xfId="5" applyFont="1" applyBorder="1" applyAlignment="1">
      <alignment horizontal="center" vertical="center"/>
    </xf>
    <xf numFmtId="0" fontId="3" fillId="0" borderId="12" xfId="5" applyFont="1" applyBorder="1" applyAlignment="1">
      <alignment horizontal="center" vertical="center"/>
    </xf>
    <xf numFmtId="0" fontId="3" fillId="0" borderId="39" xfId="5" applyFont="1" applyBorder="1" applyAlignment="1">
      <alignment horizontal="center" vertical="center"/>
    </xf>
    <xf numFmtId="0" fontId="3" fillId="0" borderId="16" xfId="5" applyFont="1" applyBorder="1" applyAlignment="1">
      <alignment horizontal="center" vertical="center"/>
    </xf>
    <xf numFmtId="0" fontId="3" fillId="0" borderId="10" xfId="5" applyFont="1" applyBorder="1" applyAlignment="1">
      <alignment horizontal="center" vertical="center"/>
    </xf>
    <xf numFmtId="0" fontId="3" fillId="0" borderId="2" xfId="5" applyFont="1" applyBorder="1" applyAlignment="1">
      <alignment horizontal="center" vertical="center"/>
    </xf>
    <xf numFmtId="0" fontId="3" fillId="0" borderId="32" xfId="5" applyFont="1" applyBorder="1" applyAlignment="1">
      <alignment horizontal="center" vertical="center"/>
    </xf>
    <xf numFmtId="0" fontId="3" fillId="0" borderId="14" xfId="5" applyFont="1" applyBorder="1" applyAlignment="1">
      <alignment horizontal="center" vertical="center"/>
    </xf>
    <xf numFmtId="0" fontId="11" fillId="0" borderId="40" xfId="3" applyFont="1" applyFill="1" applyBorder="1" applyAlignment="1">
      <alignment horizontal="center" vertical="center"/>
    </xf>
    <xf numFmtId="0" fontId="11" fillId="0" borderId="21" xfId="3" applyFont="1" applyFill="1" applyBorder="1" applyAlignment="1">
      <alignment horizontal="center" vertical="center"/>
    </xf>
    <xf numFmtId="0" fontId="11" fillId="0" borderId="23" xfId="3" applyFont="1" applyFill="1" applyBorder="1" applyAlignment="1">
      <alignment horizontal="center" vertical="center"/>
    </xf>
    <xf numFmtId="0" fontId="11" fillId="0" borderId="38" xfId="3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/>
    </xf>
    <xf numFmtId="0" fontId="11" fillId="0" borderId="39" xfId="3" applyFont="1" applyFill="1" applyBorder="1" applyAlignment="1">
      <alignment horizontal="center" vertical="center"/>
    </xf>
    <xf numFmtId="0" fontId="11" fillId="0" borderId="61" xfId="3" applyFont="1" applyFill="1" applyBorder="1" applyAlignment="1">
      <alignment horizontal="left" vertical="center" wrapText="1"/>
    </xf>
    <xf numFmtId="0" fontId="11" fillId="0" borderId="62" xfId="3" applyFont="1" applyFill="1" applyBorder="1" applyAlignment="1">
      <alignment horizontal="left" vertical="center" wrapText="1"/>
    </xf>
    <xf numFmtId="0" fontId="11" fillId="0" borderId="43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178" fontId="12" fillId="0" borderId="7" xfId="3" applyNumberFormat="1" applyFont="1" applyFill="1" applyBorder="1" applyAlignment="1">
      <alignment horizontal="center" vertical="center" wrapText="1"/>
    </xf>
    <xf numFmtId="178" fontId="12" fillId="0" borderId="3" xfId="3" applyNumberFormat="1" applyFont="1" applyFill="1" applyBorder="1" applyAlignment="1">
      <alignment horizontal="center" vertical="center" wrapText="1"/>
    </xf>
    <xf numFmtId="178" fontId="12" fillId="0" borderId="9" xfId="3" applyNumberFormat="1" applyFont="1" applyFill="1" applyBorder="1" applyAlignment="1">
      <alignment horizontal="center" vertical="center" wrapText="1"/>
    </xf>
    <xf numFmtId="178" fontId="12" fillId="0" borderId="44" xfId="3" applyNumberFormat="1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/>
    </xf>
    <xf numFmtId="0" fontId="13" fillId="0" borderId="34" xfId="3" applyFont="1" applyFill="1" applyBorder="1" applyAlignment="1">
      <alignment horizontal="center" vertical="center" wrapText="1"/>
    </xf>
    <xf numFmtId="0" fontId="13" fillId="0" borderId="27" xfId="3" applyFont="1" applyFill="1" applyBorder="1" applyAlignment="1">
      <alignment horizontal="center" vertical="center" wrapText="1"/>
    </xf>
    <xf numFmtId="0" fontId="11" fillId="0" borderId="41" xfId="3" applyFont="1" applyFill="1" applyBorder="1" applyAlignment="1">
      <alignment horizontal="center" vertical="center" wrapText="1"/>
    </xf>
    <xf numFmtId="0" fontId="11" fillId="0" borderId="18" xfId="3" applyFont="1" applyFill="1" applyBorder="1" applyAlignment="1">
      <alignment horizontal="center" vertical="center" wrapText="1"/>
    </xf>
    <xf numFmtId="0" fontId="13" fillId="0" borderId="43" xfId="3" applyFont="1" applyFill="1" applyBorder="1" applyAlignment="1">
      <alignment horizontal="center" vertical="center" wrapText="1"/>
    </xf>
    <xf numFmtId="0" fontId="13" fillId="0" borderId="7" xfId="3" applyFont="1" applyFill="1" applyBorder="1" applyAlignment="1">
      <alignment horizontal="center" vertical="center" wrapText="1"/>
    </xf>
    <xf numFmtId="0" fontId="13" fillId="0" borderId="33" xfId="3" applyFont="1" applyFill="1" applyBorder="1" applyAlignment="1">
      <alignment horizontal="center" vertical="center" wrapText="1"/>
    </xf>
    <xf numFmtId="0" fontId="13" fillId="0" borderId="25" xfId="3" applyFont="1" applyFill="1" applyBorder="1" applyAlignment="1">
      <alignment horizontal="center" vertical="center" wrapText="1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0" fontId="13" fillId="0" borderId="19" xfId="3" applyFont="1" applyFill="1" applyBorder="1" applyAlignment="1">
      <alignment horizontal="center" vertical="center" wrapText="1"/>
    </xf>
    <xf numFmtId="0" fontId="28" fillId="0" borderId="43" xfId="7" applyFont="1" applyBorder="1" applyAlignment="1">
      <alignment horizontal="center" vertical="center"/>
    </xf>
    <xf numFmtId="0" fontId="28" fillId="0" borderId="7" xfId="7" applyFont="1" applyBorder="1" applyAlignment="1">
      <alignment horizontal="center" vertical="center"/>
    </xf>
    <xf numFmtId="0" fontId="28" fillId="0" borderId="9" xfId="7" applyFont="1" applyBorder="1" applyAlignment="1">
      <alignment horizontal="center" vertical="center"/>
    </xf>
    <xf numFmtId="0" fontId="28" fillId="0" borderId="8" xfId="7" applyFont="1" applyBorder="1" applyAlignment="1">
      <alignment horizontal="center" vertical="center"/>
    </xf>
    <xf numFmtId="0" fontId="32" fillId="0" borderId="14" xfId="7" applyFont="1" applyBorder="1" applyAlignment="1">
      <alignment horizontal="center" vertical="center"/>
    </xf>
    <xf numFmtId="0" fontId="32" fillId="0" borderId="19" xfId="7" applyFont="1" applyBorder="1" applyAlignment="1">
      <alignment horizontal="center" vertical="center"/>
    </xf>
    <xf numFmtId="0" fontId="32" fillId="0" borderId="48" xfId="7" applyFont="1" applyBorder="1" applyAlignment="1">
      <alignment horizontal="center" vertical="center"/>
    </xf>
    <xf numFmtId="0" fontId="32" fillId="0" borderId="49" xfId="7" applyFont="1" applyBorder="1" applyAlignment="1">
      <alignment horizontal="center" vertical="center"/>
    </xf>
    <xf numFmtId="0" fontId="32" fillId="0" borderId="19" xfId="8" applyFont="1" applyBorder="1" applyAlignment="1">
      <alignment horizontal="center" vertical="center" wrapText="1"/>
    </xf>
    <xf numFmtId="0" fontId="32" fillId="0" borderId="49" xfId="8" applyFont="1" applyBorder="1" applyAlignment="1">
      <alignment horizontal="center" vertical="center" wrapText="1"/>
    </xf>
    <xf numFmtId="0" fontId="32" fillId="0" borderId="1" xfId="7" applyFont="1" applyBorder="1" applyAlignment="1">
      <alignment horizontal="center" vertical="center" wrapText="1"/>
    </xf>
    <xf numFmtId="0" fontId="32" fillId="0" borderId="55" xfId="7" applyFont="1" applyBorder="1" applyAlignment="1">
      <alignment horizontal="center" vertical="center" wrapText="1"/>
    </xf>
    <xf numFmtId="0" fontId="32" fillId="0" borderId="41" xfId="7" applyFont="1" applyBorder="1" applyAlignment="1">
      <alignment horizontal="center" vertical="center"/>
    </xf>
    <xf numFmtId="0" fontId="32" fillId="0" borderId="50" xfId="7" applyFont="1" applyBorder="1" applyAlignment="1">
      <alignment horizontal="center" vertical="center"/>
    </xf>
    <xf numFmtId="0" fontId="32" fillId="0" borderId="1" xfId="8" applyFont="1" applyBorder="1" applyAlignment="1">
      <alignment horizontal="center" vertical="center" wrapText="1"/>
    </xf>
    <xf numFmtId="0" fontId="32" fillId="0" borderId="55" xfId="8" applyFont="1" applyBorder="1" applyAlignment="1">
      <alignment horizontal="center" vertical="center" wrapText="1"/>
    </xf>
    <xf numFmtId="0" fontId="32" fillId="0" borderId="54" xfId="7" applyFont="1" applyBorder="1" applyAlignment="1">
      <alignment horizontal="center" vertical="center"/>
    </xf>
    <xf numFmtId="0" fontId="32" fillId="0" borderId="57" xfId="7" applyFont="1" applyBorder="1" applyAlignment="1">
      <alignment horizontal="center" vertical="center"/>
    </xf>
    <xf numFmtId="0" fontId="27" fillId="0" borderId="16" xfId="7" applyFont="1" applyBorder="1" applyAlignment="1">
      <alignment horizontal="center" vertical="center"/>
    </xf>
    <xf numFmtId="0" fontId="27" fillId="0" borderId="10" xfId="7" applyFont="1" applyBorder="1" applyAlignment="1">
      <alignment horizontal="center" vertical="center"/>
    </xf>
    <xf numFmtId="0" fontId="33" fillId="0" borderId="2" xfId="7" applyFont="1" applyBorder="1" applyAlignment="1">
      <alignment horizontal="center" vertical="center"/>
    </xf>
    <xf numFmtId="0" fontId="33" fillId="0" borderId="32" xfId="7" applyFont="1" applyBorder="1" applyAlignment="1">
      <alignment horizontal="center" vertical="center"/>
    </xf>
    <xf numFmtId="0" fontId="33" fillId="0" borderId="16" xfId="7" applyFont="1" applyBorder="1" applyAlignment="1">
      <alignment horizontal="center" vertical="center"/>
    </xf>
    <xf numFmtId="0" fontId="33" fillId="0" borderId="2" xfId="7" applyFont="1" applyBorder="1" applyAlignment="1">
      <alignment horizontal="center" vertical="center" wrapText="1"/>
    </xf>
    <xf numFmtId="0" fontId="33" fillId="0" borderId="16" xfId="7" applyFont="1" applyBorder="1" applyAlignment="1">
      <alignment horizontal="center" vertical="center" wrapText="1"/>
    </xf>
    <xf numFmtId="0" fontId="33" fillId="0" borderId="32" xfId="7" applyFont="1" applyBorder="1" applyAlignment="1">
      <alignment horizontal="center" vertical="center" wrapText="1"/>
    </xf>
    <xf numFmtId="0" fontId="33" fillId="0" borderId="1" xfId="7" applyFont="1" applyBorder="1" applyAlignment="1">
      <alignment horizontal="center" vertical="center" wrapText="1"/>
    </xf>
    <xf numFmtId="0" fontId="33" fillId="0" borderId="26" xfId="7" applyFont="1" applyBorder="1" applyAlignment="1">
      <alignment horizontal="center" vertical="center" wrapText="1"/>
    </xf>
    <xf numFmtId="0" fontId="33" fillId="0" borderId="10" xfId="7" applyFont="1" applyBorder="1" applyAlignment="1">
      <alignment horizontal="center" vertical="center" wrapText="1"/>
    </xf>
    <xf numFmtId="41" fontId="31" fillId="0" borderId="1" xfId="9" applyFont="1" applyBorder="1" applyAlignment="1">
      <alignment horizontal="center" vertical="center"/>
    </xf>
    <xf numFmtId="41" fontId="31" fillId="0" borderId="26" xfId="9" applyFont="1" applyBorder="1" applyAlignment="1">
      <alignment horizontal="center" vertical="center"/>
    </xf>
    <xf numFmtId="41" fontId="31" fillId="0" borderId="10" xfId="9" applyFont="1" applyBorder="1" applyAlignment="1">
      <alignment horizontal="center" vertical="center"/>
    </xf>
    <xf numFmtId="181" fontId="31" fillId="0" borderId="1" xfId="10" applyNumberFormat="1" applyFont="1" applyBorder="1" applyAlignment="1">
      <alignment horizontal="center" vertical="center"/>
    </xf>
    <xf numFmtId="181" fontId="31" fillId="0" borderId="26" xfId="10" applyNumberFormat="1" applyFont="1" applyBorder="1" applyAlignment="1">
      <alignment horizontal="center" vertical="center"/>
    </xf>
    <xf numFmtId="181" fontId="31" fillId="0" borderId="10" xfId="10" applyNumberFormat="1" applyFont="1" applyBorder="1" applyAlignment="1">
      <alignment horizontal="center" vertical="center"/>
    </xf>
    <xf numFmtId="181" fontId="31" fillId="0" borderId="59" xfId="10" applyNumberFormat="1" applyFont="1" applyBorder="1" applyAlignment="1">
      <alignment horizontal="center" vertical="center" wrapText="1"/>
    </xf>
    <xf numFmtId="181" fontId="31" fillId="0" borderId="60" xfId="10" applyNumberFormat="1" applyFont="1" applyBorder="1" applyAlignment="1">
      <alignment horizontal="center" vertical="center" wrapText="1"/>
    </xf>
    <xf numFmtId="181" fontId="31" fillId="0" borderId="11" xfId="10" applyNumberFormat="1" applyFont="1" applyBorder="1" applyAlignment="1">
      <alignment horizontal="center" vertical="center" wrapText="1"/>
    </xf>
    <xf numFmtId="176" fontId="13" fillId="0" borderId="13" xfId="3" applyNumberFormat="1" applyFont="1" applyFill="1" applyBorder="1" applyAlignment="1">
      <alignment horizontal="center" vertical="center"/>
    </xf>
    <xf numFmtId="0" fontId="0" fillId="0" borderId="13" xfId="0" applyFill="1" applyBorder="1" applyAlignment="1">
      <alignment vertical="center"/>
    </xf>
    <xf numFmtId="0" fontId="11" fillId="0" borderId="20" xfId="3" applyFont="1" applyFill="1" applyBorder="1" applyAlignment="1">
      <alignment horizontal="center" vertical="center" wrapText="1"/>
    </xf>
    <xf numFmtId="0" fontId="11" fillId="0" borderId="21" xfId="3" applyFont="1" applyFill="1" applyBorder="1" applyAlignment="1">
      <alignment horizontal="center" vertical="center" wrapText="1"/>
    </xf>
    <xf numFmtId="0" fontId="11" fillId="0" borderId="47" xfId="3" applyFont="1" applyFill="1" applyBorder="1" applyAlignment="1">
      <alignment horizontal="center" vertical="center" wrapText="1"/>
    </xf>
    <xf numFmtId="0" fontId="13" fillId="0" borderId="38" xfId="3" applyFont="1" applyFill="1" applyBorder="1" applyAlignment="1">
      <alignment vertical="center"/>
    </xf>
    <xf numFmtId="0" fontId="34" fillId="0" borderId="12" xfId="0" applyFont="1" applyFill="1" applyBorder="1" applyAlignment="1">
      <alignment vertical="center"/>
    </xf>
    <xf numFmtId="0" fontId="11" fillId="0" borderId="1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0" fontId="11" fillId="0" borderId="12" xfId="3" applyFont="1" applyFill="1" applyBorder="1" applyAlignment="1">
      <alignment horizontal="left" vertical="center" wrapText="1"/>
    </xf>
  </cellXfs>
  <cellStyles count="11">
    <cellStyle name="백분율" xfId="1" builtinId="5"/>
    <cellStyle name="쉼표 [0]" xfId="2" builtinId="6"/>
    <cellStyle name="쉼표 [0] 2" xfId="6"/>
    <cellStyle name="쉼표 [0] 2 2" xfId="9"/>
    <cellStyle name="쉼표 [0] 2 3" xfId="10"/>
    <cellStyle name="통화 [0]" xfId="3" builtinId="7"/>
    <cellStyle name="표준" xfId="0" builtinId="0"/>
    <cellStyle name="표준 2" xfId="5"/>
    <cellStyle name="표준 2 2" xfId="8"/>
    <cellStyle name="표준 2 3" xfId="7"/>
    <cellStyle name="표준_2003경기장복예산안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22"/>
    </sheetView>
  </sheetViews>
  <sheetFormatPr defaultRowHeight="13.5"/>
  <sheetData/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M24"/>
  <sheetViews>
    <sheetView workbookViewId="0">
      <selection activeCell="F15" sqref="F15"/>
    </sheetView>
  </sheetViews>
  <sheetFormatPr defaultRowHeight="16.5"/>
  <cols>
    <col min="1" max="1" width="1.33203125" style="148" customWidth="1"/>
    <col min="2" max="2" width="11.5546875" style="148" hidden="1" customWidth="1"/>
    <col min="3" max="3" width="13.33203125" style="148" bestFit="1" customWidth="1"/>
    <col min="4" max="4" width="15.44140625" style="148" bestFit="1" customWidth="1"/>
    <col min="5" max="5" width="14.88671875" style="148" customWidth="1"/>
    <col min="6" max="6" width="15.109375" style="148" customWidth="1"/>
    <col min="7" max="7" width="11.44140625" style="148" customWidth="1"/>
    <col min="8" max="8" width="11.33203125" style="148" customWidth="1"/>
    <col min="9" max="9" width="14.6640625" style="148" customWidth="1"/>
    <col min="10" max="10" width="15" style="148" customWidth="1"/>
    <col min="11" max="11" width="15.5546875" style="148" customWidth="1"/>
    <col min="12" max="12" width="11.5546875" style="148" customWidth="1"/>
    <col min="13" max="13" width="10.44140625" style="148" bestFit="1" customWidth="1"/>
    <col min="14" max="16384" width="8.88671875" style="148"/>
  </cols>
  <sheetData>
    <row r="1" spans="2:13" ht="9.9499999999999993" customHeight="1"/>
    <row r="2" spans="2:13" ht="26.25">
      <c r="B2" s="229"/>
      <c r="C2" s="149" t="s">
        <v>207</v>
      </c>
      <c r="D2" s="229"/>
      <c r="E2" s="229"/>
      <c r="F2" s="229"/>
      <c r="G2" s="229"/>
      <c r="H2" s="229"/>
      <c r="I2" s="229"/>
      <c r="J2" s="229"/>
      <c r="K2" s="229"/>
      <c r="L2" s="150" t="s">
        <v>208</v>
      </c>
      <c r="M2" s="229"/>
    </row>
    <row r="3" spans="2:13" ht="9.9499999999999993" customHeight="1" thickBot="1"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</row>
    <row r="4" spans="2:13" ht="30" customHeight="1">
      <c r="B4" s="229"/>
      <c r="C4" s="360" t="s">
        <v>209</v>
      </c>
      <c r="D4" s="361"/>
      <c r="E4" s="361"/>
      <c r="F4" s="361"/>
      <c r="G4" s="362"/>
      <c r="H4" s="360" t="s">
        <v>210</v>
      </c>
      <c r="I4" s="361"/>
      <c r="J4" s="361"/>
      <c r="K4" s="361"/>
      <c r="L4" s="363"/>
      <c r="M4" s="229"/>
    </row>
    <row r="5" spans="2:13" ht="16.5" customHeight="1">
      <c r="B5" s="229"/>
      <c r="C5" s="364" t="s">
        <v>211</v>
      </c>
      <c r="D5" s="365"/>
      <c r="E5" s="358" t="s">
        <v>411</v>
      </c>
      <c r="F5" s="358" t="s">
        <v>412</v>
      </c>
      <c r="G5" s="368" t="s">
        <v>212</v>
      </c>
      <c r="H5" s="364" t="s">
        <v>211</v>
      </c>
      <c r="I5" s="365"/>
      <c r="J5" s="358" t="s">
        <v>411</v>
      </c>
      <c r="K5" s="358" t="s">
        <v>412</v>
      </c>
      <c r="L5" s="370" t="s">
        <v>212</v>
      </c>
      <c r="M5" s="229"/>
    </row>
    <row r="6" spans="2:13" ht="22.5" customHeight="1" thickBot="1">
      <c r="B6" s="229"/>
      <c r="C6" s="366"/>
      <c r="D6" s="367"/>
      <c r="E6" s="359"/>
      <c r="F6" s="359"/>
      <c r="G6" s="369"/>
      <c r="H6" s="366"/>
      <c r="I6" s="367"/>
      <c r="J6" s="359"/>
      <c r="K6" s="359"/>
      <c r="L6" s="371"/>
      <c r="M6" s="229"/>
    </row>
    <row r="7" spans="2:13" ht="24.95" customHeight="1" thickTop="1">
      <c r="B7" s="229"/>
      <c r="C7" s="381" t="s">
        <v>213</v>
      </c>
      <c r="D7" s="382"/>
      <c r="E7" s="151">
        <v>63988104</v>
      </c>
      <c r="F7" s="151">
        <f>'세입(수정)'!AC4</f>
        <v>63073614</v>
      </c>
      <c r="G7" s="152">
        <f>SUM(G8:G16)</f>
        <v>-914490</v>
      </c>
      <c r="H7" s="381" t="s">
        <v>213</v>
      </c>
      <c r="I7" s="382"/>
      <c r="J7" s="151">
        <v>63988104</v>
      </c>
      <c r="K7" s="151">
        <f>'세출(수정)'!AD4</f>
        <v>63073614</v>
      </c>
      <c r="L7" s="153">
        <f>SUM(L8:L23)</f>
        <v>-914490</v>
      </c>
      <c r="M7" s="350"/>
    </row>
    <row r="8" spans="2:13" ht="24.95" customHeight="1">
      <c r="B8" s="229"/>
      <c r="C8" s="230" t="s">
        <v>214</v>
      </c>
      <c r="D8" s="231" t="s">
        <v>215</v>
      </c>
      <c r="E8" s="154">
        <v>8120082</v>
      </c>
      <c r="F8" s="154">
        <f>'세입(수정)'!AC5</f>
        <v>8120082</v>
      </c>
      <c r="G8" s="155">
        <f>F8-E8</f>
        <v>0</v>
      </c>
      <c r="H8" s="383" t="s">
        <v>216</v>
      </c>
      <c r="I8" s="231" t="s">
        <v>217</v>
      </c>
      <c r="J8" s="154">
        <v>41573130</v>
      </c>
      <c r="K8" s="154">
        <f>'세출(수정)'!AD6</f>
        <v>39779400</v>
      </c>
      <c r="L8" s="156">
        <f>K8-J8</f>
        <v>-1793730</v>
      </c>
      <c r="M8" s="229"/>
    </row>
    <row r="9" spans="2:13" ht="24.95" customHeight="1">
      <c r="B9" s="229"/>
      <c r="C9" s="385" t="s">
        <v>218</v>
      </c>
      <c r="D9" s="356" t="s">
        <v>414</v>
      </c>
      <c r="E9" s="154">
        <v>3375000</v>
      </c>
      <c r="F9" s="154">
        <f>'세입(수정)'!AC12</f>
        <v>3375000</v>
      </c>
      <c r="G9" s="155">
        <f t="shared" ref="G9:G16" si="0">F9-E9</f>
        <v>0</v>
      </c>
      <c r="H9" s="384"/>
      <c r="I9" s="231" t="s">
        <v>219</v>
      </c>
      <c r="J9" s="154">
        <v>0</v>
      </c>
      <c r="K9" s="154">
        <v>0</v>
      </c>
      <c r="L9" s="156">
        <f>K9-J9</f>
        <v>0</v>
      </c>
      <c r="M9" s="229"/>
    </row>
    <row r="10" spans="2:13" ht="24.95" customHeight="1">
      <c r="B10" s="229"/>
      <c r="C10" s="385"/>
      <c r="D10" s="356" t="s">
        <v>415</v>
      </c>
      <c r="E10" s="154">
        <v>46750000</v>
      </c>
      <c r="F10" s="154">
        <f>'세입(수정)'!AC17</f>
        <v>46750000</v>
      </c>
      <c r="G10" s="155">
        <f t="shared" si="0"/>
        <v>0</v>
      </c>
      <c r="H10" s="384"/>
      <c r="I10" s="231" t="s">
        <v>220</v>
      </c>
      <c r="J10" s="154">
        <v>50080</v>
      </c>
      <c r="K10" s="154">
        <v>0</v>
      </c>
      <c r="L10" s="156">
        <f t="shared" ref="L10:L22" si="1">K10-J10</f>
        <v>-50080</v>
      </c>
      <c r="M10" s="229"/>
    </row>
    <row r="11" spans="2:13" ht="24.95" customHeight="1">
      <c r="B11" s="229"/>
      <c r="C11" s="385"/>
      <c r="D11" s="231" t="s">
        <v>221</v>
      </c>
      <c r="E11" s="154">
        <v>0</v>
      </c>
      <c r="F11" s="154">
        <v>0</v>
      </c>
      <c r="G11" s="155">
        <f t="shared" si="0"/>
        <v>0</v>
      </c>
      <c r="H11" s="381"/>
      <c r="I11" s="231" t="s">
        <v>222</v>
      </c>
      <c r="J11" s="154">
        <v>6100900</v>
      </c>
      <c r="K11" s="154">
        <f>'세출(수정)'!AD72</f>
        <v>6561100</v>
      </c>
      <c r="L11" s="156">
        <f t="shared" si="1"/>
        <v>460200</v>
      </c>
      <c r="M11" s="229"/>
    </row>
    <row r="12" spans="2:13" ht="24.95" customHeight="1">
      <c r="B12" s="229"/>
      <c r="C12" s="385" t="s">
        <v>223</v>
      </c>
      <c r="D12" s="231" t="s">
        <v>224</v>
      </c>
      <c r="E12" s="154">
        <v>0</v>
      </c>
      <c r="F12" s="154">
        <v>0</v>
      </c>
      <c r="G12" s="155">
        <f>F12-E12</f>
        <v>0</v>
      </c>
      <c r="H12" s="383" t="s">
        <v>225</v>
      </c>
      <c r="I12" s="231" t="s">
        <v>226</v>
      </c>
      <c r="J12" s="154">
        <v>0</v>
      </c>
      <c r="K12" s="154">
        <v>0</v>
      </c>
      <c r="L12" s="156">
        <f t="shared" si="1"/>
        <v>0</v>
      </c>
      <c r="M12" s="229"/>
    </row>
    <row r="13" spans="2:13" ht="24.95" customHeight="1">
      <c r="B13" s="229"/>
      <c r="C13" s="385"/>
      <c r="D13" s="231" t="s">
        <v>227</v>
      </c>
      <c r="E13" s="154">
        <v>216000</v>
      </c>
      <c r="F13" s="154">
        <f>'세입(수정)'!AC33</f>
        <v>316000</v>
      </c>
      <c r="G13" s="155">
        <f t="shared" si="0"/>
        <v>100000</v>
      </c>
      <c r="H13" s="384"/>
      <c r="I13" s="231" t="s">
        <v>228</v>
      </c>
      <c r="J13" s="154">
        <v>0</v>
      </c>
      <c r="K13" s="154">
        <f>'세출(수정)'!AD106</f>
        <v>128000</v>
      </c>
      <c r="L13" s="156">
        <f t="shared" si="1"/>
        <v>128000</v>
      </c>
      <c r="M13" s="229"/>
    </row>
    <row r="14" spans="2:13" ht="24.95" customHeight="1">
      <c r="B14" s="229"/>
      <c r="C14" s="230" t="s">
        <v>229</v>
      </c>
      <c r="D14" s="231" t="s">
        <v>230</v>
      </c>
      <c r="E14" s="234">
        <v>4976240</v>
      </c>
      <c r="F14" s="234">
        <f>'세입(수정)'!AC23</f>
        <v>3791100</v>
      </c>
      <c r="G14" s="155">
        <f t="shared" si="0"/>
        <v>-1185140</v>
      </c>
      <c r="H14" s="381"/>
      <c r="I14" s="231" t="s">
        <v>231</v>
      </c>
      <c r="J14" s="154">
        <v>0</v>
      </c>
      <c r="K14" s="154">
        <v>0</v>
      </c>
      <c r="L14" s="156">
        <f t="shared" si="1"/>
        <v>0</v>
      </c>
      <c r="M14" s="229"/>
    </row>
    <row r="15" spans="2:13" ht="24.95" customHeight="1">
      <c r="B15" s="229"/>
      <c r="C15" s="230" t="s">
        <v>232</v>
      </c>
      <c r="D15" s="231" t="s">
        <v>233</v>
      </c>
      <c r="E15" s="154">
        <v>0</v>
      </c>
      <c r="F15" s="154">
        <v>0</v>
      </c>
      <c r="G15" s="155">
        <f t="shared" si="0"/>
        <v>0</v>
      </c>
      <c r="H15" s="383" t="s">
        <v>234</v>
      </c>
      <c r="I15" s="231" t="s">
        <v>235</v>
      </c>
      <c r="J15" s="154">
        <v>11049000</v>
      </c>
      <c r="K15" s="154">
        <f>'세출(수정)'!AD115</f>
        <v>11613095</v>
      </c>
      <c r="L15" s="156">
        <f t="shared" si="1"/>
        <v>564095</v>
      </c>
      <c r="M15" s="229"/>
    </row>
    <row r="16" spans="2:13" ht="24.95" customHeight="1">
      <c r="B16" s="229"/>
      <c r="C16" s="230" t="s">
        <v>236</v>
      </c>
      <c r="D16" s="231" t="s">
        <v>237</v>
      </c>
      <c r="E16" s="154">
        <v>550782</v>
      </c>
      <c r="F16" s="154">
        <f>'세입(수정)'!AC44</f>
        <v>721432</v>
      </c>
      <c r="G16" s="155">
        <f t="shared" si="0"/>
        <v>170650</v>
      </c>
      <c r="H16" s="384"/>
      <c r="I16" s="231" t="s">
        <v>238</v>
      </c>
      <c r="J16" s="154">
        <v>909338</v>
      </c>
      <c r="K16" s="154">
        <f>'세출(수정)'!AD123</f>
        <v>803208</v>
      </c>
      <c r="L16" s="156">
        <f t="shared" si="1"/>
        <v>-106130</v>
      </c>
      <c r="M16" s="229"/>
    </row>
    <row r="17" spans="2:13" ht="24.95" customHeight="1">
      <c r="B17" s="229"/>
      <c r="C17" s="372"/>
      <c r="D17" s="373"/>
      <c r="E17" s="373"/>
      <c r="F17" s="373"/>
      <c r="G17" s="374"/>
      <c r="H17" s="384"/>
      <c r="I17" s="231" t="s">
        <v>239</v>
      </c>
      <c r="J17" s="154">
        <v>250000</v>
      </c>
      <c r="K17" s="154">
        <f>'세출(수정)'!AD128</f>
        <v>186000</v>
      </c>
      <c r="L17" s="156">
        <f t="shared" si="1"/>
        <v>-64000</v>
      </c>
      <c r="M17" s="229"/>
    </row>
    <row r="18" spans="2:13" ht="24.95" customHeight="1">
      <c r="B18" s="229"/>
      <c r="C18" s="375"/>
      <c r="D18" s="376"/>
      <c r="E18" s="376"/>
      <c r="F18" s="376"/>
      <c r="G18" s="377"/>
      <c r="H18" s="384"/>
      <c r="I18" s="231" t="s">
        <v>240</v>
      </c>
      <c r="J18" s="154">
        <v>237082</v>
      </c>
      <c r="K18" s="154">
        <f>'세출(수정)'!AD131</f>
        <v>237082</v>
      </c>
      <c r="L18" s="156">
        <f t="shared" si="1"/>
        <v>0</v>
      </c>
      <c r="M18" s="229"/>
    </row>
    <row r="19" spans="2:13" ht="24.95" customHeight="1">
      <c r="B19" s="229"/>
      <c r="C19" s="375"/>
      <c r="D19" s="376"/>
      <c r="E19" s="376"/>
      <c r="F19" s="376"/>
      <c r="G19" s="377"/>
      <c r="H19" s="384"/>
      <c r="I19" s="231" t="s">
        <v>241</v>
      </c>
      <c r="J19" s="154">
        <v>117000</v>
      </c>
      <c r="K19" s="154">
        <f>'세출(수정)'!AD135</f>
        <v>86720</v>
      </c>
      <c r="L19" s="156">
        <f t="shared" si="1"/>
        <v>-30280</v>
      </c>
      <c r="M19" s="229"/>
    </row>
    <row r="20" spans="2:13" ht="24.95" customHeight="1">
      <c r="B20" s="229"/>
      <c r="C20" s="375"/>
      <c r="D20" s="376"/>
      <c r="E20" s="376"/>
      <c r="F20" s="376"/>
      <c r="G20" s="377"/>
      <c r="H20" s="381"/>
      <c r="I20" s="231" t="s">
        <v>242</v>
      </c>
      <c r="J20" s="154">
        <v>3695008</v>
      </c>
      <c r="K20" s="154">
        <f>'세출(수정)'!AD139</f>
        <v>3542443</v>
      </c>
      <c r="L20" s="156">
        <f t="shared" si="1"/>
        <v>-152565</v>
      </c>
      <c r="M20" s="229"/>
    </row>
    <row r="21" spans="2:13" ht="24.95" customHeight="1">
      <c r="B21" s="229"/>
      <c r="C21" s="375"/>
      <c r="D21" s="376"/>
      <c r="E21" s="376"/>
      <c r="F21" s="376"/>
      <c r="G21" s="377"/>
      <c r="H21" s="230" t="s">
        <v>243</v>
      </c>
      <c r="I21" s="231" t="s">
        <v>244</v>
      </c>
      <c r="J21" s="154">
        <v>6566</v>
      </c>
      <c r="K21" s="154">
        <f>'세출(수정)'!AD169</f>
        <v>136566</v>
      </c>
      <c r="L21" s="156">
        <f t="shared" si="1"/>
        <v>130000</v>
      </c>
      <c r="M21" s="229"/>
    </row>
    <row r="22" spans="2:13" ht="24.95" customHeight="1">
      <c r="B22" s="229"/>
      <c r="C22" s="375"/>
      <c r="D22" s="376"/>
      <c r="E22" s="376"/>
      <c r="F22" s="376"/>
      <c r="G22" s="377"/>
      <c r="H22" s="230" t="s">
        <v>245</v>
      </c>
      <c r="I22" s="231" t="s">
        <v>246</v>
      </c>
      <c r="J22" s="154">
        <v>0</v>
      </c>
      <c r="K22" s="154">
        <v>0</v>
      </c>
      <c r="L22" s="156">
        <f t="shared" si="1"/>
        <v>0</v>
      </c>
      <c r="M22" s="229"/>
    </row>
    <row r="23" spans="2:13" ht="17.25" thickBot="1">
      <c r="B23" s="229"/>
      <c r="C23" s="378"/>
      <c r="D23" s="379"/>
      <c r="E23" s="379"/>
      <c r="F23" s="379"/>
      <c r="G23" s="380"/>
      <c r="H23" s="232" t="s">
        <v>247</v>
      </c>
      <c r="I23" s="233" t="s">
        <v>248</v>
      </c>
      <c r="J23" s="157">
        <v>0</v>
      </c>
      <c r="K23" s="157">
        <v>0</v>
      </c>
      <c r="L23" s="158">
        <f>K23-J23</f>
        <v>0</v>
      </c>
      <c r="M23" s="229"/>
    </row>
    <row r="24" spans="2:13">
      <c r="B24" s="229"/>
      <c r="C24" s="229"/>
      <c r="D24" s="229"/>
      <c r="E24" s="350"/>
      <c r="F24" s="229"/>
      <c r="G24" s="229"/>
      <c r="H24" s="229"/>
      <c r="I24" s="229"/>
      <c r="J24" s="350"/>
      <c r="K24" s="350"/>
      <c r="L24" s="229"/>
      <c r="M24" s="229"/>
    </row>
  </sheetData>
  <mergeCells count="18">
    <mergeCell ref="C17:G23"/>
    <mergeCell ref="C7:D7"/>
    <mergeCell ref="H7:I7"/>
    <mergeCell ref="H8:H11"/>
    <mergeCell ref="C9:C11"/>
    <mergeCell ref="C12:C13"/>
    <mergeCell ref="H12:H14"/>
    <mergeCell ref="H15:H20"/>
    <mergeCell ref="E5:E6"/>
    <mergeCell ref="F5:F6"/>
    <mergeCell ref="J5:J6"/>
    <mergeCell ref="K5:K6"/>
    <mergeCell ref="C4:G4"/>
    <mergeCell ref="H4:L4"/>
    <mergeCell ref="C5:D6"/>
    <mergeCell ref="G5:G6"/>
    <mergeCell ref="H5:I6"/>
    <mergeCell ref="L5:L6"/>
  </mergeCells>
  <phoneticPr fontId="6" type="noConversion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H172"/>
  <sheetViews>
    <sheetView view="pageBreakPreview" zoomScale="90" zoomScaleNormal="100" zoomScaleSheetLayoutView="90" workbookViewId="0">
      <selection activeCell="H8" sqref="H8"/>
    </sheetView>
  </sheetViews>
  <sheetFormatPr defaultColWidth="13.77734375" defaultRowHeight="21" customHeight="1"/>
  <cols>
    <col min="1" max="1" width="5.88671875" style="18" bestFit="1" customWidth="1"/>
    <col min="2" max="2" width="7.109375" style="18" bestFit="1" customWidth="1"/>
    <col min="3" max="3" width="8.5546875" style="18" bestFit="1" customWidth="1"/>
    <col min="4" max="4" width="9.33203125" style="15" bestFit="1" customWidth="1"/>
    <col min="5" max="5" width="8.33203125" style="15" customWidth="1"/>
    <col min="6" max="6" width="9.44140625" style="15" customWidth="1"/>
    <col min="7" max="7" width="7" style="15" customWidth="1"/>
    <col min="8" max="8" width="9.5546875" style="15" customWidth="1"/>
    <col min="9" max="9" width="7.44140625" style="15" customWidth="1"/>
    <col min="10" max="10" width="6.21875" style="15" customWidth="1"/>
    <col min="11" max="11" width="6.6640625" style="15" customWidth="1"/>
    <col min="12" max="12" width="6.88671875" style="15" customWidth="1"/>
    <col min="13" max="13" width="6.109375" style="188" customWidth="1"/>
    <col min="14" max="14" width="23.5546875" style="4" customWidth="1"/>
    <col min="15" max="15" width="3.109375" style="4" customWidth="1"/>
    <col min="16" max="17" width="1.44140625" style="4" customWidth="1"/>
    <col min="18" max="18" width="8.44140625" style="5" customWidth="1"/>
    <col min="19" max="19" width="4" style="5" customWidth="1"/>
    <col min="20" max="20" width="3.21875" style="5" customWidth="1"/>
    <col min="21" max="21" width="3.88671875" style="5" customWidth="1"/>
    <col min="22" max="22" width="6.6640625" style="5" customWidth="1"/>
    <col min="23" max="23" width="4.5546875" style="5" customWidth="1"/>
    <col min="24" max="24" width="4.44140625" style="5" customWidth="1"/>
    <col min="25" max="25" width="4.77734375" style="5" customWidth="1"/>
    <col min="26" max="26" width="4" style="5" bestFit="1" customWidth="1"/>
    <col min="27" max="27" width="3" style="5" customWidth="1"/>
    <col min="28" max="28" width="3.33203125" style="5" customWidth="1"/>
    <col min="29" max="29" width="1.44140625" style="5" customWidth="1"/>
    <col min="30" max="30" width="10.77734375" style="5" customWidth="1"/>
    <col min="31" max="31" width="2.77734375" style="5" customWidth="1"/>
    <col min="32" max="32" width="11.5546875" style="4" bestFit="1" customWidth="1"/>
    <col min="33" max="118" width="13.77734375" style="4"/>
    <col min="119" max="128" width="13.77734375" style="4" customWidth="1"/>
    <col min="129" max="16384" width="13.77734375" style="4"/>
  </cols>
  <sheetData>
    <row r="1" spans="1:32" s="8" customFormat="1" ht="21" customHeight="1" thickBot="1">
      <c r="A1" s="392" t="s">
        <v>299</v>
      </c>
      <c r="B1" s="393"/>
      <c r="C1" s="393"/>
      <c r="D1" s="284"/>
      <c r="E1" s="284"/>
      <c r="F1" s="284"/>
      <c r="G1" s="284"/>
      <c r="H1" s="284"/>
      <c r="I1" s="284"/>
      <c r="J1" s="284"/>
      <c r="K1" s="284"/>
      <c r="L1" s="284"/>
      <c r="M1" s="285"/>
      <c r="N1" s="286"/>
      <c r="O1" s="286"/>
      <c r="P1" s="286"/>
      <c r="Q1" s="286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  <c r="AC1" s="287"/>
      <c r="AD1" s="287"/>
      <c r="AE1" s="288"/>
      <c r="AF1" s="1"/>
    </row>
    <row r="2" spans="1:32" s="3" customFormat="1" ht="21" customHeight="1">
      <c r="A2" s="394" t="s">
        <v>22</v>
      </c>
      <c r="B2" s="395"/>
      <c r="C2" s="395"/>
      <c r="D2" s="396" t="s">
        <v>379</v>
      </c>
      <c r="E2" s="398" t="s">
        <v>380</v>
      </c>
      <c r="F2" s="399"/>
      <c r="G2" s="399"/>
      <c r="H2" s="399"/>
      <c r="I2" s="399"/>
      <c r="J2" s="399"/>
      <c r="K2" s="399"/>
      <c r="L2" s="400" t="s">
        <v>23</v>
      </c>
      <c r="M2" s="400"/>
      <c r="N2" s="386" t="s">
        <v>55</v>
      </c>
      <c r="O2" s="387"/>
      <c r="P2" s="387"/>
      <c r="Q2" s="387"/>
      <c r="R2" s="387"/>
      <c r="S2" s="387"/>
      <c r="T2" s="387"/>
      <c r="U2" s="387"/>
      <c r="V2" s="387"/>
      <c r="W2" s="387"/>
      <c r="X2" s="387"/>
      <c r="Y2" s="387"/>
      <c r="Z2" s="387"/>
      <c r="AA2" s="387"/>
      <c r="AB2" s="387"/>
      <c r="AC2" s="387"/>
      <c r="AD2" s="387"/>
      <c r="AE2" s="388"/>
    </row>
    <row r="3" spans="1:32" s="3" customFormat="1" ht="30.75" customHeight="1" thickBot="1">
      <c r="A3" s="19" t="s">
        <v>1</v>
      </c>
      <c r="B3" s="20" t="s">
        <v>2</v>
      </c>
      <c r="C3" s="20" t="s">
        <v>3</v>
      </c>
      <c r="D3" s="397"/>
      <c r="E3" s="318" t="s">
        <v>114</v>
      </c>
      <c r="F3" s="318" t="s">
        <v>147</v>
      </c>
      <c r="G3" s="318" t="s">
        <v>153</v>
      </c>
      <c r="H3" s="318" t="s">
        <v>104</v>
      </c>
      <c r="I3" s="318" t="s">
        <v>255</v>
      </c>
      <c r="J3" s="318" t="s">
        <v>319</v>
      </c>
      <c r="K3" s="318" t="s">
        <v>106</v>
      </c>
      <c r="L3" s="164" t="s">
        <v>115</v>
      </c>
      <c r="M3" s="112" t="s">
        <v>4</v>
      </c>
      <c r="N3" s="389"/>
      <c r="O3" s="390"/>
      <c r="P3" s="390"/>
      <c r="Q3" s="390"/>
      <c r="R3" s="390"/>
      <c r="S3" s="390"/>
      <c r="T3" s="390"/>
      <c r="U3" s="390"/>
      <c r="V3" s="390"/>
      <c r="W3" s="390"/>
      <c r="X3" s="390"/>
      <c r="Y3" s="390"/>
      <c r="Z3" s="390"/>
      <c r="AA3" s="390"/>
      <c r="AB3" s="390"/>
      <c r="AC3" s="390"/>
      <c r="AD3" s="390"/>
      <c r="AE3" s="391"/>
    </row>
    <row r="4" spans="1:32" s="8" customFormat="1" ht="21" customHeight="1">
      <c r="A4" s="405" t="s">
        <v>33</v>
      </c>
      <c r="B4" s="406"/>
      <c r="C4" s="406"/>
      <c r="D4" s="174">
        <v>63988</v>
      </c>
      <c r="E4" s="174">
        <f>SUM(F4,G4,H4,K4,I4,J4)</f>
        <v>63073.983559999993</v>
      </c>
      <c r="F4" s="174">
        <f>SUM(F5,F101,F113,F169)</f>
        <v>48140.125999999997</v>
      </c>
      <c r="G4" s="174">
        <f>SUM(G5,G101,G113,G169)</f>
        <v>2000</v>
      </c>
      <c r="H4" s="174">
        <f>SUM(H5,H101,H113,H169)</f>
        <v>8132.7495599999993</v>
      </c>
      <c r="I4" s="174">
        <f>SUM(I5,I101,I113,I169,)</f>
        <v>327</v>
      </c>
      <c r="J4" s="174">
        <f>SUM(J5,J101,J113,J169,)</f>
        <v>680</v>
      </c>
      <c r="K4" s="174">
        <f>SUM(K5,K101,K113,K169)</f>
        <v>3794.1080000000002</v>
      </c>
      <c r="L4" s="173">
        <f>E4-D4</f>
        <v>-914.0164400000067</v>
      </c>
      <c r="M4" s="175">
        <f>IF(D4=0,0,L4/D4)</f>
        <v>-1.4284185159717551E-2</v>
      </c>
      <c r="N4" s="176" t="s">
        <v>130</v>
      </c>
      <c r="O4" s="177"/>
      <c r="P4" s="177"/>
      <c r="Q4" s="177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>
        <f>SUM(AD5,AD101,AD113,AD169)</f>
        <v>63073614</v>
      </c>
      <c r="AE4" s="179" t="s">
        <v>25</v>
      </c>
      <c r="AF4" s="2"/>
    </row>
    <row r="5" spans="1:32" s="8" customFormat="1" ht="21" customHeight="1">
      <c r="A5" s="117" t="s">
        <v>6</v>
      </c>
      <c r="B5" s="407" t="s">
        <v>7</v>
      </c>
      <c r="C5" s="408"/>
      <c r="D5" s="171">
        <f t="shared" ref="D5:I5" si="0">SUM(D6,D63,D72)</f>
        <v>47524</v>
      </c>
      <c r="E5" s="171">
        <f t="shared" si="0"/>
        <v>46341.399999999994</v>
      </c>
      <c r="F5" s="171">
        <f t="shared" si="0"/>
        <v>38962.859999999993</v>
      </c>
      <c r="G5" s="171">
        <f t="shared" si="0"/>
        <v>1870</v>
      </c>
      <c r="H5" s="171">
        <f t="shared" si="0"/>
        <v>1716.89456</v>
      </c>
      <c r="I5" s="171">
        <f t="shared" si="0"/>
        <v>0</v>
      </c>
      <c r="J5" s="171"/>
      <c r="K5" s="171">
        <f>SUM(K6,K63,K72)</f>
        <v>3791.1000000000004</v>
      </c>
      <c r="L5" s="113">
        <f>E5-D5</f>
        <v>-1182.6000000000058</v>
      </c>
      <c r="M5" s="180">
        <f>IF(D5=0,0,L5/D5)</f>
        <v>-2.4884269000925972E-2</v>
      </c>
      <c r="N5" s="194" t="s">
        <v>129</v>
      </c>
      <c r="O5" s="194"/>
      <c r="P5" s="194"/>
      <c r="Q5" s="194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>
        <f>SUM(AD6,AD63,AD72)</f>
        <v>46340500</v>
      </c>
      <c r="AE5" s="32" t="s">
        <v>25</v>
      </c>
      <c r="AF5" s="2"/>
    </row>
    <row r="6" spans="1:32" s="8" customFormat="1" ht="21" customHeight="1">
      <c r="A6" s="42"/>
      <c r="B6" s="319" t="s">
        <v>8</v>
      </c>
      <c r="C6" s="182" t="s">
        <v>5</v>
      </c>
      <c r="D6" s="183">
        <v>41373</v>
      </c>
      <c r="E6" s="181">
        <f>SUM(E7,E13,E36,E44,E60)</f>
        <v>39779.399999999994</v>
      </c>
      <c r="F6" s="181">
        <f>F7+F13+F36+F44</f>
        <v>34118.299999999996</v>
      </c>
      <c r="G6" s="181">
        <f>SUM(G7,G13,G36,G44,G60)</f>
        <v>1870</v>
      </c>
      <c r="H6" s="181">
        <f>SUM(H7,H13,H36,H44)</f>
        <v>0</v>
      </c>
      <c r="I6" s="181">
        <v>0</v>
      </c>
      <c r="J6" s="181">
        <f>SUM(J7,J13,J36,J44)</f>
        <v>0</v>
      </c>
      <c r="K6" s="181">
        <f>SUM(K7,K13,K36,K44)</f>
        <v>3791.1000000000004</v>
      </c>
      <c r="L6" s="184">
        <f>E6-D6</f>
        <v>-1593.6000000000058</v>
      </c>
      <c r="M6" s="185">
        <f>IF(D6=0,0,L6/D6)</f>
        <v>-3.851787397578145E-2</v>
      </c>
      <c r="N6" s="324" t="s">
        <v>128</v>
      </c>
      <c r="O6" s="324"/>
      <c r="P6" s="324"/>
      <c r="Q6" s="324"/>
      <c r="R6" s="323"/>
      <c r="S6" s="323"/>
      <c r="T6" s="323"/>
      <c r="U6" s="323"/>
      <c r="V6" s="323"/>
      <c r="W6" s="323"/>
      <c r="X6" s="323"/>
      <c r="Y6" s="323"/>
      <c r="Z6" s="323"/>
      <c r="AA6" s="323"/>
      <c r="AB6" s="323"/>
      <c r="AC6" s="323"/>
      <c r="AD6" s="323">
        <f>SUM(AD7,AD13,AD36,AD44,AD60)</f>
        <v>39779400</v>
      </c>
      <c r="AE6" s="186" t="s">
        <v>25</v>
      </c>
      <c r="AF6" s="2"/>
    </row>
    <row r="7" spans="1:32" s="8" customFormat="1" ht="21" customHeight="1">
      <c r="A7" s="42"/>
      <c r="B7" s="320"/>
      <c r="C7" s="319" t="s">
        <v>34</v>
      </c>
      <c r="D7" s="167">
        <v>25601</v>
      </c>
      <c r="E7" s="119">
        <f>F7</f>
        <v>24813</v>
      </c>
      <c r="F7" s="119">
        <f>AD7/1000</f>
        <v>24813</v>
      </c>
      <c r="G7" s="119">
        <v>0</v>
      </c>
      <c r="H7" s="119">
        <v>0</v>
      </c>
      <c r="I7" s="119">
        <v>0</v>
      </c>
      <c r="J7" s="119">
        <v>0</v>
      </c>
      <c r="K7" s="119">
        <v>0</v>
      </c>
      <c r="L7" s="118">
        <f>E7-D7</f>
        <v>-788</v>
      </c>
      <c r="M7" s="125">
        <f>IF(D7=0,0,L7/D7)</f>
        <v>-3.07800476543885E-2</v>
      </c>
      <c r="N7" s="324" t="s">
        <v>79</v>
      </c>
      <c r="O7" s="324"/>
      <c r="P7" s="196"/>
      <c r="Q7" s="196"/>
      <c r="R7" s="196"/>
      <c r="S7" s="196"/>
      <c r="T7" s="195"/>
      <c r="U7" s="195"/>
      <c r="V7" s="195"/>
      <c r="W7" s="323" t="s">
        <v>116</v>
      </c>
      <c r="X7" s="323"/>
      <c r="Y7" s="323"/>
      <c r="Z7" s="323"/>
      <c r="AA7" s="323"/>
      <c r="AB7" s="323"/>
      <c r="AC7" s="187"/>
      <c r="AD7" s="187">
        <f>SUM(AD8:AD12)</f>
        <v>24813000</v>
      </c>
      <c r="AE7" s="186" t="s">
        <v>58</v>
      </c>
      <c r="AF7" s="1"/>
    </row>
    <row r="8" spans="1:32" s="8" customFormat="1" ht="21" customHeight="1">
      <c r="A8" s="42"/>
      <c r="B8" s="320"/>
      <c r="C8" s="320"/>
      <c r="D8" s="165"/>
      <c r="E8" s="216"/>
      <c r="F8" s="216"/>
      <c r="G8" s="216"/>
      <c r="H8" s="216"/>
      <c r="I8" s="216"/>
      <c r="J8" s="216"/>
      <c r="K8" s="216"/>
      <c r="L8" s="114"/>
      <c r="M8" s="74"/>
      <c r="N8" s="72" t="s">
        <v>155</v>
      </c>
      <c r="O8" s="217" t="s">
        <v>190</v>
      </c>
      <c r="P8" s="325"/>
      <c r="Q8" s="325"/>
      <c r="R8" s="72">
        <v>2072000</v>
      </c>
      <c r="S8" s="72"/>
      <c r="T8" s="73" t="s">
        <v>154</v>
      </c>
      <c r="U8" s="73" t="s">
        <v>59</v>
      </c>
      <c r="V8" s="73">
        <v>1</v>
      </c>
      <c r="W8" s="73" t="s">
        <v>57</v>
      </c>
      <c r="X8" s="73" t="s">
        <v>59</v>
      </c>
      <c r="Y8" s="218">
        <v>1</v>
      </c>
      <c r="Z8" s="73" t="s">
        <v>29</v>
      </c>
      <c r="AA8" s="73" t="s">
        <v>149</v>
      </c>
      <c r="AB8" s="325"/>
      <c r="AC8" s="71"/>
      <c r="AD8" s="71">
        <f t="shared" ref="AD8:AD9" si="1">R8*V8*Y8</f>
        <v>2072000</v>
      </c>
      <c r="AE8" s="51" t="s">
        <v>25</v>
      </c>
      <c r="AF8" s="1"/>
    </row>
    <row r="9" spans="1:32" s="8" customFormat="1" ht="21" customHeight="1">
      <c r="A9" s="42"/>
      <c r="B9" s="328"/>
      <c r="C9" s="53"/>
      <c r="D9" s="166"/>
      <c r="E9" s="116"/>
      <c r="F9" s="116"/>
      <c r="G9" s="116"/>
      <c r="H9" s="116"/>
      <c r="I9" s="116"/>
      <c r="J9" s="116"/>
      <c r="K9" s="116"/>
      <c r="L9" s="116"/>
      <c r="M9" s="90"/>
      <c r="N9" s="72"/>
      <c r="O9" s="217" t="s">
        <v>282</v>
      </c>
      <c r="P9" s="325"/>
      <c r="Q9" s="325"/>
      <c r="R9" s="72">
        <v>2139000</v>
      </c>
      <c r="S9" s="72"/>
      <c r="T9" s="73" t="s">
        <v>154</v>
      </c>
      <c r="U9" s="73" t="s">
        <v>59</v>
      </c>
      <c r="V9" s="73">
        <v>1</v>
      </c>
      <c r="W9" s="73" t="s">
        <v>57</v>
      </c>
      <c r="X9" s="73" t="s">
        <v>59</v>
      </c>
      <c r="Y9" s="218">
        <v>8</v>
      </c>
      <c r="Z9" s="73" t="s">
        <v>29</v>
      </c>
      <c r="AA9" s="73" t="s">
        <v>149</v>
      </c>
      <c r="AB9" s="325"/>
      <c r="AC9" s="71"/>
      <c r="AD9" s="71">
        <f t="shared" si="1"/>
        <v>17112000</v>
      </c>
      <c r="AE9" s="51" t="s">
        <v>25</v>
      </c>
      <c r="AF9" s="1"/>
    </row>
    <row r="10" spans="1:32" s="8" customFormat="1" ht="21" customHeight="1">
      <c r="A10" s="42"/>
      <c r="B10" s="328"/>
      <c r="C10" s="320"/>
      <c r="D10" s="165"/>
      <c r="E10" s="114"/>
      <c r="F10" s="114"/>
      <c r="G10" s="114"/>
      <c r="H10" s="114"/>
      <c r="I10" s="114"/>
      <c r="J10" s="114"/>
      <c r="K10" s="114"/>
      <c r="L10" s="114"/>
      <c r="M10" s="74"/>
      <c r="N10" s="72"/>
      <c r="O10" s="217" t="s">
        <v>368</v>
      </c>
      <c r="P10" s="325"/>
      <c r="Q10" s="325"/>
      <c r="R10" s="72">
        <v>1311000</v>
      </c>
      <c r="S10" s="72"/>
      <c r="T10" s="73" t="s">
        <v>58</v>
      </c>
      <c r="U10" s="73" t="s">
        <v>361</v>
      </c>
      <c r="V10" s="73">
        <v>1</v>
      </c>
      <c r="W10" s="73" t="s">
        <v>57</v>
      </c>
      <c r="X10" s="73" t="s">
        <v>361</v>
      </c>
      <c r="Y10" s="218">
        <v>1</v>
      </c>
      <c r="Z10" s="73" t="s">
        <v>362</v>
      </c>
      <c r="AA10" s="73" t="s">
        <v>54</v>
      </c>
      <c r="AB10" s="325"/>
      <c r="AC10" s="71"/>
      <c r="AD10" s="71">
        <v>1311000</v>
      </c>
      <c r="AE10" s="51" t="s">
        <v>25</v>
      </c>
      <c r="AF10" s="1"/>
    </row>
    <row r="11" spans="1:32" s="8" customFormat="1" ht="21" customHeight="1">
      <c r="A11" s="42"/>
      <c r="B11" s="320"/>
      <c r="C11" s="320"/>
      <c r="D11" s="165"/>
      <c r="E11" s="114"/>
      <c r="F11" s="114"/>
      <c r="G11" s="114"/>
      <c r="H11" s="114"/>
      <c r="I11" s="114"/>
      <c r="J11" s="114"/>
      <c r="K11" s="114"/>
      <c r="L11" s="114"/>
      <c r="M11" s="74"/>
      <c r="N11" s="72"/>
      <c r="O11" s="217">
        <v>3</v>
      </c>
      <c r="P11" s="325"/>
      <c r="Q11" s="325"/>
      <c r="R11" s="72">
        <v>700000</v>
      </c>
      <c r="S11" s="72"/>
      <c r="T11" s="73" t="s">
        <v>58</v>
      </c>
      <c r="U11" s="73" t="s">
        <v>361</v>
      </c>
      <c r="V11" s="73">
        <v>1</v>
      </c>
      <c r="W11" s="73" t="s">
        <v>57</v>
      </c>
      <c r="X11" s="73" t="s">
        <v>361</v>
      </c>
      <c r="Y11" s="218">
        <v>1</v>
      </c>
      <c r="Z11" s="73" t="s">
        <v>362</v>
      </c>
      <c r="AA11" s="73" t="s">
        <v>54</v>
      </c>
      <c r="AB11" s="325"/>
      <c r="AC11" s="71"/>
      <c r="AD11" s="71">
        <v>700000</v>
      </c>
      <c r="AE11" s="51" t="s">
        <v>25</v>
      </c>
      <c r="AF11" s="1"/>
    </row>
    <row r="12" spans="1:32" s="8" customFormat="1" ht="21" customHeight="1">
      <c r="A12" s="42"/>
      <c r="B12" s="320"/>
      <c r="C12" s="320"/>
      <c r="D12" s="165"/>
      <c r="E12" s="114"/>
      <c r="F12" s="114"/>
      <c r="G12" s="114"/>
      <c r="H12" s="114"/>
      <c r="I12" s="114"/>
      <c r="J12" s="114"/>
      <c r="K12" s="114"/>
      <c r="L12" s="114"/>
      <c r="M12" s="74"/>
      <c r="N12" s="72"/>
      <c r="O12" s="217" t="s">
        <v>369</v>
      </c>
      <c r="P12" s="325"/>
      <c r="Q12" s="325"/>
      <c r="R12" s="72">
        <v>1809000</v>
      </c>
      <c r="S12" s="72"/>
      <c r="T12" s="73" t="s">
        <v>58</v>
      </c>
      <c r="U12" s="73" t="s">
        <v>361</v>
      </c>
      <c r="V12" s="73">
        <v>1</v>
      </c>
      <c r="W12" s="73" t="s">
        <v>57</v>
      </c>
      <c r="X12" s="73" t="s">
        <v>361</v>
      </c>
      <c r="Y12" s="218">
        <v>2</v>
      </c>
      <c r="Z12" s="73" t="s">
        <v>362</v>
      </c>
      <c r="AA12" s="73" t="s">
        <v>54</v>
      </c>
      <c r="AB12" s="325"/>
      <c r="AC12" s="71"/>
      <c r="AD12" s="71">
        <v>3618000</v>
      </c>
      <c r="AE12" s="51" t="s">
        <v>25</v>
      </c>
      <c r="AF12" s="1"/>
    </row>
    <row r="13" spans="1:32" s="8" customFormat="1" ht="21" customHeight="1">
      <c r="A13" s="42"/>
      <c r="B13" s="320"/>
      <c r="C13" s="319" t="s">
        <v>35</v>
      </c>
      <c r="D13" s="167">
        <v>9640</v>
      </c>
      <c r="E13" s="119">
        <f>F13+G13+H13+K13</f>
        <v>9087.23</v>
      </c>
      <c r="F13" s="119">
        <f>SUM(명절휴가비,AD18,AD27)/1000</f>
        <v>3901.37</v>
      </c>
      <c r="G13" s="119">
        <f>SUM(AD31)/1000</f>
        <v>1670</v>
      </c>
      <c r="H13" s="119">
        <v>0</v>
      </c>
      <c r="I13" s="119">
        <v>0</v>
      </c>
      <c r="J13" s="119">
        <v>0</v>
      </c>
      <c r="K13" s="119">
        <f>SUM(연장근로수당)/1000</f>
        <v>3515.86</v>
      </c>
      <c r="L13" s="118">
        <f>E13-D13</f>
        <v>-552.77000000000044</v>
      </c>
      <c r="M13" s="125">
        <f>IF(D13=0,0,L13/D13)</f>
        <v>-5.7341286307053985E-2</v>
      </c>
      <c r="N13" s="103" t="s">
        <v>36</v>
      </c>
      <c r="O13" s="324"/>
      <c r="P13" s="196"/>
      <c r="Q13" s="196"/>
      <c r="R13" s="196"/>
      <c r="S13" s="196"/>
      <c r="T13" s="195"/>
      <c r="U13" s="195"/>
      <c r="V13" s="195"/>
      <c r="W13" s="323" t="s">
        <v>116</v>
      </c>
      <c r="X13" s="323"/>
      <c r="Y13" s="323"/>
      <c r="Z13" s="323"/>
      <c r="AA13" s="323"/>
      <c r="AB13" s="323"/>
      <c r="AC13" s="187"/>
      <c r="AD13" s="187">
        <f>SUM(명절휴가비,연장근로수당,AD18,AD31,AD27)</f>
        <v>9087230</v>
      </c>
      <c r="AE13" s="186" t="s">
        <v>58</v>
      </c>
      <c r="AF13" s="1"/>
    </row>
    <row r="14" spans="1:32" s="8" customFormat="1" ht="21" customHeight="1">
      <c r="A14" s="42"/>
      <c r="B14" s="320"/>
      <c r="C14" s="320"/>
      <c r="D14" s="165"/>
      <c r="E14" s="114"/>
      <c r="F14" s="114"/>
      <c r="G14" s="114"/>
      <c r="H14" s="114"/>
      <c r="I14" s="114"/>
      <c r="J14" s="114"/>
      <c r="K14" s="114"/>
      <c r="L14" s="114"/>
      <c r="M14" s="74"/>
      <c r="N14" s="322" t="s">
        <v>157</v>
      </c>
      <c r="O14" s="326"/>
      <c r="P14" s="326"/>
      <c r="Q14" s="326"/>
      <c r="R14" s="326"/>
      <c r="S14" s="326"/>
      <c r="T14" s="325"/>
      <c r="U14" s="325"/>
      <c r="V14" s="325"/>
      <c r="W14" s="321" t="s">
        <v>70</v>
      </c>
      <c r="X14" s="321"/>
      <c r="Y14" s="321"/>
      <c r="Z14" s="321"/>
      <c r="AA14" s="321"/>
      <c r="AB14" s="321"/>
      <c r="AC14" s="76" t="s">
        <v>83</v>
      </c>
      <c r="AD14" s="76">
        <f>SUM(AD15:AD16)</f>
        <v>2526600</v>
      </c>
      <c r="AE14" s="77" t="s">
        <v>58</v>
      </c>
      <c r="AF14" s="14"/>
    </row>
    <row r="15" spans="1:32" s="8" customFormat="1" ht="21" customHeight="1">
      <c r="A15" s="42"/>
      <c r="B15" s="320"/>
      <c r="C15" s="320"/>
      <c r="D15" s="165"/>
      <c r="E15" s="114"/>
      <c r="F15" s="114"/>
      <c r="G15" s="114"/>
      <c r="H15" s="114"/>
      <c r="I15" s="114"/>
      <c r="J15" s="114"/>
      <c r="K15" s="114"/>
      <c r="L15" s="114"/>
      <c r="M15" s="74"/>
      <c r="N15" s="223" t="s">
        <v>198</v>
      </c>
      <c r="O15" s="228" t="str">
        <f>O8</f>
        <v>7호</v>
      </c>
      <c r="P15" s="326"/>
      <c r="Q15" s="326"/>
      <c r="R15" s="72">
        <v>2072000</v>
      </c>
      <c r="S15" s="72"/>
      <c r="T15" s="73" t="s">
        <v>154</v>
      </c>
      <c r="U15" s="73" t="s">
        <v>59</v>
      </c>
      <c r="V15" s="219">
        <v>1</v>
      </c>
      <c r="W15" s="73" t="s">
        <v>59</v>
      </c>
      <c r="X15" s="220">
        <v>0.6</v>
      </c>
      <c r="Y15" s="221">
        <v>1</v>
      </c>
      <c r="Z15" s="222" t="s">
        <v>156</v>
      </c>
      <c r="AA15" s="73" t="s">
        <v>149</v>
      </c>
      <c r="AB15" s="325"/>
      <c r="AC15" s="71"/>
      <c r="AD15" s="71">
        <f t="shared" ref="AD15" si="2">R15*V15*X15*Y15</f>
        <v>1243200</v>
      </c>
      <c r="AE15" s="51" t="s">
        <v>154</v>
      </c>
      <c r="AF15" s="14"/>
    </row>
    <row r="16" spans="1:32" s="8" customFormat="1" ht="21" customHeight="1">
      <c r="A16" s="42"/>
      <c r="B16" s="320"/>
      <c r="C16" s="320"/>
      <c r="D16" s="165"/>
      <c r="E16" s="114"/>
      <c r="F16" s="114"/>
      <c r="G16" s="114"/>
      <c r="H16" s="114"/>
      <c r="I16" s="114"/>
      <c r="J16" s="114"/>
      <c r="K16" s="114"/>
      <c r="L16" s="114"/>
      <c r="M16" s="74"/>
      <c r="N16" s="326" t="s">
        <v>199</v>
      </c>
      <c r="O16" s="228" t="str">
        <f>O9</f>
        <v>8호</v>
      </c>
      <c r="P16" s="326"/>
      <c r="Q16" s="326"/>
      <c r="R16" s="72">
        <f>R9</f>
        <v>2139000</v>
      </c>
      <c r="S16" s="72"/>
      <c r="T16" s="73" t="s">
        <v>154</v>
      </c>
      <c r="U16" s="73" t="s">
        <v>59</v>
      </c>
      <c r="V16" s="219">
        <v>1</v>
      </c>
      <c r="W16" s="73" t="s">
        <v>59</v>
      </c>
      <c r="X16" s="220">
        <v>0.6</v>
      </c>
      <c r="Y16" s="221">
        <v>1</v>
      </c>
      <c r="Z16" s="222" t="s">
        <v>29</v>
      </c>
      <c r="AA16" s="73" t="s">
        <v>149</v>
      </c>
      <c r="AB16" s="325"/>
      <c r="AC16" s="71"/>
      <c r="AD16" s="71">
        <f>R16*V16*X16*Y16</f>
        <v>1283400</v>
      </c>
      <c r="AE16" s="51" t="s">
        <v>154</v>
      </c>
      <c r="AF16" s="14"/>
    </row>
    <row r="17" spans="1:32" s="8" customFormat="1" ht="21" customHeight="1">
      <c r="A17" s="42"/>
      <c r="B17" s="320"/>
      <c r="C17" s="320"/>
      <c r="D17" s="165"/>
      <c r="E17" s="114"/>
      <c r="F17" s="114"/>
      <c r="G17" s="114"/>
      <c r="H17" s="114"/>
      <c r="I17" s="114"/>
      <c r="J17" s="114"/>
      <c r="K17" s="114"/>
      <c r="L17" s="114"/>
      <c r="M17" s="74"/>
      <c r="N17" s="326"/>
      <c r="O17" s="228"/>
      <c r="P17" s="326"/>
      <c r="Q17" s="326"/>
      <c r="R17" s="72"/>
      <c r="S17" s="72"/>
      <c r="T17" s="73"/>
      <c r="U17" s="73"/>
      <c r="V17" s="219"/>
      <c r="W17" s="73"/>
      <c r="X17" s="220"/>
      <c r="Y17" s="221"/>
      <c r="Z17" s="222"/>
      <c r="AA17" s="73"/>
      <c r="AB17" s="325"/>
      <c r="AC17" s="71"/>
      <c r="AD17" s="71"/>
      <c r="AE17" s="51"/>
      <c r="AF17" s="14"/>
    </row>
    <row r="18" spans="1:32" s="8" customFormat="1" ht="21" customHeight="1">
      <c r="A18" s="42"/>
      <c r="B18" s="320"/>
      <c r="C18" s="320"/>
      <c r="D18" s="165"/>
      <c r="E18" s="114"/>
      <c r="F18" s="114"/>
      <c r="G18" s="114"/>
      <c r="H18" s="114"/>
      <c r="I18" s="114"/>
      <c r="J18" s="114"/>
      <c r="K18" s="114"/>
      <c r="L18" s="114"/>
      <c r="M18" s="74"/>
      <c r="N18" s="322" t="s">
        <v>196</v>
      </c>
      <c r="O18" s="228"/>
      <c r="P18" s="326"/>
      <c r="Q18" s="326"/>
      <c r="R18" s="72"/>
      <c r="S18" s="72"/>
      <c r="T18" s="73"/>
      <c r="U18" s="73"/>
      <c r="V18" s="219"/>
      <c r="W18" s="321" t="s">
        <v>70</v>
      </c>
      <c r="X18" s="321"/>
      <c r="Y18" s="321"/>
      <c r="Z18" s="321"/>
      <c r="AA18" s="321"/>
      <c r="AB18" s="321"/>
      <c r="AC18" s="76" t="s">
        <v>63</v>
      </c>
      <c r="AD18" s="76">
        <f>SUM(AD19:AD19)</f>
        <v>600000</v>
      </c>
      <c r="AE18" s="77" t="s">
        <v>58</v>
      </c>
      <c r="AF18" s="14"/>
    </row>
    <row r="19" spans="1:32" s="8" customFormat="1" ht="21" customHeight="1">
      <c r="A19" s="42"/>
      <c r="B19" s="320"/>
      <c r="C19" s="320"/>
      <c r="D19" s="165"/>
      <c r="E19" s="114"/>
      <c r="F19" s="114"/>
      <c r="G19" s="114"/>
      <c r="H19" s="114"/>
      <c r="I19" s="114"/>
      <c r="J19" s="114"/>
      <c r="K19" s="114"/>
      <c r="L19" s="114"/>
      <c r="M19" s="74"/>
      <c r="N19" s="326" t="s">
        <v>287</v>
      </c>
      <c r="O19" s="228"/>
      <c r="P19" s="326"/>
      <c r="Q19" s="326"/>
      <c r="R19" s="72">
        <v>60000</v>
      </c>
      <c r="S19" s="72"/>
      <c r="T19" s="73" t="s">
        <v>187</v>
      </c>
      <c r="U19" s="73"/>
      <c r="V19" s="219"/>
      <c r="W19" s="73"/>
      <c r="X19" s="220"/>
      <c r="Y19" s="221">
        <v>10</v>
      </c>
      <c r="Z19" s="222" t="s">
        <v>200</v>
      </c>
      <c r="AA19" s="73"/>
      <c r="AB19" s="325"/>
      <c r="AC19" s="71"/>
      <c r="AD19" s="71">
        <f>R19*Y19</f>
        <v>600000</v>
      </c>
      <c r="AE19" s="51" t="s">
        <v>201</v>
      </c>
      <c r="AF19" s="14"/>
    </row>
    <row r="20" spans="1:32" s="8" customFormat="1" ht="21" customHeight="1">
      <c r="A20" s="42"/>
      <c r="B20" s="320"/>
      <c r="C20" s="320"/>
      <c r="D20" s="165"/>
      <c r="E20" s="114"/>
      <c r="F20" s="114"/>
      <c r="G20" s="114"/>
      <c r="H20" s="114"/>
      <c r="I20" s="114"/>
      <c r="J20" s="114"/>
      <c r="K20" s="114"/>
      <c r="L20" s="114"/>
      <c r="M20" s="74"/>
      <c r="N20" s="326"/>
      <c r="O20" s="326"/>
      <c r="P20" s="326"/>
      <c r="Q20" s="326"/>
      <c r="R20" s="326"/>
      <c r="S20" s="326"/>
      <c r="T20" s="325"/>
      <c r="U20" s="325"/>
      <c r="V20" s="325"/>
      <c r="W20" s="325"/>
      <c r="X20" s="325"/>
      <c r="Y20" s="325"/>
      <c r="Z20" s="325"/>
      <c r="AA20" s="325"/>
      <c r="AB20" s="325"/>
      <c r="AC20" s="71"/>
      <c r="AD20" s="71"/>
      <c r="AE20" s="51"/>
      <c r="AF20" s="14"/>
    </row>
    <row r="21" spans="1:32" s="8" customFormat="1" ht="21" customHeight="1">
      <c r="A21" s="42"/>
      <c r="B21" s="320"/>
      <c r="C21" s="320"/>
      <c r="D21" s="165"/>
      <c r="E21" s="114"/>
      <c r="F21" s="114"/>
      <c r="G21" s="114"/>
      <c r="H21" s="114"/>
      <c r="I21" s="114"/>
      <c r="J21" s="114"/>
      <c r="K21" s="114"/>
      <c r="L21" s="114"/>
      <c r="M21" s="74"/>
      <c r="N21" s="322" t="s">
        <v>372</v>
      </c>
      <c r="O21" s="326"/>
      <c r="P21" s="326"/>
      <c r="Q21" s="326"/>
      <c r="R21" s="326"/>
      <c r="S21" s="326"/>
      <c r="T21" s="325"/>
      <c r="U21" s="325"/>
      <c r="V21" s="325"/>
      <c r="W21" s="321" t="s">
        <v>70</v>
      </c>
      <c r="X21" s="321"/>
      <c r="Y21" s="321"/>
      <c r="Z21" s="321"/>
      <c r="AA21" s="321"/>
      <c r="AB21" s="321"/>
      <c r="AC21" s="76" t="s">
        <v>83</v>
      </c>
      <c r="AD21" s="76">
        <f>AD22+AD23+AD24+AD25</f>
        <v>3515860</v>
      </c>
      <c r="AE21" s="77" t="s">
        <v>58</v>
      </c>
      <c r="AF21" s="14"/>
    </row>
    <row r="22" spans="1:32" s="8" customFormat="1" ht="21" customHeight="1">
      <c r="A22" s="42"/>
      <c r="B22" s="320"/>
      <c r="C22" s="320"/>
      <c r="D22" s="165"/>
      <c r="E22" s="114"/>
      <c r="F22" s="114"/>
      <c r="G22" s="114"/>
      <c r="H22" s="114"/>
      <c r="I22" s="114"/>
      <c r="J22" s="114"/>
      <c r="K22" s="114"/>
      <c r="L22" s="114"/>
      <c r="M22" s="74"/>
      <c r="N22" s="326" t="s">
        <v>373</v>
      </c>
      <c r="O22" s="228" t="str">
        <f>O8</f>
        <v>7호</v>
      </c>
      <c r="P22" s="325"/>
      <c r="Q22" s="325"/>
      <c r="R22" s="72">
        <f>R8</f>
        <v>2072000</v>
      </c>
      <c r="S22" s="73" t="s">
        <v>58</v>
      </c>
      <c r="T22" s="73" t="s">
        <v>59</v>
      </c>
      <c r="U22" s="213">
        <v>25</v>
      </c>
      <c r="V22" s="78" t="s">
        <v>59</v>
      </c>
      <c r="W22" s="214">
        <v>1</v>
      </c>
      <c r="X22" s="215">
        <v>1.5</v>
      </c>
      <c r="Y22" s="204" t="s">
        <v>71</v>
      </c>
      <c r="Z22" s="204">
        <v>209</v>
      </c>
      <c r="AA22" s="204" t="s">
        <v>54</v>
      </c>
      <c r="AB22" s="325"/>
      <c r="AC22" s="71"/>
      <c r="AD22" s="71">
        <f>ROUNDDOWN(R22*U22*X22/Z22,-1)*W22</f>
        <v>371770</v>
      </c>
      <c r="AE22" s="51" t="s">
        <v>58</v>
      </c>
      <c r="AF22" s="14"/>
    </row>
    <row r="23" spans="1:32" s="8" customFormat="1" ht="21" customHeight="1">
      <c r="A23" s="42"/>
      <c r="B23" s="320"/>
      <c r="C23" s="320"/>
      <c r="D23" s="165"/>
      <c r="E23" s="114"/>
      <c r="F23" s="114"/>
      <c r="G23" s="114"/>
      <c r="H23" s="114"/>
      <c r="I23" s="114"/>
      <c r="J23" s="114"/>
      <c r="K23" s="114"/>
      <c r="L23" s="114"/>
      <c r="M23" s="74"/>
      <c r="N23" s="326"/>
      <c r="O23" s="228" t="str">
        <f>O9</f>
        <v>8호</v>
      </c>
      <c r="P23" s="193"/>
      <c r="Q23" s="193"/>
      <c r="R23" s="72">
        <f>R9</f>
        <v>2139000</v>
      </c>
      <c r="S23" s="73" t="s">
        <v>58</v>
      </c>
      <c r="T23" s="73" t="s">
        <v>59</v>
      </c>
      <c r="U23" s="213">
        <v>25</v>
      </c>
      <c r="V23" s="78" t="s">
        <v>59</v>
      </c>
      <c r="W23" s="214">
        <v>5</v>
      </c>
      <c r="X23" s="215">
        <v>1.5</v>
      </c>
      <c r="Y23" s="204" t="s">
        <v>71</v>
      </c>
      <c r="Z23" s="204">
        <v>209</v>
      </c>
      <c r="AA23" s="204" t="s">
        <v>54</v>
      </c>
      <c r="AB23" s="325"/>
      <c r="AC23" s="71"/>
      <c r="AD23" s="71">
        <f>ROUNDDOWN(R23*X23/Z23,-1)*W23*U23</f>
        <v>1918750</v>
      </c>
      <c r="AE23" s="51" t="s">
        <v>58</v>
      </c>
      <c r="AF23" s="14"/>
    </row>
    <row r="24" spans="1:32" s="8" customFormat="1" ht="21" customHeight="1">
      <c r="A24" s="42"/>
      <c r="B24" s="320"/>
      <c r="C24" s="320"/>
      <c r="D24" s="165"/>
      <c r="E24" s="114"/>
      <c r="F24" s="114"/>
      <c r="G24" s="114"/>
      <c r="H24" s="114"/>
      <c r="I24" s="114"/>
      <c r="J24" s="114"/>
      <c r="K24" s="114"/>
      <c r="L24" s="114"/>
      <c r="M24" s="74"/>
      <c r="N24" s="347" t="s">
        <v>406</v>
      </c>
      <c r="O24" s="228" t="str">
        <f>O10</f>
        <v>8호</v>
      </c>
      <c r="P24" s="193"/>
      <c r="Q24" s="193"/>
      <c r="R24" s="72">
        <v>2139000</v>
      </c>
      <c r="S24" s="73" t="s">
        <v>58</v>
      </c>
      <c r="T24" s="73" t="s">
        <v>59</v>
      </c>
      <c r="U24" s="213">
        <v>25</v>
      </c>
      <c r="V24" s="78" t="s">
        <v>59</v>
      </c>
      <c r="W24" s="214">
        <v>3</v>
      </c>
      <c r="X24" s="215">
        <v>1.5</v>
      </c>
      <c r="Y24" s="204" t="s">
        <v>71</v>
      </c>
      <c r="Z24" s="204">
        <v>209</v>
      </c>
      <c r="AA24" s="204" t="s">
        <v>54</v>
      </c>
      <c r="AB24" s="340"/>
      <c r="AC24" s="71"/>
      <c r="AD24" s="71">
        <f>ROUNDDOWN(R24*X24/Z24,-1)*W24*U24-133770</f>
        <v>1017480</v>
      </c>
      <c r="AE24" s="51" t="s">
        <v>58</v>
      </c>
      <c r="AF24" s="14"/>
    </row>
    <row r="25" spans="1:32" s="8" customFormat="1" ht="21" customHeight="1">
      <c r="A25" s="42"/>
      <c r="B25" s="320"/>
      <c r="C25" s="320"/>
      <c r="D25" s="165"/>
      <c r="E25" s="114"/>
      <c r="F25" s="114"/>
      <c r="G25" s="114"/>
      <c r="H25" s="114"/>
      <c r="I25" s="114"/>
      <c r="J25" s="114"/>
      <c r="K25" s="114"/>
      <c r="L25" s="114"/>
      <c r="M25" s="74"/>
      <c r="N25" s="326"/>
      <c r="O25" s="228" t="str">
        <f>O10</f>
        <v>8호</v>
      </c>
      <c r="P25" s="193"/>
      <c r="Q25" s="193"/>
      <c r="R25" s="72">
        <v>383790</v>
      </c>
      <c r="S25" s="73" t="s">
        <v>58</v>
      </c>
      <c r="T25" s="73" t="s">
        <v>405</v>
      </c>
      <c r="U25" s="213"/>
      <c r="V25" s="345">
        <v>44590</v>
      </c>
      <c r="W25" s="204" t="s">
        <v>71</v>
      </c>
      <c r="X25" s="346">
        <v>31</v>
      </c>
      <c r="Y25" s="204" t="s">
        <v>361</v>
      </c>
      <c r="Z25" s="204">
        <v>19</v>
      </c>
      <c r="AA25" s="204" t="s">
        <v>54</v>
      </c>
      <c r="AB25" s="340"/>
      <c r="AC25" s="71"/>
      <c r="AD25" s="71">
        <v>207860</v>
      </c>
      <c r="AE25" s="51" t="s">
        <v>58</v>
      </c>
      <c r="AF25" s="14"/>
    </row>
    <row r="26" spans="1:32" s="8" customFormat="1" ht="21" customHeight="1">
      <c r="A26" s="42"/>
      <c r="B26" s="343"/>
      <c r="C26" s="343"/>
      <c r="D26" s="165"/>
      <c r="E26" s="114"/>
      <c r="F26" s="114"/>
      <c r="G26" s="114"/>
      <c r="H26" s="114"/>
      <c r="I26" s="114"/>
      <c r="J26" s="114"/>
      <c r="K26" s="114"/>
      <c r="L26" s="114"/>
      <c r="M26" s="74"/>
      <c r="N26" s="341"/>
      <c r="O26" s="228"/>
      <c r="P26" s="193"/>
      <c r="Q26" s="193"/>
      <c r="R26" s="72"/>
      <c r="S26" s="73"/>
      <c r="T26" s="73"/>
      <c r="U26" s="213"/>
      <c r="V26" s="345"/>
      <c r="W26" s="78"/>
      <c r="X26" s="346"/>
      <c r="Y26" s="204"/>
      <c r="Z26" s="204"/>
      <c r="AA26" s="204"/>
      <c r="AB26" s="340"/>
      <c r="AC26" s="71"/>
      <c r="AD26" s="71"/>
      <c r="AE26" s="51"/>
      <c r="AF26" s="14"/>
    </row>
    <row r="27" spans="1:32" s="8" customFormat="1" ht="21" customHeight="1">
      <c r="A27" s="42"/>
      <c r="B27" s="343"/>
      <c r="C27" s="343"/>
      <c r="D27" s="165"/>
      <c r="E27" s="114"/>
      <c r="F27" s="114"/>
      <c r="G27" s="114"/>
      <c r="H27" s="114"/>
      <c r="I27" s="114"/>
      <c r="J27" s="114"/>
      <c r="K27" s="114"/>
      <c r="L27" s="114"/>
      <c r="M27" s="74"/>
      <c r="N27" s="341"/>
      <c r="O27" s="228"/>
      <c r="P27" s="193"/>
      <c r="Q27" s="193"/>
      <c r="R27" s="72"/>
      <c r="S27" s="73"/>
      <c r="T27" s="73"/>
      <c r="U27" s="213"/>
      <c r="V27" s="78"/>
      <c r="W27" s="342" t="s">
        <v>70</v>
      </c>
      <c r="X27" s="342"/>
      <c r="Y27" s="342"/>
      <c r="Z27" s="342"/>
      <c r="AA27" s="342"/>
      <c r="AB27" s="342"/>
      <c r="AC27" s="76" t="s">
        <v>63</v>
      </c>
      <c r="AD27" s="76">
        <f>AD28+AD29</f>
        <v>774770</v>
      </c>
      <c r="AE27" s="77" t="s">
        <v>58</v>
      </c>
      <c r="AF27" s="14"/>
    </row>
    <row r="28" spans="1:32" s="8" customFormat="1" ht="21" customHeight="1">
      <c r="A28" s="42"/>
      <c r="B28" s="320"/>
      <c r="C28" s="320"/>
      <c r="D28" s="165"/>
      <c r="E28" s="114"/>
      <c r="F28" s="114"/>
      <c r="G28" s="114"/>
      <c r="H28" s="114"/>
      <c r="I28" s="114"/>
      <c r="J28" s="114"/>
      <c r="K28" s="114"/>
      <c r="L28" s="114"/>
      <c r="M28" s="74"/>
      <c r="N28" s="326" t="s">
        <v>370</v>
      </c>
      <c r="O28" s="228" t="str">
        <f>O12</f>
        <v>3호</v>
      </c>
      <c r="P28" s="193"/>
      <c r="Q28" s="193"/>
      <c r="R28" s="72">
        <f>R12</f>
        <v>1809000</v>
      </c>
      <c r="S28" s="73" t="s">
        <v>58</v>
      </c>
      <c r="T28" s="73" t="s">
        <v>59</v>
      </c>
      <c r="U28" s="213">
        <v>25</v>
      </c>
      <c r="V28" s="78" t="s">
        <v>59</v>
      </c>
      <c r="W28" s="214">
        <v>2</v>
      </c>
      <c r="X28" s="215">
        <v>1.5</v>
      </c>
      <c r="Y28" s="204" t="s">
        <v>71</v>
      </c>
      <c r="Z28" s="204">
        <v>209</v>
      </c>
      <c r="AA28" s="204" t="s">
        <v>54</v>
      </c>
      <c r="AB28" s="325"/>
      <c r="AC28" s="71"/>
      <c r="AD28" s="71">
        <f>ROUNDDOWN(R28*U28*X28/Z28,-1)*W28</f>
        <v>649160</v>
      </c>
      <c r="AE28" s="51" t="s">
        <v>58</v>
      </c>
      <c r="AF28" s="14"/>
    </row>
    <row r="29" spans="1:32" s="8" customFormat="1" ht="21" customHeight="1">
      <c r="A29" s="42"/>
      <c r="B29" s="320"/>
      <c r="C29" s="320"/>
      <c r="D29" s="165"/>
      <c r="E29" s="114"/>
      <c r="F29" s="114"/>
      <c r="G29" s="114"/>
      <c r="H29" s="114"/>
      <c r="I29" s="114"/>
      <c r="J29" s="114"/>
      <c r="K29" s="114"/>
      <c r="L29" s="114"/>
      <c r="M29" s="74"/>
      <c r="N29" s="326"/>
      <c r="O29" s="228">
        <v>3</v>
      </c>
      <c r="P29" s="193"/>
      <c r="Q29" s="193"/>
      <c r="R29" s="72">
        <v>1809000</v>
      </c>
      <c r="S29" s="73" t="s">
        <v>58</v>
      </c>
      <c r="T29" s="73" t="s">
        <v>59</v>
      </c>
      <c r="U29" s="213">
        <v>25</v>
      </c>
      <c r="V29" s="78" t="s">
        <v>59</v>
      </c>
      <c r="W29" s="214">
        <v>1</v>
      </c>
      <c r="X29" s="215">
        <v>1.5</v>
      </c>
      <c r="Y29" s="204" t="s">
        <v>71</v>
      </c>
      <c r="Z29" s="204">
        <v>209</v>
      </c>
      <c r="AA29" s="204" t="s">
        <v>399</v>
      </c>
      <c r="AB29" s="340" t="s">
        <v>398</v>
      </c>
      <c r="AC29" s="71"/>
      <c r="AD29" s="71">
        <v>125610</v>
      </c>
      <c r="AE29" s="51" t="s">
        <v>58</v>
      </c>
      <c r="AF29" s="14"/>
    </row>
    <row r="30" spans="1:32" s="8" customFormat="1" ht="21" customHeight="1">
      <c r="A30" s="42"/>
      <c r="B30" s="343"/>
      <c r="C30" s="343"/>
      <c r="D30" s="165"/>
      <c r="E30" s="114"/>
      <c r="F30" s="114"/>
      <c r="G30" s="114"/>
      <c r="H30" s="114"/>
      <c r="I30" s="114"/>
      <c r="J30" s="114"/>
      <c r="K30" s="114"/>
      <c r="L30" s="114"/>
      <c r="M30" s="74"/>
      <c r="N30" s="341"/>
      <c r="O30" s="228"/>
      <c r="P30" s="193"/>
      <c r="Q30" s="193"/>
      <c r="R30" s="72"/>
      <c r="S30" s="73"/>
      <c r="T30" s="73"/>
      <c r="U30" s="213"/>
      <c r="V30" s="78"/>
      <c r="W30" s="214"/>
      <c r="X30" s="215"/>
      <c r="Y30" s="204"/>
      <c r="Z30" s="204"/>
      <c r="AA30" s="204"/>
      <c r="AB30" s="340"/>
      <c r="AC30" s="71"/>
      <c r="AD30" s="71"/>
      <c r="AE30" s="51"/>
      <c r="AF30" s="14"/>
    </row>
    <row r="31" spans="1:32" s="8" customFormat="1" ht="21" customHeight="1">
      <c r="A31" s="42"/>
      <c r="B31" s="320"/>
      <c r="C31" s="320"/>
      <c r="D31" s="165"/>
      <c r="E31" s="114"/>
      <c r="F31" s="114"/>
      <c r="G31" s="114"/>
      <c r="H31" s="114"/>
      <c r="I31" s="114"/>
      <c r="J31" s="114"/>
      <c r="K31" s="114"/>
      <c r="L31" s="114"/>
      <c r="M31" s="74"/>
      <c r="N31" s="322" t="s">
        <v>197</v>
      </c>
      <c r="O31" s="326"/>
      <c r="P31" s="326"/>
      <c r="Q31" s="326"/>
      <c r="R31" s="326"/>
      <c r="S31" s="326"/>
      <c r="T31" s="325"/>
      <c r="U31" s="325"/>
      <c r="V31" s="325"/>
      <c r="W31" s="321" t="s">
        <v>84</v>
      </c>
      <c r="X31" s="321"/>
      <c r="Y31" s="321"/>
      <c r="Z31" s="321"/>
      <c r="AA31" s="321"/>
      <c r="AB31" s="321"/>
      <c r="AC31" s="76" t="s">
        <v>63</v>
      </c>
      <c r="AD31" s="76">
        <f>SUM(AD32:AD35)</f>
        <v>1670000</v>
      </c>
      <c r="AE31" s="77" t="s">
        <v>58</v>
      </c>
      <c r="AF31" s="14"/>
    </row>
    <row r="32" spans="1:32" s="8" customFormat="1" ht="21" customHeight="1">
      <c r="A32" s="42"/>
      <c r="B32" s="320"/>
      <c r="C32" s="320"/>
      <c r="D32" s="165"/>
      <c r="E32" s="114"/>
      <c r="F32" s="114"/>
      <c r="G32" s="114"/>
      <c r="H32" s="114"/>
      <c r="I32" s="114"/>
      <c r="J32" s="114"/>
      <c r="K32" s="114"/>
      <c r="L32" s="114"/>
      <c r="M32" s="74"/>
      <c r="N32" s="326"/>
      <c r="O32" s="326"/>
      <c r="P32" s="326"/>
      <c r="Q32" s="326"/>
      <c r="R32" s="72">
        <v>150000</v>
      </c>
      <c r="S32" s="72"/>
      <c r="T32" s="73" t="s">
        <v>154</v>
      </c>
      <c r="U32" s="73" t="s">
        <v>59</v>
      </c>
      <c r="V32" s="73">
        <v>1</v>
      </c>
      <c r="W32" s="73" t="s">
        <v>57</v>
      </c>
      <c r="X32" s="73" t="s">
        <v>59</v>
      </c>
      <c r="Y32" s="218">
        <v>9</v>
      </c>
      <c r="Z32" s="73" t="s">
        <v>29</v>
      </c>
      <c r="AA32" s="73" t="s">
        <v>149</v>
      </c>
      <c r="AB32" s="325"/>
      <c r="AC32" s="71"/>
      <c r="AD32" s="71">
        <f>R32*V32*Y32</f>
        <v>1350000</v>
      </c>
      <c r="AE32" s="51" t="s">
        <v>25</v>
      </c>
      <c r="AF32" s="14"/>
    </row>
    <row r="33" spans="1:32" s="8" customFormat="1" ht="21" customHeight="1">
      <c r="A33" s="42"/>
      <c r="B33" s="320"/>
      <c r="C33" s="320"/>
      <c r="D33" s="165"/>
      <c r="E33" s="114"/>
      <c r="F33" s="114"/>
      <c r="G33" s="114"/>
      <c r="H33" s="114"/>
      <c r="I33" s="114"/>
      <c r="J33" s="114"/>
      <c r="K33" s="114"/>
      <c r="L33" s="114"/>
      <c r="M33" s="74"/>
      <c r="N33" s="326"/>
      <c r="O33" s="326"/>
      <c r="P33" s="326"/>
      <c r="Q33" s="326"/>
      <c r="R33" s="72">
        <v>90000</v>
      </c>
      <c r="S33" s="72"/>
      <c r="T33" s="73" t="s">
        <v>58</v>
      </c>
      <c r="U33" s="73" t="s">
        <v>59</v>
      </c>
      <c r="V33" s="73">
        <v>1</v>
      </c>
      <c r="W33" s="73" t="s">
        <v>57</v>
      </c>
      <c r="X33" s="73" t="s">
        <v>59</v>
      </c>
      <c r="Y33" s="218">
        <v>1</v>
      </c>
      <c r="Z33" s="73" t="s">
        <v>362</v>
      </c>
      <c r="AA33" s="73" t="s">
        <v>54</v>
      </c>
      <c r="AB33" s="325"/>
      <c r="AC33" s="71"/>
      <c r="AD33" s="71">
        <f>R33*V33*Y33</f>
        <v>90000</v>
      </c>
      <c r="AE33" s="51" t="s">
        <v>58</v>
      </c>
      <c r="AF33" s="14"/>
    </row>
    <row r="34" spans="1:32" s="8" customFormat="1" ht="21" customHeight="1">
      <c r="A34" s="42"/>
      <c r="B34" s="320"/>
      <c r="C34" s="320"/>
      <c r="D34" s="165"/>
      <c r="E34" s="114"/>
      <c r="F34" s="114"/>
      <c r="G34" s="114"/>
      <c r="H34" s="114"/>
      <c r="I34" s="114"/>
      <c r="J34" s="114"/>
      <c r="K34" s="114"/>
      <c r="L34" s="114"/>
      <c r="M34" s="74"/>
      <c r="N34" s="326"/>
      <c r="O34" s="326"/>
      <c r="P34" s="326"/>
      <c r="Q34" s="326"/>
      <c r="R34" s="72">
        <v>30000</v>
      </c>
      <c r="S34" s="72"/>
      <c r="T34" s="73" t="s">
        <v>58</v>
      </c>
      <c r="U34" s="73" t="s">
        <v>59</v>
      </c>
      <c r="V34" s="73">
        <v>1</v>
      </c>
      <c r="W34" s="73" t="s">
        <v>57</v>
      </c>
      <c r="X34" s="73" t="s">
        <v>59</v>
      </c>
      <c r="Y34" s="218">
        <v>1</v>
      </c>
      <c r="Z34" s="73" t="s">
        <v>362</v>
      </c>
      <c r="AA34" s="73" t="s">
        <v>54</v>
      </c>
      <c r="AB34" s="325"/>
      <c r="AC34" s="71"/>
      <c r="AD34" s="71">
        <f>R34*V34*Y34</f>
        <v>30000</v>
      </c>
      <c r="AE34" s="51" t="s">
        <v>58</v>
      </c>
      <c r="AF34" s="14"/>
    </row>
    <row r="35" spans="1:32" s="8" customFormat="1" ht="21" customHeight="1">
      <c r="A35" s="42"/>
      <c r="B35" s="320"/>
      <c r="C35" s="320"/>
      <c r="D35" s="165"/>
      <c r="E35" s="114"/>
      <c r="F35" s="114"/>
      <c r="G35" s="114"/>
      <c r="H35" s="114"/>
      <c r="I35" s="114"/>
      <c r="J35" s="114"/>
      <c r="K35" s="114"/>
      <c r="L35" s="114"/>
      <c r="M35" s="74"/>
      <c r="N35" s="326"/>
      <c r="O35" s="326"/>
      <c r="P35" s="326"/>
      <c r="Q35" s="326"/>
      <c r="R35" s="325">
        <v>100000</v>
      </c>
      <c r="S35" s="325"/>
      <c r="T35" s="73" t="s">
        <v>58</v>
      </c>
      <c r="U35" s="73" t="s">
        <v>59</v>
      </c>
      <c r="V35" s="73">
        <v>1</v>
      </c>
      <c r="W35" s="73" t="s">
        <v>57</v>
      </c>
      <c r="X35" s="73" t="s">
        <v>59</v>
      </c>
      <c r="Y35" s="218">
        <v>2</v>
      </c>
      <c r="Z35" s="73" t="s">
        <v>362</v>
      </c>
      <c r="AA35" s="73" t="s">
        <v>54</v>
      </c>
      <c r="AB35" s="325"/>
      <c r="AC35" s="325"/>
      <c r="AD35" s="325">
        <f>R35*V35*Y35</f>
        <v>200000</v>
      </c>
      <c r="AE35" s="51" t="s">
        <v>58</v>
      </c>
      <c r="AF35" s="14"/>
    </row>
    <row r="36" spans="1:32" s="8" customFormat="1" ht="21" customHeight="1">
      <c r="A36" s="42"/>
      <c r="B36" s="320"/>
      <c r="C36" s="319" t="s">
        <v>9</v>
      </c>
      <c r="D36" s="167">
        <v>2937</v>
      </c>
      <c r="E36" s="119">
        <f>F36+G36+H36+K36</f>
        <v>2601.04</v>
      </c>
      <c r="F36" s="119">
        <f>(AD37+AD38)/1000</f>
        <v>2325.8000000000002</v>
      </c>
      <c r="G36" s="119">
        <v>0</v>
      </c>
      <c r="H36" s="119">
        <v>0</v>
      </c>
      <c r="I36" s="119">
        <v>0</v>
      </c>
      <c r="J36" s="119">
        <v>0</v>
      </c>
      <c r="K36" s="119">
        <f>AD39/1000</f>
        <v>275.24</v>
      </c>
      <c r="L36" s="118">
        <f>E36-D36</f>
        <v>-335.96000000000004</v>
      </c>
      <c r="M36" s="125">
        <f>IF(D36=0,0,L36/D36)</f>
        <v>-0.11438883214164114</v>
      </c>
      <c r="N36" s="103" t="s">
        <v>37</v>
      </c>
      <c r="O36" s="324"/>
      <c r="P36" s="196"/>
      <c r="Q36" s="196"/>
      <c r="R36" s="196"/>
      <c r="S36" s="196"/>
      <c r="T36" s="195"/>
      <c r="U36" s="195"/>
      <c r="V36" s="195"/>
      <c r="W36" s="323" t="s">
        <v>84</v>
      </c>
      <c r="X36" s="323"/>
      <c r="Y36" s="323"/>
      <c r="Z36" s="323"/>
      <c r="AA36" s="323"/>
      <c r="AB36" s="323"/>
      <c r="AC36" s="187" t="s">
        <v>191</v>
      </c>
      <c r="AD36" s="187">
        <f>AD37+AD38+AD39+AD40</f>
        <v>2601040</v>
      </c>
      <c r="AE36" s="186" t="s">
        <v>192</v>
      </c>
      <c r="AF36" s="2"/>
    </row>
    <row r="37" spans="1:32" s="8" customFormat="1" ht="21" customHeight="1">
      <c r="A37" s="42"/>
      <c r="B37" s="320"/>
      <c r="C37" s="320"/>
      <c r="D37" s="168"/>
      <c r="E37" s="114"/>
      <c r="F37" s="114"/>
      <c r="G37" s="114"/>
      <c r="H37" s="114"/>
      <c r="I37" s="114"/>
      <c r="J37" s="114"/>
      <c r="K37" s="114"/>
      <c r="L37" s="120"/>
      <c r="M37" s="74"/>
      <c r="N37" s="326" t="s">
        <v>202</v>
      </c>
      <c r="O37" s="326"/>
      <c r="P37" s="326"/>
      <c r="Q37" s="326"/>
      <c r="R37" s="325">
        <f>AD7+명절휴가비+AD18+AD31</f>
        <v>29609600</v>
      </c>
      <c r="S37" s="325"/>
      <c r="T37" s="204" t="s">
        <v>58</v>
      </c>
      <c r="U37" s="204" t="s">
        <v>71</v>
      </c>
      <c r="V37" s="81">
        <v>10</v>
      </c>
      <c r="W37" s="78" t="s">
        <v>0</v>
      </c>
      <c r="X37" s="325"/>
      <c r="Y37" s="325"/>
      <c r="Z37" s="325"/>
      <c r="AA37" s="325" t="s">
        <v>54</v>
      </c>
      <c r="AB37" s="325"/>
      <c r="AC37" s="71"/>
      <c r="AD37" s="71">
        <v>1953540</v>
      </c>
      <c r="AE37" s="51" t="s">
        <v>58</v>
      </c>
      <c r="AF37" s="2"/>
    </row>
    <row r="38" spans="1:32" s="8" customFormat="1" ht="21" customHeight="1">
      <c r="A38" s="42"/>
      <c r="B38" s="343"/>
      <c r="C38" s="343"/>
      <c r="D38" s="168"/>
      <c r="E38" s="114"/>
      <c r="F38" s="114"/>
      <c r="G38" s="114"/>
      <c r="H38" s="114"/>
      <c r="I38" s="114"/>
      <c r="J38" s="114"/>
      <c r="K38" s="114"/>
      <c r="L38" s="120"/>
      <c r="M38" s="74"/>
      <c r="N38" s="341" t="s">
        <v>202</v>
      </c>
      <c r="O38" s="341"/>
      <c r="P38" s="341"/>
      <c r="Q38" s="341"/>
      <c r="R38" s="340">
        <v>2233580</v>
      </c>
      <c r="S38" s="340"/>
      <c r="T38" s="204" t="s">
        <v>58</v>
      </c>
      <c r="U38" s="204" t="s">
        <v>71</v>
      </c>
      <c r="V38" s="81">
        <v>12</v>
      </c>
      <c r="W38" s="78" t="s">
        <v>400</v>
      </c>
      <c r="X38" s="340" t="s">
        <v>401</v>
      </c>
      <c r="Y38" s="340"/>
      <c r="Z38" s="340"/>
      <c r="AA38" s="340" t="s">
        <v>54</v>
      </c>
      <c r="AB38" s="340"/>
      <c r="AC38" s="71"/>
      <c r="AD38" s="71">
        <v>372260</v>
      </c>
      <c r="AE38" s="51" t="s">
        <v>58</v>
      </c>
      <c r="AF38" s="2"/>
    </row>
    <row r="39" spans="1:32" s="8" customFormat="1" ht="21" customHeight="1">
      <c r="A39" s="42"/>
      <c r="B39" s="320"/>
      <c r="C39" s="320"/>
      <c r="D39" s="168"/>
      <c r="E39" s="114"/>
      <c r="F39" s="114"/>
      <c r="G39" s="114"/>
      <c r="H39" s="114"/>
      <c r="I39" s="114"/>
      <c r="J39" s="114"/>
      <c r="K39" s="114"/>
      <c r="L39" s="120"/>
      <c r="M39" s="74"/>
      <c r="N39" s="326" t="s">
        <v>203</v>
      </c>
      <c r="O39" s="326"/>
      <c r="P39" s="326"/>
      <c r="Q39" s="326"/>
      <c r="R39" s="325">
        <v>3302880</v>
      </c>
      <c r="S39" s="325"/>
      <c r="T39" s="204" t="s">
        <v>58</v>
      </c>
      <c r="U39" s="204" t="s">
        <v>71</v>
      </c>
      <c r="V39" s="81">
        <v>12</v>
      </c>
      <c r="W39" s="78" t="s">
        <v>200</v>
      </c>
      <c r="X39" s="325"/>
      <c r="Y39" s="325"/>
      <c r="Z39" s="325"/>
      <c r="AA39" s="325" t="s">
        <v>149</v>
      </c>
      <c r="AB39" s="325"/>
      <c r="AC39" s="71"/>
      <c r="AD39" s="71">
        <v>275240</v>
      </c>
      <c r="AE39" s="51" t="s">
        <v>201</v>
      </c>
      <c r="AF39" s="2"/>
    </row>
    <row r="40" spans="1:32" s="8" customFormat="1" ht="7.5" customHeight="1">
      <c r="A40" s="42"/>
      <c r="B40" s="320"/>
      <c r="C40" s="320"/>
      <c r="D40" s="168"/>
      <c r="E40" s="114"/>
      <c r="F40" s="114"/>
      <c r="G40" s="114"/>
      <c r="H40" s="114"/>
      <c r="I40" s="114"/>
      <c r="J40" s="114"/>
      <c r="K40" s="114"/>
      <c r="L40" s="120"/>
      <c r="M40" s="74"/>
      <c r="N40" s="326"/>
      <c r="O40" s="326"/>
      <c r="P40" s="326"/>
      <c r="Q40" s="326"/>
      <c r="R40" s="325"/>
      <c r="S40" s="325"/>
      <c r="T40" s="204"/>
      <c r="U40" s="204"/>
      <c r="V40" s="81"/>
      <c r="W40" s="78"/>
      <c r="X40" s="325"/>
      <c r="Y40" s="325"/>
      <c r="Z40" s="325"/>
      <c r="AA40" s="325"/>
      <c r="AB40" s="325"/>
      <c r="AC40" s="71"/>
      <c r="AD40" s="71"/>
      <c r="AE40" s="51"/>
      <c r="AF40" s="2"/>
    </row>
    <row r="41" spans="1:32" s="8" customFormat="1" ht="7.5" customHeight="1">
      <c r="A41" s="42"/>
      <c r="B41" s="320"/>
      <c r="C41" s="320"/>
      <c r="D41" s="169"/>
      <c r="E41" s="114"/>
      <c r="F41" s="114"/>
      <c r="G41" s="114"/>
      <c r="H41" s="114"/>
      <c r="I41" s="114"/>
      <c r="J41" s="114"/>
      <c r="K41" s="114"/>
      <c r="L41" s="120"/>
      <c r="M41" s="74"/>
      <c r="N41" s="331"/>
      <c r="O41" s="194"/>
      <c r="P41" s="194"/>
      <c r="Q41" s="194"/>
      <c r="R41" s="194"/>
      <c r="S41" s="194"/>
      <c r="T41" s="193"/>
      <c r="U41" s="193"/>
      <c r="V41" s="193"/>
      <c r="W41" s="193"/>
      <c r="X41" s="193"/>
      <c r="Y41" s="193"/>
      <c r="Z41" s="193"/>
      <c r="AA41" s="193"/>
      <c r="AB41" s="193"/>
      <c r="AC41" s="46"/>
      <c r="AD41" s="46"/>
      <c r="AE41" s="32"/>
      <c r="AF41" s="2"/>
    </row>
    <row r="42" spans="1:32" s="8" customFormat="1" ht="7.5" customHeight="1">
      <c r="A42" s="42"/>
      <c r="B42" s="335"/>
      <c r="C42" s="335"/>
      <c r="D42" s="168"/>
      <c r="E42" s="114"/>
      <c r="F42" s="114"/>
      <c r="G42" s="114"/>
      <c r="H42" s="114"/>
      <c r="I42" s="114"/>
      <c r="J42" s="114"/>
      <c r="K42" s="114"/>
      <c r="L42" s="120"/>
      <c r="M42" s="74"/>
      <c r="N42" s="331"/>
      <c r="O42" s="194"/>
      <c r="P42" s="194"/>
      <c r="Q42" s="194"/>
      <c r="R42" s="194"/>
      <c r="S42" s="194"/>
      <c r="T42" s="193"/>
      <c r="U42" s="193"/>
      <c r="V42" s="193"/>
      <c r="W42" s="193"/>
      <c r="X42" s="193"/>
      <c r="Y42" s="193"/>
      <c r="Z42" s="193"/>
      <c r="AA42" s="193"/>
      <c r="AB42" s="193"/>
      <c r="AC42" s="46"/>
      <c r="AD42" s="46"/>
      <c r="AE42" s="32"/>
      <c r="AF42" s="2"/>
    </row>
    <row r="43" spans="1:32" s="8" customFormat="1" ht="8.25" customHeight="1">
      <c r="A43" s="42"/>
      <c r="B43" s="335"/>
      <c r="C43" s="335"/>
      <c r="D43" s="168"/>
      <c r="E43" s="114"/>
      <c r="F43" s="114"/>
      <c r="G43" s="114"/>
      <c r="H43" s="114"/>
      <c r="I43" s="114"/>
      <c r="J43" s="114"/>
      <c r="K43" s="114"/>
      <c r="L43" s="120"/>
      <c r="M43" s="74"/>
      <c r="N43" s="331"/>
      <c r="O43" s="194"/>
      <c r="P43" s="194"/>
      <c r="Q43" s="194"/>
      <c r="R43" s="194"/>
      <c r="S43" s="194"/>
      <c r="T43" s="193"/>
      <c r="U43" s="193"/>
      <c r="V43" s="193"/>
      <c r="W43" s="193"/>
      <c r="X43" s="193"/>
      <c r="Y43" s="193"/>
      <c r="Z43" s="193"/>
      <c r="AA43" s="193"/>
      <c r="AB43" s="193"/>
      <c r="AC43" s="46"/>
      <c r="AD43" s="46"/>
      <c r="AE43" s="32"/>
      <c r="AF43" s="2"/>
    </row>
    <row r="44" spans="1:32" s="8" customFormat="1" ht="21" customHeight="1">
      <c r="A44" s="42"/>
      <c r="B44" s="320"/>
      <c r="C44" s="127" t="s">
        <v>85</v>
      </c>
      <c r="D44" s="167">
        <v>3195</v>
      </c>
      <c r="E44" s="119">
        <f>F44</f>
        <v>3078.13</v>
      </c>
      <c r="F44" s="119">
        <f>AD44/1000</f>
        <v>3078.13</v>
      </c>
      <c r="G44" s="119">
        <v>0</v>
      </c>
      <c r="H44" s="119">
        <v>0</v>
      </c>
      <c r="I44" s="119">
        <v>0</v>
      </c>
      <c r="J44" s="119">
        <v>0</v>
      </c>
      <c r="K44" s="119">
        <v>0</v>
      </c>
      <c r="L44" s="128">
        <f>E44-D44</f>
        <v>-116.86999999999989</v>
      </c>
      <c r="M44" s="125">
        <f>IF(D44=0,0,L44/D44)</f>
        <v>-3.6579029733959274E-2</v>
      </c>
      <c r="N44" s="103" t="s">
        <v>38</v>
      </c>
      <c r="O44" s="324"/>
      <c r="P44" s="196"/>
      <c r="Q44" s="196"/>
      <c r="R44" s="196"/>
      <c r="S44" s="196"/>
      <c r="T44" s="195"/>
      <c r="U44" s="195"/>
      <c r="V44" s="195"/>
      <c r="W44" s="323" t="s">
        <v>116</v>
      </c>
      <c r="X44" s="323"/>
      <c r="Y44" s="323"/>
      <c r="Z44" s="323" t="s">
        <v>261</v>
      </c>
      <c r="AA44" s="323"/>
      <c r="AB44" s="323"/>
      <c r="AC44" s="187"/>
      <c r="AD44" s="187">
        <f>SUM(AD45:AD59)</f>
        <v>3078130</v>
      </c>
      <c r="AE44" s="186" t="s">
        <v>25</v>
      </c>
    </row>
    <row r="45" spans="1:32" s="8" customFormat="1" ht="21" customHeight="1">
      <c r="A45" s="42"/>
      <c r="B45" s="320"/>
      <c r="C45" s="247"/>
      <c r="D45" s="165"/>
      <c r="E45" s="216"/>
      <c r="F45" s="216"/>
      <c r="G45" s="216"/>
      <c r="H45" s="216"/>
      <c r="I45" s="216"/>
      <c r="J45" s="216"/>
      <c r="K45" s="216"/>
      <c r="L45" s="248"/>
      <c r="M45" s="74"/>
      <c r="N45" s="326" t="s">
        <v>160</v>
      </c>
      <c r="O45" s="194"/>
      <c r="P45" s="194"/>
      <c r="Q45" s="194"/>
      <c r="R45" s="325">
        <v>108130</v>
      </c>
      <c r="S45" s="325"/>
      <c r="T45" s="204" t="s">
        <v>58</v>
      </c>
      <c r="U45" s="204" t="s">
        <v>26</v>
      </c>
      <c r="V45" s="289"/>
      <c r="W45" s="204"/>
      <c r="X45" s="246">
        <v>6</v>
      </c>
      <c r="Y45" s="249"/>
      <c r="Z45" s="80"/>
      <c r="AA45" s="204" t="s">
        <v>54</v>
      </c>
      <c r="AB45" s="325"/>
      <c r="AC45" s="71"/>
      <c r="AD45" s="283">
        <f t="shared" ref="AD45:AD55" si="3">R45*X45</f>
        <v>648780</v>
      </c>
      <c r="AE45" s="51" t="s">
        <v>58</v>
      </c>
    </row>
    <row r="46" spans="1:32" s="8" customFormat="1" ht="21" customHeight="1">
      <c r="A46" s="42"/>
      <c r="B46" s="320"/>
      <c r="C46" s="247"/>
      <c r="D46" s="165"/>
      <c r="E46" s="216"/>
      <c r="F46" s="216"/>
      <c r="G46" s="216"/>
      <c r="H46" s="216"/>
      <c r="I46" s="216"/>
      <c r="J46" s="216"/>
      <c r="K46" s="216"/>
      <c r="L46" s="248"/>
      <c r="M46" s="74"/>
      <c r="N46" s="326" t="s">
        <v>160</v>
      </c>
      <c r="O46" s="194"/>
      <c r="P46" s="194"/>
      <c r="Q46" s="194"/>
      <c r="R46" s="325">
        <v>126850</v>
      </c>
      <c r="S46" s="325"/>
      <c r="T46" s="204" t="s">
        <v>58</v>
      </c>
      <c r="U46" s="204" t="s">
        <v>26</v>
      </c>
      <c r="V46" s="289"/>
      <c r="W46" s="204"/>
      <c r="X46" s="246">
        <v>4</v>
      </c>
      <c r="Y46" s="249"/>
      <c r="Z46" s="80"/>
      <c r="AA46" s="204" t="s">
        <v>54</v>
      </c>
      <c r="AB46" s="325"/>
      <c r="AC46" s="71"/>
      <c r="AD46" s="283">
        <f t="shared" si="3"/>
        <v>507400</v>
      </c>
      <c r="AE46" s="51" t="s">
        <v>58</v>
      </c>
    </row>
    <row r="47" spans="1:32" s="8" customFormat="1" ht="21" customHeight="1">
      <c r="A47" s="42"/>
      <c r="B47" s="320"/>
      <c r="C47" s="320"/>
      <c r="D47" s="165"/>
      <c r="E47" s="114"/>
      <c r="F47" s="114"/>
      <c r="G47" s="114"/>
      <c r="H47" s="114"/>
      <c r="I47" s="114"/>
      <c r="J47" s="114"/>
      <c r="K47" s="114"/>
      <c r="L47" s="114"/>
      <c r="M47" s="74"/>
      <c r="N47" s="326" t="s">
        <v>158</v>
      </c>
      <c r="O47" s="326"/>
      <c r="P47" s="326"/>
      <c r="Q47" s="326"/>
      <c r="R47" s="325">
        <v>90740</v>
      </c>
      <c r="S47" s="325"/>
      <c r="T47" s="204" t="s">
        <v>58</v>
      </c>
      <c r="U47" s="204" t="s">
        <v>26</v>
      </c>
      <c r="V47" s="289"/>
      <c r="W47" s="204"/>
      <c r="X47" s="246">
        <v>3</v>
      </c>
      <c r="Y47" s="249"/>
      <c r="Z47" s="80"/>
      <c r="AA47" s="204" t="s">
        <v>54</v>
      </c>
      <c r="AB47" s="325"/>
      <c r="AC47" s="71"/>
      <c r="AD47" s="283">
        <f t="shared" si="3"/>
        <v>272220</v>
      </c>
      <c r="AE47" s="51" t="s">
        <v>58</v>
      </c>
      <c r="AF47" s="2"/>
    </row>
    <row r="48" spans="1:32" s="8" customFormat="1" ht="21" customHeight="1">
      <c r="A48" s="42"/>
      <c r="B48" s="320"/>
      <c r="C48" s="320"/>
      <c r="D48" s="165"/>
      <c r="E48" s="114"/>
      <c r="F48" s="114"/>
      <c r="G48" s="114"/>
      <c r="H48" s="114"/>
      <c r="I48" s="114"/>
      <c r="J48" s="114"/>
      <c r="K48" s="114"/>
      <c r="L48" s="114"/>
      <c r="M48" s="74"/>
      <c r="N48" s="326" t="s">
        <v>337</v>
      </c>
      <c r="O48" s="326"/>
      <c r="P48" s="326"/>
      <c r="Q48" s="326"/>
      <c r="R48" s="325">
        <v>91220</v>
      </c>
      <c r="S48" s="325"/>
      <c r="T48" s="204" t="s">
        <v>58</v>
      </c>
      <c r="U48" s="204" t="s">
        <v>26</v>
      </c>
      <c r="V48" s="289"/>
      <c r="W48" s="204"/>
      <c r="X48" s="246">
        <v>7</v>
      </c>
      <c r="Y48" s="249"/>
      <c r="Z48" s="80"/>
      <c r="AA48" s="204" t="s">
        <v>54</v>
      </c>
      <c r="AB48" s="325"/>
      <c r="AC48" s="71"/>
      <c r="AD48" s="71">
        <f t="shared" si="3"/>
        <v>638540</v>
      </c>
      <c r="AE48" s="51" t="s">
        <v>58</v>
      </c>
      <c r="AF48" s="2"/>
    </row>
    <row r="49" spans="1:32" s="8" customFormat="1" ht="21" customHeight="1">
      <c r="A49" s="42"/>
      <c r="B49" s="320"/>
      <c r="C49" s="320"/>
      <c r="D49" s="165"/>
      <c r="E49" s="114"/>
      <c r="F49" s="114"/>
      <c r="G49" s="114"/>
      <c r="H49" s="114"/>
      <c r="I49" s="114"/>
      <c r="J49" s="114"/>
      <c r="K49" s="114"/>
      <c r="L49" s="114"/>
      <c r="M49" s="74"/>
      <c r="N49" s="326" t="s">
        <v>321</v>
      </c>
      <c r="O49" s="326"/>
      <c r="P49" s="326"/>
      <c r="Q49" s="326"/>
      <c r="R49" s="325">
        <v>43380</v>
      </c>
      <c r="S49" s="325"/>
      <c r="T49" s="204" t="s">
        <v>58</v>
      </c>
      <c r="U49" s="204" t="s">
        <v>26</v>
      </c>
      <c r="V49" s="289"/>
      <c r="W49" s="204"/>
      <c r="X49" s="246">
        <v>1</v>
      </c>
      <c r="Y49" s="249"/>
      <c r="Z49" s="80"/>
      <c r="AA49" s="204" t="s">
        <v>54</v>
      </c>
      <c r="AB49" s="325"/>
      <c r="AC49" s="71"/>
      <c r="AD49" s="71">
        <f t="shared" si="3"/>
        <v>43380</v>
      </c>
      <c r="AE49" s="51" t="s">
        <v>58</v>
      </c>
      <c r="AF49" s="2"/>
    </row>
    <row r="50" spans="1:32" s="8" customFormat="1" ht="21" customHeight="1">
      <c r="A50" s="42"/>
      <c r="B50" s="320"/>
      <c r="C50" s="320"/>
      <c r="D50" s="165"/>
      <c r="E50" s="114"/>
      <c r="F50" s="114"/>
      <c r="G50" s="114"/>
      <c r="H50" s="114"/>
      <c r="I50" s="114"/>
      <c r="J50" s="114"/>
      <c r="K50" s="114"/>
      <c r="L50" s="114"/>
      <c r="M50" s="74"/>
      <c r="N50" s="326" t="s">
        <v>159</v>
      </c>
      <c r="O50" s="326"/>
      <c r="P50" s="326"/>
      <c r="Q50" s="326"/>
      <c r="R50" s="325">
        <v>21980</v>
      </c>
      <c r="S50" s="325"/>
      <c r="T50" s="204" t="s">
        <v>58</v>
      </c>
      <c r="U50" s="204" t="s">
        <v>26</v>
      </c>
      <c r="V50" s="289"/>
      <c r="W50" s="204"/>
      <c r="X50" s="246">
        <v>3</v>
      </c>
      <c r="Y50" s="249"/>
      <c r="Z50" s="80"/>
      <c r="AA50" s="204" t="s">
        <v>54</v>
      </c>
      <c r="AB50" s="325"/>
      <c r="AC50" s="71"/>
      <c r="AD50" s="71">
        <f t="shared" si="3"/>
        <v>65940</v>
      </c>
      <c r="AE50" s="51" t="s">
        <v>58</v>
      </c>
      <c r="AF50" s="2"/>
    </row>
    <row r="51" spans="1:32" s="8" customFormat="1" ht="21" customHeight="1">
      <c r="A51" s="42"/>
      <c r="B51" s="320"/>
      <c r="C51" s="320"/>
      <c r="D51" s="165"/>
      <c r="E51" s="114"/>
      <c r="F51" s="114"/>
      <c r="G51" s="114"/>
      <c r="H51" s="114"/>
      <c r="I51" s="114"/>
      <c r="J51" s="114"/>
      <c r="K51" s="114"/>
      <c r="L51" s="114"/>
      <c r="M51" s="74"/>
      <c r="N51" s="326" t="s">
        <v>159</v>
      </c>
      <c r="O51" s="326"/>
      <c r="P51" s="326"/>
      <c r="Q51" s="326"/>
      <c r="R51" s="325">
        <v>25720</v>
      </c>
      <c r="S51" s="325"/>
      <c r="T51" s="204" t="s">
        <v>58</v>
      </c>
      <c r="U51" s="204" t="s">
        <v>26</v>
      </c>
      <c r="V51" s="289"/>
      <c r="W51" s="204"/>
      <c r="X51" s="246">
        <v>7</v>
      </c>
      <c r="Y51" s="249"/>
      <c r="Z51" s="80"/>
      <c r="AA51" s="204" t="s">
        <v>54</v>
      </c>
      <c r="AB51" s="325"/>
      <c r="AC51" s="71"/>
      <c r="AD51" s="71">
        <f t="shared" si="3"/>
        <v>180040</v>
      </c>
      <c r="AE51" s="51" t="s">
        <v>58</v>
      </c>
      <c r="AF51" s="2"/>
    </row>
    <row r="52" spans="1:32" s="8" customFormat="1" ht="21" customHeight="1">
      <c r="A52" s="42"/>
      <c r="B52" s="320"/>
      <c r="C52" s="320"/>
      <c r="D52" s="165"/>
      <c r="E52" s="114"/>
      <c r="F52" s="114"/>
      <c r="G52" s="114"/>
      <c r="H52" s="114"/>
      <c r="I52" s="114"/>
      <c r="J52" s="114"/>
      <c r="K52" s="114"/>
      <c r="L52" s="114"/>
      <c r="M52" s="74"/>
      <c r="N52" s="326" t="s">
        <v>322</v>
      </c>
      <c r="O52" s="326"/>
      <c r="P52" s="326"/>
      <c r="Q52" s="326"/>
      <c r="R52" s="325">
        <v>48770</v>
      </c>
      <c r="S52" s="325"/>
      <c r="T52" s="204" t="s">
        <v>58</v>
      </c>
      <c r="U52" s="204" t="s">
        <v>26</v>
      </c>
      <c r="V52" s="289"/>
      <c r="W52" s="204"/>
      <c r="X52" s="246">
        <v>1</v>
      </c>
      <c r="Y52" s="249"/>
      <c r="Z52" s="80"/>
      <c r="AA52" s="204" t="s">
        <v>54</v>
      </c>
      <c r="AB52" s="325"/>
      <c r="AC52" s="71"/>
      <c r="AD52" s="71">
        <f t="shared" si="3"/>
        <v>48770</v>
      </c>
      <c r="AE52" s="51" t="s">
        <v>58</v>
      </c>
      <c r="AF52" s="2"/>
    </row>
    <row r="53" spans="1:32" s="8" customFormat="1" ht="21" customHeight="1">
      <c r="A53" s="42"/>
      <c r="B53" s="320"/>
      <c r="C53" s="320"/>
      <c r="D53" s="165"/>
      <c r="E53" s="114"/>
      <c r="F53" s="114"/>
      <c r="G53" s="114"/>
      <c r="H53" s="114"/>
      <c r="I53" s="114"/>
      <c r="J53" s="114"/>
      <c r="K53" s="114"/>
      <c r="L53" s="114"/>
      <c r="M53" s="74"/>
      <c r="N53" s="326" t="s">
        <v>283</v>
      </c>
      <c r="O53" s="326"/>
      <c r="P53" s="326"/>
      <c r="Q53" s="326"/>
      <c r="R53" s="325">
        <v>19060</v>
      </c>
      <c r="S53" s="325"/>
      <c r="T53" s="204" t="s">
        <v>58</v>
      </c>
      <c r="U53" s="204" t="s">
        <v>26</v>
      </c>
      <c r="V53" s="289"/>
      <c r="W53" s="204"/>
      <c r="X53" s="246">
        <v>3</v>
      </c>
      <c r="Y53" s="249"/>
      <c r="Z53" s="80"/>
      <c r="AA53" s="204" t="s">
        <v>54</v>
      </c>
      <c r="AB53" s="325"/>
      <c r="AC53" s="71"/>
      <c r="AD53" s="71">
        <f t="shared" si="3"/>
        <v>57180</v>
      </c>
      <c r="AE53" s="51" t="s">
        <v>58</v>
      </c>
      <c r="AF53" s="2"/>
    </row>
    <row r="54" spans="1:32" s="8" customFormat="1" ht="21" customHeight="1">
      <c r="A54" s="42"/>
      <c r="B54" s="320"/>
      <c r="C54" s="320"/>
      <c r="D54" s="165"/>
      <c r="E54" s="114"/>
      <c r="F54" s="114"/>
      <c r="G54" s="114"/>
      <c r="H54" s="114"/>
      <c r="I54" s="114"/>
      <c r="J54" s="114"/>
      <c r="K54" s="114"/>
      <c r="L54" s="114"/>
      <c r="M54" s="74"/>
      <c r="N54" s="326" t="s">
        <v>283</v>
      </c>
      <c r="O54" s="326"/>
      <c r="P54" s="326"/>
      <c r="Q54" s="326"/>
      <c r="R54" s="325">
        <v>22290</v>
      </c>
      <c r="S54" s="325"/>
      <c r="T54" s="204" t="s">
        <v>58</v>
      </c>
      <c r="U54" s="204" t="s">
        <v>26</v>
      </c>
      <c r="V54" s="289"/>
      <c r="W54" s="204"/>
      <c r="X54" s="246">
        <v>7</v>
      </c>
      <c r="Y54" s="249"/>
      <c r="Z54" s="80"/>
      <c r="AA54" s="204" t="s">
        <v>54</v>
      </c>
      <c r="AB54" s="325"/>
      <c r="AC54" s="71"/>
      <c r="AD54" s="71">
        <f t="shared" si="3"/>
        <v>156030</v>
      </c>
      <c r="AE54" s="51" t="s">
        <v>58</v>
      </c>
      <c r="AF54" s="2"/>
    </row>
    <row r="55" spans="1:32" s="8" customFormat="1" ht="21" customHeight="1">
      <c r="A55" s="42"/>
      <c r="B55" s="320"/>
      <c r="C55" s="320"/>
      <c r="D55" s="165"/>
      <c r="E55" s="114"/>
      <c r="F55" s="114"/>
      <c r="G55" s="114"/>
      <c r="H55" s="114"/>
      <c r="I55" s="114"/>
      <c r="J55" s="114"/>
      <c r="K55" s="114"/>
      <c r="L55" s="114"/>
      <c r="M55" s="74"/>
      <c r="N55" s="326" t="s">
        <v>323</v>
      </c>
      <c r="O55" s="326"/>
      <c r="P55" s="326"/>
      <c r="Q55" s="326"/>
      <c r="R55" s="325">
        <v>44890</v>
      </c>
      <c r="S55" s="325"/>
      <c r="T55" s="204" t="s">
        <v>58</v>
      </c>
      <c r="U55" s="204" t="s">
        <v>26</v>
      </c>
      <c r="V55" s="289"/>
      <c r="W55" s="204"/>
      <c r="X55" s="246">
        <v>1</v>
      </c>
      <c r="Y55" s="249"/>
      <c r="Z55" s="80"/>
      <c r="AA55" s="204" t="s">
        <v>149</v>
      </c>
      <c r="AB55" s="325"/>
      <c r="AC55" s="71"/>
      <c r="AD55" s="71">
        <f t="shared" si="3"/>
        <v>44890</v>
      </c>
      <c r="AE55" s="51" t="s">
        <v>58</v>
      </c>
      <c r="AF55" s="2"/>
    </row>
    <row r="56" spans="1:32" s="8" customFormat="1" ht="21" customHeight="1">
      <c r="A56" s="42"/>
      <c r="B56" s="327"/>
      <c r="C56" s="327"/>
      <c r="D56" s="165"/>
      <c r="E56" s="114"/>
      <c r="F56" s="114"/>
      <c r="G56" s="114"/>
      <c r="H56" s="114"/>
      <c r="I56" s="114"/>
      <c r="J56" s="114"/>
      <c r="K56" s="114"/>
      <c r="L56" s="114"/>
      <c r="M56" s="74"/>
      <c r="N56" s="331" t="s">
        <v>160</v>
      </c>
      <c r="O56" s="194"/>
      <c r="P56" s="194"/>
      <c r="Q56" s="194"/>
      <c r="R56" s="330">
        <v>100480</v>
      </c>
      <c r="S56" s="330"/>
      <c r="T56" s="204" t="s">
        <v>58</v>
      </c>
      <c r="U56" s="204" t="s">
        <v>26</v>
      </c>
      <c r="V56" s="289"/>
      <c r="W56" s="204"/>
      <c r="X56" s="246">
        <v>2</v>
      </c>
      <c r="Y56" s="249"/>
      <c r="Z56" s="80"/>
      <c r="AA56" s="204" t="s">
        <v>54</v>
      </c>
      <c r="AB56" s="330"/>
      <c r="AC56" s="71"/>
      <c r="AD56" s="283">
        <f t="shared" ref="AD56:AD59" si="4">R56*X56</f>
        <v>200960</v>
      </c>
      <c r="AE56" s="51" t="s">
        <v>58</v>
      </c>
      <c r="AF56" s="2"/>
    </row>
    <row r="57" spans="1:32" s="8" customFormat="1" ht="21" customHeight="1">
      <c r="A57" s="42"/>
      <c r="B57" s="327"/>
      <c r="C57" s="327"/>
      <c r="D57" s="165"/>
      <c r="E57" s="114"/>
      <c r="F57" s="114"/>
      <c r="G57" s="114"/>
      <c r="H57" s="114"/>
      <c r="I57" s="114"/>
      <c r="J57" s="114"/>
      <c r="K57" s="114"/>
      <c r="L57" s="114"/>
      <c r="M57" s="74"/>
      <c r="N57" s="331" t="s">
        <v>158</v>
      </c>
      <c r="O57" s="331"/>
      <c r="P57" s="331"/>
      <c r="Q57" s="331"/>
      <c r="R57" s="330">
        <v>71270</v>
      </c>
      <c r="S57" s="330"/>
      <c r="T57" s="204" t="s">
        <v>58</v>
      </c>
      <c r="U57" s="204" t="s">
        <v>26</v>
      </c>
      <c r="V57" s="289"/>
      <c r="W57" s="204"/>
      <c r="X57" s="246">
        <v>2</v>
      </c>
      <c r="Y57" s="249"/>
      <c r="Z57" s="80"/>
      <c r="AA57" s="204" t="s">
        <v>54</v>
      </c>
      <c r="AB57" s="330"/>
      <c r="AC57" s="71"/>
      <c r="AD57" s="283">
        <f t="shared" si="4"/>
        <v>142540</v>
      </c>
      <c r="AE57" s="51" t="s">
        <v>58</v>
      </c>
      <c r="AF57" s="2"/>
    </row>
    <row r="58" spans="1:32" s="8" customFormat="1" ht="21" customHeight="1">
      <c r="A58" s="42"/>
      <c r="B58" s="335"/>
      <c r="C58" s="335"/>
      <c r="D58" s="165"/>
      <c r="E58" s="114"/>
      <c r="F58" s="114"/>
      <c r="G58" s="114"/>
      <c r="H58" s="114"/>
      <c r="I58" s="114"/>
      <c r="J58" s="114"/>
      <c r="K58" s="114"/>
      <c r="L58" s="114"/>
      <c r="M58" s="74"/>
      <c r="N58" s="331" t="s">
        <v>159</v>
      </c>
      <c r="O58" s="331"/>
      <c r="P58" s="331"/>
      <c r="Q58" s="331"/>
      <c r="R58" s="330">
        <v>20100</v>
      </c>
      <c r="S58" s="330"/>
      <c r="T58" s="204" t="s">
        <v>58</v>
      </c>
      <c r="U58" s="204" t="s">
        <v>26</v>
      </c>
      <c r="V58" s="289"/>
      <c r="W58" s="204"/>
      <c r="X58" s="246">
        <v>2</v>
      </c>
      <c r="Y58" s="249"/>
      <c r="Z58" s="80"/>
      <c r="AA58" s="204" t="s">
        <v>54</v>
      </c>
      <c r="AB58" s="330"/>
      <c r="AC58" s="71"/>
      <c r="AD58" s="71">
        <f t="shared" si="4"/>
        <v>40200</v>
      </c>
      <c r="AE58" s="51" t="s">
        <v>58</v>
      </c>
      <c r="AF58" s="2"/>
    </row>
    <row r="59" spans="1:32" s="8" customFormat="1" ht="21" customHeight="1">
      <c r="A59" s="42"/>
      <c r="B59" s="320"/>
      <c r="C59" s="320"/>
      <c r="D59" s="165"/>
      <c r="E59" s="114"/>
      <c r="F59" s="114"/>
      <c r="G59" s="114"/>
      <c r="H59" s="114"/>
      <c r="I59" s="114"/>
      <c r="J59" s="114"/>
      <c r="K59" s="114"/>
      <c r="L59" s="114"/>
      <c r="M59" s="74"/>
      <c r="N59" s="331" t="s">
        <v>283</v>
      </c>
      <c r="O59" s="331"/>
      <c r="P59" s="331"/>
      <c r="Q59" s="331"/>
      <c r="R59" s="330">
        <v>15630</v>
      </c>
      <c r="S59" s="330"/>
      <c r="T59" s="204" t="s">
        <v>58</v>
      </c>
      <c r="U59" s="204" t="s">
        <v>26</v>
      </c>
      <c r="V59" s="289"/>
      <c r="W59" s="204"/>
      <c r="X59" s="246">
        <v>2</v>
      </c>
      <c r="Y59" s="249"/>
      <c r="Z59" s="80"/>
      <c r="AA59" s="204" t="s">
        <v>54</v>
      </c>
      <c r="AB59" s="330"/>
      <c r="AC59" s="71"/>
      <c r="AD59" s="71">
        <f t="shared" si="4"/>
        <v>31260</v>
      </c>
      <c r="AE59" s="51" t="s">
        <v>58</v>
      </c>
      <c r="AF59" s="2"/>
    </row>
    <row r="60" spans="1:32" s="8" customFormat="1" ht="33" customHeight="1">
      <c r="A60" s="42"/>
      <c r="B60" s="320"/>
      <c r="C60" s="319" t="s">
        <v>195</v>
      </c>
      <c r="D60" s="167">
        <v>200</v>
      </c>
      <c r="E60" s="118">
        <f>SUM(F60:K60)</f>
        <v>200</v>
      </c>
      <c r="F60" s="118">
        <f>AD62</f>
        <v>0</v>
      </c>
      <c r="G60" s="118">
        <f>AD61/1000</f>
        <v>200</v>
      </c>
      <c r="H60" s="118">
        <f>AF62</f>
        <v>0</v>
      </c>
      <c r="I60" s="118">
        <f>AG62</f>
        <v>0</v>
      </c>
      <c r="J60" s="118">
        <v>0</v>
      </c>
      <c r="K60" s="118">
        <f>AH62</f>
        <v>0</v>
      </c>
      <c r="L60" s="128">
        <f>E60-D60</f>
        <v>0</v>
      </c>
      <c r="M60" s="125"/>
      <c r="N60" s="103" t="s">
        <v>193</v>
      </c>
      <c r="O60" s="324"/>
      <c r="P60" s="170"/>
      <c r="Q60" s="170"/>
      <c r="R60" s="94"/>
      <c r="S60" s="94"/>
      <c r="T60" s="225"/>
      <c r="U60" s="226"/>
      <c r="V60" s="227"/>
      <c r="W60" s="323" t="s">
        <v>64</v>
      </c>
      <c r="X60" s="323"/>
      <c r="Y60" s="323"/>
      <c r="Z60" s="323"/>
      <c r="AA60" s="323"/>
      <c r="AB60" s="323"/>
      <c r="AC60" s="187"/>
      <c r="AD60" s="187">
        <f>AD61</f>
        <v>200000</v>
      </c>
      <c r="AE60" s="186" t="s">
        <v>25</v>
      </c>
      <c r="AF60" s="2"/>
    </row>
    <row r="61" spans="1:32" s="8" customFormat="1" ht="21" customHeight="1">
      <c r="A61" s="42"/>
      <c r="B61" s="320"/>
      <c r="C61" s="320"/>
      <c r="D61" s="165"/>
      <c r="E61" s="114"/>
      <c r="F61" s="114"/>
      <c r="G61" s="114"/>
      <c r="H61" s="114"/>
      <c r="I61" s="114"/>
      <c r="J61" s="114"/>
      <c r="K61" s="114"/>
      <c r="L61" s="114"/>
      <c r="M61" s="74"/>
      <c r="N61" s="326" t="s">
        <v>194</v>
      </c>
      <c r="O61" s="326"/>
      <c r="P61" s="326"/>
      <c r="Q61" s="326"/>
      <c r="R61" s="325"/>
      <c r="S61" s="325"/>
      <c r="T61" s="204"/>
      <c r="U61" s="78"/>
      <c r="V61" s="82"/>
      <c r="W61" s="78"/>
      <c r="X61" s="83"/>
      <c r="Y61" s="80"/>
      <c r="Z61" s="80"/>
      <c r="AA61" s="204"/>
      <c r="AB61" s="325"/>
      <c r="AC61" s="71"/>
      <c r="AD61" s="71">
        <v>200000</v>
      </c>
      <c r="AE61" s="162" t="s">
        <v>25</v>
      </c>
      <c r="AF61" s="2"/>
    </row>
    <row r="62" spans="1:32" s="8" customFormat="1" ht="21" customHeight="1">
      <c r="A62" s="42"/>
      <c r="B62" s="53"/>
      <c r="C62" s="53"/>
      <c r="D62" s="166"/>
      <c r="E62" s="116"/>
      <c r="F62" s="116"/>
      <c r="G62" s="116"/>
      <c r="H62" s="116"/>
      <c r="I62" s="116"/>
      <c r="J62" s="116"/>
      <c r="K62" s="116"/>
      <c r="L62" s="116"/>
      <c r="M62" s="90"/>
      <c r="N62" s="322"/>
      <c r="O62" s="322"/>
      <c r="P62" s="322"/>
      <c r="Q62" s="322"/>
      <c r="R62" s="321"/>
      <c r="S62" s="321"/>
      <c r="T62" s="92"/>
      <c r="U62" s="92"/>
      <c r="V62" s="92"/>
      <c r="W62" s="321"/>
      <c r="X62" s="92"/>
      <c r="Y62" s="92"/>
      <c r="Z62" s="92"/>
      <c r="AA62" s="321"/>
      <c r="AB62" s="92"/>
      <c r="AC62" s="92"/>
      <c r="AD62" s="321"/>
      <c r="AE62" s="129"/>
      <c r="AF62" s="2"/>
    </row>
    <row r="63" spans="1:32" s="8" customFormat="1" ht="21" customHeight="1">
      <c r="A63" s="42"/>
      <c r="B63" s="320" t="s">
        <v>117</v>
      </c>
      <c r="C63" s="320" t="s">
        <v>5</v>
      </c>
      <c r="D63" s="114">
        <f>SUM(D64,D67,D69)</f>
        <v>50</v>
      </c>
      <c r="E63" s="114">
        <f>SUM(E64,E67,E69)</f>
        <v>0</v>
      </c>
      <c r="F63" s="114">
        <f>F64+F67+F69</f>
        <v>0</v>
      </c>
      <c r="G63" s="114">
        <f t="shared" ref="G63" si="5">SUM(G64,G67,G69)</f>
        <v>0</v>
      </c>
      <c r="H63" s="114">
        <v>0</v>
      </c>
      <c r="I63" s="114">
        <v>0</v>
      </c>
      <c r="J63" s="114">
        <f>SUM(J64,J67,J69)</f>
        <v>0</v>
      </c>
      <c r="K63" s="114">
        <f>SUM(K64,K67,K69)</f>
        <v>0</v>
      </c>
      <c r="L63" s="114">
        <f>E63-D63</f>
        <v>-50</v>
      </c>
      <c r="M63" s="74">
        <f>IF(D63=0,0,L63/D63)</f>
        <v>-1</v>
      </c>
      <c r="N63" s="194" t="s">
        <v>125</v>
      </c>
      <c r="O63" s="194"/>
      <c r="P63" s="194"/>
      <c r="Q63" s="194"/>
      <c r="R63" s="193"/>
      <c r="S63" s="193"/>
      <c r="T63" s="193"/>
      <c r="U63" s="193"/>
      <c r="V63" s="193"/>
      <c r="W63" s="195"/>
      <c r="X63" s="195"/>
      <c r="Y63" s="195"/>
      <c r="Z63" s="195"/>
      <c r="AA63" s="195"/>
      <c r="AB63" s="195"/>
      <c r="AC63" s="101"/>
      <c r="AD63" s="101">
        <f>SUM(AD64,AD67,AD69)</f>
        <v>0</v>
      </c>
      <c r="AE63" s="102" t="s">
        <v>25</v>
      </c>
      <c r="AF63" s="5"/>
    </row>
    <row r="64" spans="1:32" s="8" customFormat="1" ht="21" customHeight="1">
      <c r="A64" s="42"/>
      <c r="B64" s="320" t="s">
        <v>124</v>
      </c>
      <c r="C64" s="319" t="s">
        <v>10</v>
      </c>
      <c r="D64" s="167">
        <v>0</v>
      </c>
      <c r="E64" s="118">
        <f>AD64/1000</f>
        <v>0</v>
      </c>
      <c r="F64" s="118">
        <f>AD64/1000</f>
        <v>0</v>
      </c>
      <c r="G64" s="118">
        <v>0</v>
      </c>
      <c r="H64" s="118">
        <v>0</v>
      </c>
      <c r="I64" s="118">
        <v>0</v>
      </c>
      <c r="J64" s="118">
        <v>0</v>
      </c>
      <c r="K64" s="118">
        <v>0</v>
      </c>
      <c r="L64" s="118">
        <f>E64-D64</f>
        <v>0</v>
      </c>
      <c r="M64" s="125">
        <f>IF(D64=0,0,L64/D64)</f>
        <v>0</v>
      </c>
      <c r="N64" s="103" t="s">
        <v>39</v>
      </c>
      <c r="O64" s="163"/>
      <c r="P64" s="170"/>
      <c r="Q64" s="170"/>
      <c r="R64" s="170"/>
      <c r="S64" s="170"/>
      <c r="T64" s="94"/>
      <c r="U64" s="94"/>
      <c r="V64" s="94"/>
      <c r="W64" s="94"/>
      <c r="X64" s="94"/>
      <c r="Y64" s="323" t="s">
        <v>127</v>
      </c>
      <c r="Z64" s="323"/>
      <c r="AA64" s="323"/>
      <c r="AB64" s="323"/>
      <c r="AC64" s="187"/>
      <c r="AD64" s="187">
        <f>AD65</f>
        <v>0</v>
      </c>
      <c r="AE64" s="186" t="s">
        <v>25</v>
      </c>
    </row>
    <row r="65" spans="1:34" s="8" customFormat="1" ht="21" customHeight="1">
      <c r="A65" s="42"/>
      <c r="B65" s="320"/>
      <c r="C65" s="320"/>
      <c r="D65" s="165"/>
      <c r="E65" s="114"/>
      <c r="F65" s="114"/>
      <c r="G65" s="114"/>
      <c r="H65" s="114"/>
      <c r="I65" s="114"/>
      <c r="J65" s="114"/>
      <c r="K65" s="114"/>
      <c r="L65" s="114"/>
      <c r="M65" s="74"/>
      <c r="N65" s="235" t="s">
        <v>249</v>
      </c>
      <c r="O65" s="170"/>
      <c r="P65" s="326"/>
      <c r="Q65" s="326"/>
      <c r="R65" s="326"/>
      <c r="S65" s="326"/>
      <c r="T65" s="325"/>
      <c r="U65" s="325"/>
      <c r="V65" s="325"/>
      <c r="W65" s="325"/>
      <c r="X65" s="325"/>
      <c r="Y65" s="105"/>
      <c r="Z65" s="105"/>
      <c r="AA65" s="105"/>
      <c r="AB65" s="105"/>
      <c r="AC65" s="122"/>
      <c r="AD65" s="122">
        <v>0</v>
      </c>
      <c r="AE65" s="123" t="s">
        <v>250</v>
      </c>
    </row>
    <row r="66" spans="1:34" s="8" customFormat="1" ht="21" customHeight="1">
      <c r="A66" s="42"/>
      <c r="B66" s="320"/>
      <c r="C66" s="53"/>
      <c r="D66" s="166"/>
      <c r="E66" s="116"/>
      <c r="F66" s="116"/>
      <c r="G66" s="116"/>
      <c r="H66" s="116"/>
      <c r="I66" s="116"/>
      <c r="J66" s="116"/>
      <c r="K66" s="116"/>
      <c r="L66" s="116"/>
      <c r="M66" s="90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129"/>
      <c r="AF66" s="1"/>
    </row>
    <row r="67" spans="1:34" s="8" customFormat="1" ht="21" customHeight="1">
      <c r="A67" s="42"/>
      <c r="B67" s="320"/>
      <c r="C67" s="320" t="s">
        <v>11</v>
      </c>
      <c r="D67" s="165">
        <v>0</v>
      </c>
      <c r="E67" s="114">
        <f>AD67/1000</f>
        <v>0</v>
      </c>
      <c r="F67" s="114">
        <v>0</v>
      </c>
      <c r="G67" s="114">
        <v>0</v>
      </c>
      <c r="H67" s="114">
        <v>0</v>
      </c>
      <c r="I67" s="114">
        <v>0</v>
      </c>
      <c r="J67" s="114">
        <v>0</v>
      </c>
      <c r="K67" s="114">
        <v>0</v>
      </c>
      <c r="L67" s="114">
        <f>E67-D67</f>
        <v>0</v>
      </c>
      <c r="M67" s="74">
        <f>IF(D67=0,0,L67/D67)</f>
        <v>0</v>
      </c>
      <c r="N67" s="103" t="s">
        <v>126</v>
      </c>
      <c r="O67" s="324"/>
      <c r="P67" s="194"/>
      <c r="Q67" s="194"/>
      <c r="R67" s="194"/>
      <c r="S67" s="194"/>
      <c r="T67" s="193"/>
      <c r="U67" s="193"/>
      <c r="V67" s="193"/>
      <c r="W67" s="193"/>
      <c r="X67" s="193"/>
      <c r="Y67" s="323" t="s">
        <v>127</v>
      </c>
      <c r="Z67" s="323"/>
      <c r="AA67" s="323"/>
      <c r="AB67" s="323"/>
      <c r="AC67" s="187"/>
      <c r="AD67" s="187">
        <v>0</v>
      </c>
      <c r="AE67" s="186" t="s">
        <v>25</v>
      </c>
      <c r="AF67" s="1"/>
    </row>
    <row r="68" spans="1:34" s="8" customFormat="1" ht="21" customHeight="1">
      <c r="A68" s="42"/>
      <c r="B68" s="320"/>
      <c r="C68" s="53"/>
      <c r="D68" s="166"/>
      <c r="E68" s="116"/>
      <c r="F68" s="116"/>
      <c r="G68" s="116"/>
      <c r="H68" s="116"/>
      <c r="I68" s="116"/>
      <c r="J68" s="116"/>
      <c r="K68" s="116"/>
      <c r="L68" s="116"/>
      <c r="M68" s="90"/>
      <c r="N68" s="322"/>
      <c r="O68" s="322"/>
      <c r="P68" s="322"/>
      <c r="Q68" s="322"/>
      <c r="R68" s="321"/>
      <c r="S68" s="321"/>
      <c r="T68" s="91"/>
      <c r="U68" s="91"/>
      <c r="V68" s="321"/>
      <c r="W68" s="322"/>
      <c r="X68" s="321"/>
      <c r="Y68" s="321"/>
      <c r="Z68" s="321"/>
      <c r="AA68" s="321"/>
      <c r="AB68" s="321"/>
      <c r="AC68" s="321"/>
      <c r="AD68" s="321"/>
      <c r="AE68" s="77"/>
      <c r="AF68" s="1"/>
    </row>
    <row r="69" spans="1:34" s="8" customFormat="1" ht="21" customHeight="1">
      <c r="A69" s="42"/>
      <c r="B69" s="320"/>
      <c r="C69" s="320" t="s">
        <v>86</v>
      </c>
      <c r="D69" s="165">
        <v>50</v>
      </c>
      <c r="E69" s="114">
        <f>F69+G69+H69+K69</f>
        <v>0</v>
      </c>
      <c r="F69" s="114">
        <f>AD70/1000</f>
        <v>0</v>
      </c>
      <c r="G69" s="114">
        <v>0</v>
      </c>
      <c r="H69" s="114">
        <v>0</v>
      </c>
      <c r="I69" s="114">
        <v>0</v>
      </c>
      <c r="J69" s="114">
        <v>0</v>
      </c>
      <c r="K69" s="118">
        <v>0</v>
      </c>
      <c r="L69" s="251">
        <f>E69-D69</f>
        <v>-50</v>
      </c>
      <c r="M69" s="74">
        <f>IF(D69=0,0,L69/D69)</f>
        <v>-1</v>
      </c>
      <c r="N69" s="121" t="s">
        <v>40</v>
      </c>
      <c r="O69" s="194"/>
      <c r="P69" s="194"/>
      <c r="Q69" s="194"/>
      <c r="R69" s="194"/>
      <c r="S69" s="194"/>
      <c r="T69" s="193"/>
      <c r="U69" s="193"/>
      <c r="V69" s="193"/>
      <c r="W69" s="193"/>
      <c r="X69" s="193"/>
      <c r="Y69" s="323" t="s">
        <v>127</v>
      </c>
      <c r="Z69" s="323"/>
      <c r="AA69" s="323"/>
      <c r="AB69" s="323"/>
      <c r="AC69" s="187"/>
      <c r="AD69" s="187">
        <f>AD70</f>
        <v>0</v>
      </c>
      <c r="AE69" s="186" t="s">
        <v>25</v>
      </c>
      <c r="AF69" s="1"/>
    </row>
    <row r="70" spans="1:34" s="11" customFormat="1" ht="21" customHeight="1">
      <c r="A70" s="42"/>
      <c r="B70" s="320"/>
      <c r="C70" s="320"/>
      <c r="D70" s="165"/>
      <c r="E70" s="114"/>
      <c r="F70" s="114"/>
      <c r="G70" s="114"/>
      <c r="H70" s="114"/>
      <c r="I70" s="114"/>
      <c r="J70" s="114"/>
      <c r="K70" s="114"/>
      <c r="L70" s="114"/>
      <c r="M70" s="74"/>
      <c r="N70" s="326" t="s">
        <v>161</v>
      </c>
      <c r="O70" s="326"/>
      <c r="P70" s="326"/>
      <c r="Q70" s="326"/>
      <c r="R70" s="325">
        <v>0</v>
      </c>
      <c r="S70" s="325"/>
      <c r="T70" s="49" t="s">
        <v>25</v>
      </c>
      <c r="U70" s="49" t="s">
        <v>26</v>
      </c>
      <c r="V70" s="325">
        <v>0</v>
      </c>
      <c r="W70" s="326" t="s">
        <v>134</v>
      </c>
      <c r="X70" s="325"/>
      <c r="Y70" s="325"/>
      <c r="Z70" s="325"/>
      <c r="AA70" s="325" t="s">
        <v>27</v>
      </c>
      <c r="AB70" s="325"/>
      <c r="AC70" s="325"/>
      <c r="AD70" s="325">
        <f>R70*V70</f>
        <v>0</v>
      </c>
      <c r="AE70" s="51" t="s">
        <v>25</v>
      </c>
      <c r="AF70" s="4"/>
    </row>
    <row r="71" spans="1:34" s="11" customFormat="1" ht="21" customHeight="1">
      <c r="A71" s="42"/>
      <c r="B71" s="320"/>
      <c r="C71" s="320"/>
      <c r="D71" s="165"/>
      <c r="E71" s="114"/>
      <c r="F71" s="114"/>
      <c r="G71" s="114"/>
      <c r="H71" s="114"/>
      <c r="I71" s="114"/>
      <c r="J71" s="114"/>
      <c r="K71" s="114"/>
      <c r="L71" s="114"/>
      <c r="M71" s="74"/>
      <c r="N71" s="326"/>
      <c r="O71" s="326"/>
      <c r="P71" s="326"/>
      <c r="Q71" s="326"/>
      <c r="R71" s="325"/>
      <c r="S71" s="325"/>
      <c r="T71" s="49"/>
      <c r="U71" s="49"/>
      <c r="V71" s="325"/>
      <c r="W71" s="326"/>
      <c r="X71" s="325"/>
      <c r="Y71" s="325"/>
      <c r="Z71" s="325"/>
      <c r="AA71" s="325"/>
      <c r="AB71" s="325"/>
      <c r="AC71" s="325"/>
      <c r="AD71" s="325"/>
      <c r="AE71" s="51"/>
      <c r="AF71" s="4"/>
    </row>
    <row r="72" spans="1:34" s="8" customFormat="1" ht="21" customHeight="1">
      <c r="A72" s="42"/>
      <c r="B72" s="319" t="s">
        <v>12</v>
      </c>
      <c r="C72" s="182" t="s">
        <v>5</v>
      </c>
      <c r="D72" s="184">
        <v>6101</v>
      </c>
      <c r="E72" s="184">
        <f t="shared" ref="E72:K72" si="6">SUM(E73,E76,E81,E87,E95,E98)</f>
        <v>6562</v>
      </c>
      <c r="F72" s="184">
        <f t="shared" si="6"/>
        <v>4844.5600000000004</v>
      </c>
      <c r="G72" s="184">
        <f t="shared" si="6"/>
        <v>0</v>
      </c>
      <c r="H72" s="184">
        <f t="shared" si="6"/>
        <v>1716.89456</v>
      </c>
      <c r="I72" s="184">
        <v>0</v>
      </c>
      <c r="J72" s="184">
        <f t="shared" si="6"/>
        <v>0</v>
      </c>
      <c r="K72" s="184">
        <f t="shared" si="6"/>
        <v>0</v>
      </c>
      <c r="L72" s="184">
        <f>E72-D72</f>
        <v>461</v>
      </c>
      <c r="M72" s="185">
        <f>IF(D72=0,0,L72/D72)</f>
        <v>7.5561383379773805E-2</v>
      </c>
      <c r="N72" s="324" t="s">
        <v>131</v>
      </c>
      <c r="O72" s="324"/>
      <c r="P72" s="324"/>
      <c r="Q72" s="324"/>
      <c r="R72" s="323"/>
      <c r="S72" s="323"/>
      <c r="T72" s="197"/>
      <c r="U72" s="323"/>
      <c r="V72" s="409"/>
      <c r="W72" s="410"/>
      <c r="X72" s="323"/>
      <c r="Y72" s="323"/>
      <c r="Z72" s="323"/>
      <c r="AA72" s="323"/>
      <c r="AB72" s="323"/>
      <c r="AC72" s="323"/>
      <c r="AD72" s="323">
        <f>SUM(AD73,AD76,AD81,AD87,AD95,AD98)</f>
        <v>6561100</v>
      </c>
      <c r="AE72" s="186" t="s">
        <v>25</v>
      </c>
      <c r="AF72" s="1"/>
    </row>
    <row r="73" spans="1:34" s="8" customFormat="1" ht="21" customHeight="1">
      <c r="A73" s="42"/>
      <c r="B73" s="320"/>
      <c r="C73" s="320" t="s">
        <v>87</v>
      </c>
      <c r="D73" s="165">
        <v>0</v>
      </c>
      <c r="E73" s="114">
        <f>AD73/1000</f>
        <v>0</v>
      </c>
      <c r="F73" s="114">
        <v>0</v>
      </c>
      <c r="G73" s="114">
        <v>0</v>
      </c>
      <c r="H73" s="114">
        <v>0</v>
      </c>
      <c r="I73" s="114">
        <v>0</v>
      </c>
      <c r="J73" s="114">
        <v>0</v>
      </c>
      <c r="K73" s="114">
        <v>0</v>
      </c>
      <c r="L73" s="114">
        <f>E73-D73</f>
        <v>0</v>
      </c>
      <c r="M73" s="74">
        <f>IF(D73=0,0,L73/D73)</f>
        <v>0</v>
      </c>
      <c r="N73" s="121" t="s">
        <v>42</v>
      </c>
      <c r="O73" s="194"/>
      <c r="P73" s="194"/>
      <c r="Q73" s="194"/>
      <c r="R73" s="194"/>
      <c r="S73" s="194"/>
      <c r="T73" s="193"/>
      <c r="U73" s="193"/>
      <c r="V73" s="193"/>
      <c r="W73" s="193"/>
      <c r="X73" s="193"/>
      <c r="Y73" s="323" t="s">
        <v>127</v>
      </c>
      <c r="Z73" s="323"/>
      <c r="AA73" s="323"/>
      <c r="AB73" s="323"/>
      <c r="AC73" s="187"/>
      <c r="AD73" s="187">
        <f>AD74</f>
        <v>0</v>
      </c>
      <c r="AE73" s="186" t="s">
        <v>25</v>
      </c>
      <c r="AF73" s="17"/>
      <c r="AG73" s="16"/>
      <c r="AH73" s="16"/>
    </row>
    <row r="74" spans="1:34" s="8" customFormat="1" ht="21" customHeight="1">
      <c r="A74" s="42"/>
      <c r="B74" s="320"/>
      <c r="C74" s="320"/>
      <c r="D74" s="165"/>
      <c r="E74" s="114"/>
      <c r="F74" s="114"/>
      <c r="G74" s="114"/>
      <c r="H74" s="114"/>
      <c r="I74" s="114"/>
      <c r="J74" s="114"/>
      <c r="K74" s="114"/>
      <c r="L74" s="114"/>
      <c r="M74" s="74"/>
      <c r="N74" s="326" t="s">
        <v>132</v>
      </c>
      <c r="O74" s="326"/>
      <c r="P74" s="326"/>
      <c r="Q74" s="326"/>
      <c r="R74" s="325">
        <v>20000</v>
      </c>
      <c r="S74" s="325"/>
      <c r="T74" s="49" t="s">
        <v>25</v>
      </c>
      <c r="U74" s="49" t="s">
        <v>26</v>
      </c>
      <c r="V74" s="325">
        <v>1</v>
      </c>
      <c r="W74" s="49" t="s">
        <v>133</v>
      </c>
      <c r="X74" s="325" t="s">
        <v>26</v>
      </c>
      <c r="Y74" s="325">
        <v>3</v>
      </c>
      <c r="Z74" s="325" t="s">
        <v>134</v>
      </c>
      <c r="AA74" s="325" t="s">
        <v>27</v>
      </c>
      <c r="AB74" s="325"/>
      <c r="AC74" s="325"/>
      <c r="AD74" s="325">
        <v>0</v>
      </c>
      <c r="AE74" s="51" t="s">
        <v>58</v>
      </c>
      <c r="AF74" s="17"/>
      <c r="AG74" s="16"/>
      <c r="AH74" s="16"/>
    </row>
    <row r="75" spans="1:34" s="8" customFormat="1" ht="21" customHeight="1">
      <c r="A75" s="42"/>
      <c r="B75" s="320"/>
      <c r="C75" s="320"/>
      <c r="D75" s="165"/>
      <c r="E75" s="114"/>
      <c r="F75" s="114"/>
      <c r="G75" s="114"/>
      <c r="H75" s="114"/>
      <c r="I75" s="114"/>
      <c r="J75" s="114"/>
      <c r="K75" s="114"/>
      <c r="L75" s="114"/>
      <c r="M75" s="74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236"/>
      <c r="AF75" s="2"/>
    </row>
    <row r="76" spans="1:34" s="8" customFormat="1" ht="21" customHeight="1">
      <c r="A76" s="42"/>
      <c r="B76" s="320"/>
      <c r="C76" s="319" t="s">
        <v>43</v>
      </c>
      <c r="D76" s="167">
        <v>1996</v>
      </c>
      <c r="E76" s="118">
        <f>ROUND(AD76/1000,0)</f>
        <v>2500</v>
      </c>
      <c r="F76" s="118">
        <f>(AD77+AD78)/1000</f>
        <v>1700</v>
      </c>
      <c r="G76" s="118">
        <v>0</v>
      </c>
      <c r="H76" s="118">
        <f>AD79/1000</f>
        <v>800</v>
      </c>
      <c r="I76" s="118">
        <v>0</v>
      </c>
      <c r="J76" s="118">
        <v>0</v>
      </c>
      <c r="K76" s="118">
        <v>0</v>
      </c>
      <c r="L76" s="118">
        <f>E76-D76</f>
        <v>504</v>
      </c>
      <c r="M76" s="125">
        <f>IF(D76=0,0,L76/D76)</f>
        <v>0.25250501002004005</v>
      </c>
      <c r="N76" s="103" t="s">
        <v>44</v>
      </c>
      <c r="O76" s="196"/>
      <c r="P76" s="196"/>
      <c r="Q76" s="196"/>
      <c r="R76" s="196"/>
      <c r="S76" s="196"/>
      <c r="T76" s="195"/>
      <c r="U76" s="195"/>
      <c r="V76" s="195"/>
      <c r="W76" s="195"/>
      <c r="X76" s="195"/>
      <c r="Y76" s="323" t="s">
        <v>162</v>
      </c>
      <c r="Z76" s="323"/>
      <c r="AA76" s="323"/>
      <c r="AB76" s="323"/>
      <c r="AC76" s="187"/>
      <c r="AD76" s="187">
        <f>SUM(AD77:AD79)</f>
        <v>2500000</v>
      </c>
      <c r="AE76" s="186" t="s">
        <v>25</v>
      </c>
      <c r="AF76" s="1"/>
    </row>
    <row r="77" spans="1:34" s="8" customFormat="1" ht="21" customHeight="1">
      <c r="A77" s="42"/>
      <c r="B77" s="320"/>
      <c r="C77" s="320" t="s">
        <v>138</v>
      </c>
      <c r="D77" s="165"/>
      <c r="E77" s="114"/>
      <c r="F77" s="114"/>
      <c r="G77" s="114"/>
      <c r="H77" s="114"/>
      <c r="I77" s="114"/>
      <c r="J77" s="114"/>
      <c r="K77" s="114"/>
      <c r="L77" s="114"/>
      <c r="M77" s="74"/>
      <c r="N77" s="170" t="s">
        <v>163</v>
      </c>
      <c r="O77" s="326"/>
      <c r="P77" s="326"/>
      <c r="Q77" s="326"/>
      <c r="R77" s="325"/>
      <c r="S77" s="325"/>
      <c r="T77" s="49"/>
      <c r="U77" s="325"/>
      <c r="V77" s="411"/>
      <c r="W77" s="412"/>
      <c r="X77" s="325"/>
      <c r="Y77" s="94"/>
      <c r="Z77" s="94"/>
      <c r="AA77" s="94"/>
      <c r="AB77" s="94" t="s">
        <v>286</v>
      </c>
      <c r="AC77" s="94"/>
      <c r="AD77" s="94">
        <v>1700000</v>
      </c>
      <c r="AE77" s="126" t="s">
        <v>25</v>
      </c>
      <c r="AF77" s="1"/>
    </row>
    <row r="78" spans="1:34" s="8" customFormat="1" ht="21" customHeight="1">
      <c r="A78" s="42"/>
      <c r="B78" s="320"/>
      <c r="C78" s="320"/>
      <c r="D78" s="165"/>
      <c r="E78" s="114"/>
      <c r="F78" s="114"/>
      <c r="G78" s="114"/>
      <c r="H78" s="114"/>
      <c r="I78" s="114"/>
      <c r="J78" s="114"/>
      <c r="K78" s="114"/>
      <c r="L78" s="114"/>
      <c r="M78" s="74"/>
      <c r="N78" s="326" t="s">
        <v>205</v>
      </c>
      <c r="O78" s="326"/>
      <c r="P78" s="326"/>
      <c r="Q78" s="326"/>
      <c r="R78" s="325"/>
      <c r="S78" s="325"/>
      <c r="T78" s="49"/>
      <c r="U78" s="49"/>
      <c r="V78" s="325"/>
      <c r="W78" s="326"/>
      <c r="X78" s="325"/>
      <c r="Y78" s="325"/>
      <c r="Z78" s="325"/>
      <c r="AA78" s="325"/>
      <c r="AB78" s="325" t="s">
        <v>286</v>
      </c>
      <c r="AC78" s="325"/>
      <c r="AD78" s="325">
        <v>0</v>
      </c>
      <c r="AE78" s="51" t="s">
        <v>58</v>
      </c>
      <c r="AF78" s="17"/>
    </row>
    <row r="79" spans="1:34" s="8" customFormat="1" ht="21" customHeight="1">
      <c r="A79" s="42"/>
      <c r="B79" s="320"/>
      <c r="C79" s="320"/>
      <c r="D79" s="165"/>
      <c r="E79" s="114"/>
      <c r="F79" s="114"/>
      <c r="G79" s="114"/>
      <c r="H79" s="114"/>
      <c r="I79" s="114"/>
      <c r="J79" s="114"/>
      <c r="K79" s="114"/>
      <c r="L79" s="114"/>
      <c r="M79" s="74"/>
      <c r="N79" s="326" t="s">
        <v>206</v>
      </c>
      <c r="O79" s="326"/>
      <c r="P79" s="326"/>
      <c r="Q79" s="326"/>
      <c r="R79" s="325"/>
      <c r="S79" s="325"/>
      <c r="T79" s="49"/>
      <c r="U79" s="49"/>
      <c r="V79" s="325"/>
      <c r="W79" s="326"/>
      <c r="X79" s="325"/>
      <c r="Y79" s="325"/>
      <c r="Z79" s="325"/>
      <c r="AA79" s="325"/>
      <c r="AB79" s="325" t="s">
        <v>285</v>
      </c>
      <c r="AC79" s="325"/>
      <c r="AD79" s="325">
        <v>800000</v>
      </c>
      <c r="AE79" s="51" t="s">
        <v>201</v>
      </c>
      <c r="AF79" s="17"/>
    </row>
    <row r="80" spans="1:34" s="8" customFormat="1" ht="21" customHeight="1">
      <c r="A80" s="42"/>
      <c r="B80" s="320"/>
      <c r="C80" s="53"/>
      <c r="D80" s="166"/>
      <c r="E80" s="116"/>
      <c r="F80" s="116"/>
      <c r="G80" s="116"/>
      <c r="H80" s="116"/>
      <c r="I80" s="116"/>
      <c r="J80" s="116"/>
      <c r="K80" s="116"/>
      <c r="L80" s="116"/>
      <c r="M80" s="90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  <c r="AA80" s="134"/>
      <c r="AB80" s="134"/>
      <c r="AC80" s="134"/>
      <c r="AD80" s="135"/>
      <c r="AE80" s="136"/>
      <c r="AF80" s="1"/>
    </row>
    <row r="81" spans="1:32" s="8" customFormat="1" ht="21" customHeight="1">
      <c r="A81" s="42"/>
      <c r="B81" s="320"/>
      <c r="C81" s="320" t="s">
        <v>41</v>
      </c>
      <c r="D81" s="165">
        <v>3750</v>
      </c>
      <c r="E81" s="114">
        <f>ROUND(AD81/1000,0)</f>
        <v>3707</v>
      </c>
      <c r="F81" s="114">
        <f>(AD83+AD82)/1000</f>
        <v>2790</v>
      </c>
      <c r="G81" s="114">
        <v>0</v>
      </c>
      <c r="H81" s="114">
        <f>(AD84+AD85)/1000</f>
        <v>916.54</v>
      </c>
      <c r="I81" s="114">
        <v>0</v>
      </c>
      <c r="J81" s="114">
        <v>0</v>
      </c>
      <c r="K81" s="114">
        <v>0</v>
      </c>
      <c r="L81" s="114">
        <f>E81-D81</f>
        <v>-43</v>
      </c>
      <c r="M81" s="74">
        <f>IF(D81=0,0,L81/D81)</f>
        <v>-1.1466666666666667E-2</v>
      </c>
      <c r="N81" s="121" t="s">
        <v>45</v>
      </c>
      <c r="O81" s="194"/>
      <c r="P81" s="194"/>
      <c r="Q81" s="194"/>
      <c r="R81" s="194"/>
      <c r="S81" s="194"/>
      <c r="T81" s="193"/>
      <c r="U81" s="193"/>
      <c r="V81" s="193"/>
      <c r="W81" s="193"/>
      <c r="X81" s="193"/>
      <c r="Y81" s="323" t="s">
        <v>127</v>
      </c>
      <c r="Z81" s="323"/>
      <c r="AA81" s="323"/>
      <c r="AB81" s="323"/>
      <c r="AC81" s="187"/>
      <c r="AD81" s="187">
        <f>SUM(AD82:AD85)</f>
        <v>3706540</v>
      </c>
      <c r="AE81" s="186" t="s">
        <v>25</v>
      </c>
      <c r="AF81" s="1"/>
    </row>
    <row r="82" spans="1:32" s="8" customFormat="1" ht="21" customHeight="1">
      <c r="A82" s="42"/>
      <c r="B82" s="320"/>
      <c r="C82" s="320"/>
      <c r="D82" s="165"/>
      <c r="E82" s="114"/>
      <c r="F82" s="114"/>
      <c r="G82" s="114"/>
      <c r="H82" s="114"/>
      <c r="I82" s="114"/>
      <c r="J82" s="114"/>
      <c r="K82" s="114"/>
      <c r="L82" s="114"/>
      <c r="M82" s="74"/>
      <c r="N82" s="170" t="s">
        <v>276</v>
      </c>
      <c r="O82" s="326"/>
      <c r="P82" s="326"/>
      <c r="Q82" s="326"/>
      <c r="R82" s="131">
        <v>45000</v>
      </c>
      <c r="S82" s="131"/>
      <c r="T82" s="132" t="s">
        <v>25</v>
      </c>
      <c r="U82" s="132" t="s">
        <v>26</v>
      </c>
      <c r="V82" s="131">
        <v>12</v>
      </c>
      <c r="W82" s="130" t="s">
        <v>29</v>
      </c>
      <c r="X82" s="131" t="s">
        <v>27</v>
      </c>
      <c r="Y82" s="325"/>
      <c r="Z82" s="325"/>
      <c r="AA82" s="325"/>
      <c r="AB82" s="325" t="s">
        <v>286</v>
      </c>
      <c r="AC82" s="325"/>
      <c r="AD82" s="325">
        <f>ROUNDUP(R82*V82,1)</f>
        <v>540000</v>
      </c>
      <c r="AE82" s="51" t="s">
        <v>25</v>
      </c>
      <c r="AF82" s="1"/>
    </row>
    <row r="83" spans="1:32" s="8" customFormat="1" ht="21" customHeight="1">
      <c r="A83" s="42"/>
      <c r="B83" s="320"/>
      <c r="C83" s="320"/>
      <c r="D83" s="165"/>
      <c r="E83" s="114"/>
      <c r="F83" s="114"/>
      <c r="G83" s="114"/>
      <c r="H83" s="114"/>
      <c r="I83" s="114"/>
      <c r="J83" s="114"/>
      <c r="K83" s="114"/>
      <c r="L83" s="114"/>
      <c r="M83" s="74"/>
      <c r="N83" s="70" t="s">
        <v>277</v>
      </c>
      <c r="O83" s="326"/>
      <c r="P83" s="326"/>
      <c r="Q83" s="326"/>
      <c r="R83" s="325">
        <v>250000</v>
      </c>
      <c r="S83" s="325"/>
      <c r="T83" s="49" t="s">
        <v>58</v>
      </c>
      <c r="U83" s="49" t="s">
        <v>26</v>
      </c>
      <c r="V83" s="325">
        <v>9</v>
      </c>
      <c r="W83" s="326" t="s">
        <v>0</v>
      </c>
      <c r="X83" s="325" t="s">
        <v>27</v>
      </c>
      <c r="Y83" s="325"/>
      <c r="Z83" s="325"/>
      <c r="AA83" s="325"/>
      <c r="AB83" s="325" t="s">
        <v>286</v>
      </c>
      <c r="AC83" s="325"/>
      <c r="AD83" s="325">
        <f>R83*V83</f>
        <v>2250000</v>
      </c>
      <c r="AE83" s="51" t="s">
        <v>103</v>
      </c>
      <c r="AF83" s="1"/>
    </row>
    <row r="84" spans="1:32" s="8" customFormat="1" ht="21" customHeight="1">
      <c r="A84" s="42"/>
      <c r="B84" s="320"/>
      <c r="C84" s="320"/>
      <c r="D84" s="165"/>
      <c r="E84" s="114"/>
      <c r="F84" s="114"/>
      <c r="G84" s="114"/>
      <c r="H84" s="114"/>
      <c r="I84" s="114"/>
      <c r="J84" s="114"/>
      <c r="K84" s="114"/>
      <c r="L84" s="114"/>
      <c r="M84" s="74"/>
      <c r="N84" s="326" t="s">
        <v>278</v>
      </c>
      <c r="O84" s="326"/>
      <c r="P84" s="326"/>
      <c r="Q84" s="326"/>
      <c r="R84" s="131">
        <v>16540</v>
      </c>
      <c r="S84" s="131"/>
      <c r="T84" s="132" t="s">
        <v>25</v>
      </c>
      <c r="U84" s="132" t="s">
        <v>26</v>
      </c>
      <c r="V84" s="131">
        <v>1</v>
      </c>
      <c r="W84" s="130" t="s">
        <v>29</v>
      </c>
      <c r="X84" s="131" t="s">
        <v>27</v>
      </c>
      <c r="Y84" s="325"/>
      <c r="Z84" s="325"/>
      <c r="AA84" s="325"/>
      <c r="AB84" s="325" t="s">
        <v>285</v>
      </c>
      <c r="AC84" s="325"/>
      <c r="AD84" s="325">
        <v>16540</v>
      </c>
      <c r="AE84" s="51" t="s">
        <v>25</v>
      </c>
      <c r="AF84" s="1"/>
    </row>
    <row r="85" spans="1:32" s="8" customFormat="1" ht="21" customHeight="1">
      <c r="A85" s="42"/>
      <c r="B85" s="320"/>
      <c r="C85" s="320"/>
      <c r="D85" s="165"/>
      <c r="E85" s="114"/>
      <c r="F85" s="114"/>
      <c r="G85" s="114"/>
      <c r="H85" s="114"/>
      <c r="I85" s="114"/>
      <c r="J85" s="114"/>
      <c r="K85" s="114"/>
      <c r="L85" s="114"/>
      <c r="M85" s="74"/>
      <c r="N85" s="326" t="s">
        <v>279</v>
      </c>
      <c r="O85" s="326"/>
      <c r="P85" s="326"/>
      <c r="Q85" s="326"/>
      <c r="R85" s="325">
        <v>300000</v>
      </c>
      <c r="S85" s="325"/>
      <c r="T85" s="49" t="s">
        <v>58</v>
      </c>
      <c r="U85" s="49" t="s">
        <v>26</v>
      </c>
      <c r="V85" s="325">
        <v>3</v>
      </c>
      <c r="W85" s="326" t="s">
        <v>0</v>
      </c>
      <c r="X85" s="325" t="s">
        <v>27</v>
      </c>
      <c r="Y85" s="325"/>
      <c r="Z85" s="325"/>
      <c r="AA85" s="325"/>
      <c r="AB85" s="325" t="s">
        <v>285</v>
      </c>
      <c r="AC85" s="325"/>
      <c r="AD85" s="325">
        <v>900000</v>
      </c>
      <c r="AE85" s="51" t="s">
        <v>58</v>
      </c>
      <c r="AF85" s="1"/>
    </row>
    <row r="86" spans="1:32" s="11" customFormat="1" ht="21" customHeight="1">
      <c r="A86" s="42"/>
      <c r="B86" s="320"/>
      <c r="C86" s="320"/>
      <c r="D86" s="165"/>
      <c r="E86" s="114"/>
      <c r="F86" s="114"/>
      <c r="G86" s="114"/>
      <c r="H86" s="114"/>
      <c r="I86" s="114"/>
      <c r="J86" s="114"/>
      <c r="K86" s="114"/>
      <c r="L86" s="114"/>
      <c r="M86" s="74"/>
      <c r="N86" s="124"/>
      <c r="O86" s="326"/>
      <c r="P86" s="326"/>
      <c r="Q86" s="326"/>
      <c r="R86" s="325"/>
      <c r="S86" s="325"/>
      <c r="T86" s="49"/>
      <c r="U86" s="49"/>
      <c r="V86" s="325"/>
      <c r="W86" s="326"/>
      <c r="X86" s="325"/>
      <c r="Y86" s="325"/>
      <c r="Z86" s="325"/>
      <c r="AA86" s="325"/>
      <c r="AB86" s="325"/>
      <c r="AC86" s="325"/>
      <c r="AD86" s="325"/>
      <c r="AE86" s="51"/>
      <c r="AF86" s="4"/>
    </row>
    <row r="87" spans="1:32" ht="21" customHeight="1">
      <c r="A87" s="42"/>
      <c r="B87" s="320"/>
      <c r="C87" s="319" t="s">
        <v>15</v>
      </c>
      <c r="D87" s="167">
        <v>355</v>
      </c>
      <c r="E87" s="118">
        <f>ROUND(AD87/1000,0)</f>
        <v>355</v>
      </c>
      <c r="F87" s="118">
        <f>(AD90+AD91+AD92+AD88+AD89+AD93)/1000</f>
        <v>354.56</v>
      </c>
      <c r="G87" s="118">
        <v>0</v>
      </c>
      <c r="H87" s="118">
        <f>(F87)/1000</f>
        <v>0.35455999999999999</v>
      </c>
      <c r="I87" s="118">
        <v>0</v>
      </c>
      <c r="J87" s="118">
        <v>0</v>
      </c>
      <c r="K87" s="118">
        <v>0</v>
      </c>
      <c r="L87" s="198">
        <f>E87-D87</f>
        <v>0</v>
      </c>
      <c r="M87" s="125">
        <f>IF(D87=0,0,L87/D87)</f>
        <v>0</v>
      </c>
      <c r="N87" s="103" t="s">
        <v>46</v>
      </c>
      <c r="O87" s="196"/>
      <c r="P87" s="196"/>
      <c r="Q87" s="196"/>
      <c r="R87" s="196"/>
      <c r="S87" s="196"/>
      <c r="T87" s="195"/>
      <c r="U87" s="195"/>
      <c r="V87" s="195"/>
      <c r="W87" s="195"/>
      <c r="X87" s="195"/>
      <c r="Y87" s="323" t="s">
        <v>127</v>
      </c>
      <c r="Z87" s="323"/>
      <c r="AA87" s="323"/>
      <c r="AB87" s="323"/>
      <c r="AC87" s="187"/>
      <c r="AD87" s="187">
        <f>SUM(AD88:AD93)</f>
        <v>354560</v>
      </c>
      <c r="AE87" s="186" t="s">
        <v>25</v>
      </c>
    </row>
    <row r="88" spans="1:32" s="8" customFormat="1" ht="21" customHeight="1">
      <c r="A88" s="42"/>
      <c r="B88" s="320"/>
      <c r="C88" s="320"/>
      <c r="D88" s="165"/>
      <c r="E88" s="114"/>
      <c r="F88" s="114"/>
      <c r="G88" s="114"/>
      <c r="H88" s="114"/>
      <c r="I88" s="114"/>
      <c r="J88" s="114"/>
      <c r="K88" s="114"/>
      <c r="L88" s="114"/>
      <c r="M88" s="74"/>
      <c r="N88" s="326" t="s">
        <v>165</v>
      </c>
      <c r="O88" s="137"/>
      <c r="P88" s="137"/>
      <c r="Q88" s="137"/>
      <c r="R88" s="131">
        <v>41400</v>
      </c>
      <c r="S88" s="131"/>
      <c r="T88" s="132" t="s">
        <v>25</v>
      </c>
      <c r="U88" s="132" t="s">
        <v>26</v>
      </c>
      <c r="V88" s="131">
        <v>1</v>
      </c>
      <c r="W88" s="130" t="s">
        <v>134</v>
      </c>
      <c r="X88" s="131" t="s">
        <v>27</v>
      </c>
      <c r="Y88" s="325"/>
      <c r="Z88" s="325"/>
      <c r="AA88" s="326"/>
      <c r="AB88" s="326"/>
      <c r="AC88" s="325"/>
      <c r="AD88" s="325">
        <f>R88*V88</f>
        <v>41400</v>
      </c>
      <c r="AE88" s="51" t="s">
        <v>58</v>
      </c>
      <c r="AF88" s="1"/>
    </row>
    <row r="89" spans="1:32" s="8" customFormat="1" ht="21" customHeight="1">
      <c r="A89" s="42"/>
      <c r="B89" s="320"/>
      <c r="C89" s="320"/>
      <c r="D89" s="165"/>
      <c r="E89" s="114"/>
      <c r="F89" s="114"/>
      <c r="G89" s="114"/>
      <c r="H89" s="114"/>
      <c r="I89" s="114"/>
      <c r="J89" s="114"/>
      <c r="K89" s="114"/>
      <c r="L89" s="114"/>
      <c r="M89" s="74"/>
      <c r="N89" s="224" t="s">
        <v>166</v>
      </c>
      <c r="O89" s="28"/>
      <c r="P89" s="28"/>
      <c r="Q89" s="28"/>
      <c r="R89" s="131">
        <v>91600</v>
      </c>
      <c r="S89" s="131"/>
      <c r="T89" s="132" t="s">
        <v>25</v>
      </c>
      <c r="U89" s="132" t="s">
        <v>26</v>
      </c>
      <c r="V89" s="131">
        <v>1</v>
      </c>
      <c r="W89" s="130" t="s">
        <v>134</v>
      </c>
      <c r="X89" s="131" t="s">
        <v>27</v>
      </c>
      <c r="Y89" s="325"/>
      <c r="Z89" s="325"/>
      <c r="AA89" s="326"/>
      <c r="AB89" s="326"/>
      <c r="AC89" s="325"/>
      <c r="AD89" s="325">
        <f>R89*V89</f>
        <v>91600</v>
      </c>
      <c r="AE89" s="51" t="s">
        <v>58</v>
      </c>
      <c r="AF89" s="1"/>
    </row>
    <row r="90" spans="1:32" s="8" customFormat="1" ht="21" customHeight="1">
      <c r="A90" s="42"/>
      <c r="B90" s="320"/>
      <c r="C90" s="320"/>
      <c r="D90" s="165"/>
      <c r="E90" s="114"/>
      <c r="F90" s="114"/>
      <c r="G90" s="114"/>
      <c r="H90" s="114"/>
      <c r="I90" s="114"/>
      <c r="J90" s="114"/>
      <c r="K90" s="114"/>
      <c r="L90" s="114"/>
      <c r="M90" s="74"/>
      <c r="N90" s="326" t="s">
        <v>167</v>
      </c>
      <c r="O90" s="28"/>
      <c r="P90" s="28"/>
      <c r="Q90" s="28"/>
      <c r="R90" s="131">
        <v>110000</v>
      </c>
      <c r="S90" s="131"/>
      <c r="T90" s="132" t="s">
        <v>25</v>
      </c>
      <c r="U90" s="132" t="s">
        <v>26</v>
      </c>
      <c r="V90" s="131">
        <v>1</v>
      </c>
      <c r="W90" s="130" t="s">
        <v>134</v>
      </c>
      <c r="X90" s="131" t="s">
        <v>27</v>
      </c>
      <c r="Y90" s="325"/>
      <c r="Z90" s="325"/>
      <c r="AA90" s="326"/>
      <c r="AB90" s="326"/>
      <c r="AC90" s="325"/>
      <c r="AD90" s="325">
        <f t="shared" ref="AD90:AD93" si="7">R90*V90</f>
        <v>110000</v>
      </c>
      <c r="AE90" s="51" t="s">
        <v>25</v>
      </c>
      <c r="AF90" s="1"/>
    </row>
    <row r="91" spans="1:32" s="8" customFormat="1" ht="21" customHeight="1">
      <c r="A91" s="42"/>
      <c r="B91" s="320"/>
      <c r="C91" s="320"/>
      <c r="D91" s="165"/>
      <c r="E91" s="114"/>
      <c r="F91" s="114"/>
      <c r="G91" s="114"/>
      <c r="H91" s="114"/>
      <c r="I91" s="114"/>
      <c r="J91" s="114"/>
      <c r="K91" s="114"/>
      <c r="L91" s="114"/>
      <c r="M91" s="74"/>
      <c r="N91" s="326" t="s">
        <v>168</v>
      </c>
      <c r="O91" s="137"/>
      <c r="P91" s="137"/>
      <c r="Q91" s="137"/>
      <c r="R91" s="131">
        <v>55000</v>
      </c>
      <c r="S91" s="131"/>
      <c r="T91" s="132" t="s">
        <v>25</v>
      </c>
      <c r="U91" s="132" t="s">
        <v>26</v>
      </c>
      <c r="V91" s="131">
        <v>1</v>
      </c>
      <c r="W91" s="130" t="s">
        <v>134</v>
      </c>
      <c r="X91" s="131" t="s">
        <v>27</v>
      </c>
      <c r="Y91" s="325"/>
      <c r="Z91" s="325"/>
      <c r="AA91" s="326"/>
      <c r="AB91" s="326"/>
      <c r="AC91" s="325"/>
      <c r="AD91" s="325">
        <f t="shared" si="7"/>
        <v>55000</v>
      </c>
      <c r="AE91" s="51" t="s">
        <v>25</v>
      </c>
      <c r="AF91" s="1"/>
    </row>
    <row r="92" spans="1:32" s="8" customFormat="1" ht="21" customHeight="1">
      <c r="A92" s="42"/>
      <c r="B92" s="320"/>
      <c r="C92" s="320"/>
      <c r="D92" s="165"/>
      <c r="E92" s="114"/>
      <c r="F92" s="114"/>
      <c r="G92" s="114"/>
      <c r="H92" s="114"/>
      <c r="I92" s="114"/>
      <c r="J92" s="114"/>
      <c r="K92" s="114"/>
      <c r="L92" s="114"/>
      <c r="M92" s="74"/>
      <c r="N92" s="326" t="s">
        <v>169</v>
      </c>
      <c r="O92" s="28"/>
      <c r="P92" s="28"/>
      <c r="Q92" s="28"/>
      <c r="R92" s="131">
        <v>30800</v>
      </c>
      <c r="S92" s="131"/>
      <c r="T92" s="132" t="s">
        <v>25</v>
      </c>
      <c r="U92" s="132" t="s">
        <v>26</v>
      </c>
      <c r="V92" s="131">
        <v>1</v>
      </c>
      <c r="W92" s="130" t="s">
        <v>134</v>
      </c>
      <c r="X92" s="131" t="s">
        <v>27</v>
      </c>
      <c r="Y92" s="325"/>
      <c r="Z92" s="325"/>
      <c r="AA92" s="326"/>
      <c r="AB92" s="326"/>
      <c r="AC92" s="325"/>
      <c r="AD92" s="325">
        <f t="shared" si="7"/>
        <v>30800</v>
      </c>
      <c r="AE92" s="51" t="s">
        <v>25</v>
      </c>
      <c r="AF92" s="1"/>
    </row>
    <row r="93" spans="1:32" s="8" customFormat="1" ht="21" customHeight="1">
      <c r="A93" s="42"/>
      <c r="B93" s="320"/>
      <c r="C93" s="320"/>
      <c r="D93" s="165"/>
      <c r="E93" s="114"/>
      <c r="F93" s="114"/>
      <c r="G93" s="114"/>
      <c r="H93" s="114"/>
      <c r="I93" s="114"/>
      <c r="J93" s="114"/>
      <c r="K93" s="114"/>
      <c r="L93" s="114"/>
      <c r="M93" s="74"/>
      <c r="N93" s="326" t="s">
        <v>262</v>
      </c>
      <c r="O93" s="28"/>
      <c r="P93" s="28"/>
      <c r="Q93" s="28"/>
      <c r="R93" s="131">
        <v>25760</v>
      </c>
      <c r="S93" s="131"/>
      <c r="T93" s="132" t="s">
        <v>25</v>
      </c>
      <c r="U93" s="132" t="s">
        <v>26</v>
      </c>
      <c r="V93" s="131">
        <v>1</v>
      </c>
      <c r="W93" s="130" t="s">
        <v>72</v>
      </c>
      <c r="X93" s="131" t="s">
        <v>27</v>
      </c>
      <c r="Y93" s="325"/>
      <c r="Z93" s="325"/>
      <c r="AA93" s="326"/>
      <c r="AB93" s="326"/>
      <c r="AC93" s="325"/>
      <c r="AD93" s="325">
        <f t="shared" si="7"/>
        <v>25760</v>
      </c>
      <c r="AE93" s="51" t="s">
        <v>58</v>
      </c>
      <c r="AF93" s="1"/>
    </row>
    <row r="94" spans="1:32" s="8" customFormat="1" ht="21" customHeight="1">
      <c r="A94" s="42"/>
      <c r="B94" s="320"/>
      <c r="C94" s="320"/>
      <c r="D94" s="165"/>
      <c r="E94" s="114"/>
      <c r="F94" s="114"/>
      <c r="G94" s="114"/>
      <c r="H94" s="114"/>
      <c r="I94" s="114"/>
      <c r="J94" s="114"/>
      <c r="K94" s="114"/>
      <c r="L94" s="114"/>
      <c r="M94" s="74"/>
      <c r="N94" s="326"/>
      <c r="O94" s="137"/>
      <c r="P94" s="137"/>
      <c r="Q94" s="137"/>
      <c r="R94" s="137"/>
      <c r="S94" s="137"/>
      <c r="T94" s="137"/>
      <c r="U94" s="137"/>
      <c r="V94" s="137"/>
      <c r="W94" s="137"/>
      <c r="X94" s="137"/>
      <c r="Y94" s="79"/>
      <c r="Z94" s="79"/>
      <c r="AA94" s="79"/>
      <c r="AB94" s="79"/>
      <c r="AC94" s="79"/>
      <c r="AD94" s="325"/>
      <c r="AE94" s="51"/>
      <c r="AF94" s="1"/>
    </row>
    <row r="95" spans="1:32" s="8" customFormat="1" ht="21" customHeight="1">
      <c r="A95" s="42"/>
      <c r="B95" s="320"/>
      <c r="C95" s="319" t="s">
        <v>47</v>
      </c>
      <c r="D95" s="167">
        <v>0</v>
      </c>
      <c r="E95" s="118">
        <f>ROUND(AD95/1000,0)</f>
        <v>0</v>
      </c>
      <c r="F95" s="118">
        <v>0</v>
      </c>
      <c r="G95" s="118">
        <v>0</v>
      </c>
      <c r="H95" s="118">
        <v>0</v>
      </c>
      <c r="I95" s="118">
        <v>0</v>
      </c>
      <c r="J95" s="118">
        <v>0</v>
      </c>
      <c r="K95" s="118">
        <v>0</v>
      </c>
      <c r="L95" s="118">
        <f>E95-D95</f>
        <v>0</v>
      </c>
      <c r="M95" s="125">
        <f>IF(D95=0,0,L95/D95)</f>
        <v>0</v>
      </c>
      <c r="N95" s="103" t="s">
        <v>48</v>
      </c>
      <c r="O95" s="196"/>
      <c r="P95" s="196"/>
      <c r="Q95" s="196"/>
      <c r="R95" s="196"/>
      <c r="S95" s="196"/>
      <c r="T95" s="195"/>
      <c r="U95" s="195"/>
      <c r="V95" s="195"/>
      <c r="W95" s="195"/>
      <c r="X95" s="195"/>
      <c r="Y95" s="323" t="s">
        <v>127</v>
      </c>
      <c r="Z95" s="323"/>
      <c r="AA95" s="323"/>
      <c r="AB95" s="323"/>
      <c r="AC95" s="187"/>
      <c r="AD95" s="187">
        <f>SUM(AD96:AD96)</f>
        <v>0</v>
      </c>
      <c r="AE95" s="186" t="s">
        <v>25</v>
      </c>
      <c r="AF95" s="1"/>
    </row>
    <row r="96" spans="1:32" s="8" customFormat="1" ht="21" customHeight="1">
      <c r="A96" s="42"/>
      <c r="B96" s="320"/>
      <c r="C96" s="320"/>
      <c r="D96" s="290"/>
      <c r="E96" s="114"/>
      <c r="F96" s="114"/>
      <c r="G96" s="114"/>
      <c r="H96" s="114"/>
      <c r="I96" s="114"/>
      <c r="J96" s="114"/>
      <c r="K96" s="114"/>
      <c r="L96" s="114"/>
      <c r="M96" s="74"/>
      <c r="N96" s="326" t="s">
        <v>170</v>
      </c>
      <c r="O96" s="326"/>
      <c r="P96" s="326"/>
      <c r="Q96" s="326"/>
      <c r="R96" s="131">
        <v>0</v>
      </c>
      <c r="S96" s="131"/>
      <c r="T96" s="132" t="s">
        <v>25</v>
      </c>
      <c r="U96" s="132" t="s">
        <v>26</v>
      </c>
      <c r="V96" s="131">
        <v>12</v>
      </c>
      <c r="W96" s="130" t="s">
        <v>164</v>
      </c>
      <c r="X96" s="131" t="s">
        <v>27</v>
      </c>
      <c r="Y96" s="325"/>
      <c r="Z96" s="325"/>
      <c r="AA96" s="325"/>
      <c r="AB96" s="325"/>
      <c r="AC96" s="325"/>
      <c r="AD96" s="325">
        <f>R96*V96</f>
        <v>0</v>
      </c>
      <c r="AE96" s="51" t="s">
        <v>25</v>
      </c>
      <c r="AF96" s="1"/>
    </row>
    <row r="97" spans="1:32" s="8" customFormat="1" ht="21" customHeight="1">
      <c r="A97" s="42"/>
      <c r="B97" s="320"/>
      <c r="C97" s="53"/>
      <c r="D97" s="138"/>
      <c r="E97" s="116"/>
      <c r="F97" s="116"/>
      <c r="G97" s="116"/>
      <c r="H97" s="116"/>
      <c r="I97" s="116"/>
      <c r="J97" s="116"/>
      <c r="K97" s="116"/>
      <c r="L97" s="116"/>
      <c r="M97" s="90"/>
      <c r="N97" s="322"/>
      <c r="O97" s="322"/>
      <c r="P97" s="322"/>
      <c r="Q97" s="322"/>
      <c r="R97" s="321"/>
      <c r="S97" s="321"/>
      <c r="T97" s="91"/>
      <c r="U97" s="321"/>
      <c r="V97" s="413"/>
      <c r="W97" s="414"/>
      <c r="X97" s="321"/>
      <c r="Y97" s="321"/>
      <c r="Z97" s="321"/>
      <c r="AA97" s="321"/>
      <c r="AB97" s="321"/>
      <c r="AC97" s="321"/>
      <c r="AD97" s="321"/>
      <c r="AE97" s="77"/>
      <c r="AF97" s="1"/>
    </row>
    <row r="98" spans="1:32" s="8" customFormat="1" ht="21" customHeight="1">
      <c r="A98" s="42"/>
      <c r="B98" s="320"/>
      <c r="C98" s="319" t="s">
        <v>89</v>
      </c>
      <c r="D98" s="139">
        <v>0</v>
      </c>
      <c r="E98" s="118">
        <f>ROUND(AD98/1000,0)</f>
        <v>0</v>
      </c>
      <c r="F98" s="118">
        <f>AD99/1000</f>
        <v>0</v>
      </c>
      <c r="G98" s="118">
        <v>0</v>
      </c>
      <c r="H98" s="118">
        <v>0</v>
      </c>
      <c r="I98" s="118">
        <v>0</v>
      </c>
      <c r="J98" s="118">
        <v>0</v>
      </c>
      <c r="K98" s="118">
        <v>0</v>
      </c>
      <c r="L98" s="118">
        <f>E98-D98</f>
        <v>0</v>
      </c>
      <c r="M98" s="125">
        <f>IF(D98=0,0,L98/D98)</f>
        <v>0</v>
      </c>
      <c r="N98" s="121" t="s">
        <v>90</v>
      </c>
      <c r="O98" s="196"/>
      <c r="P98" s="196"/>
      <c r="Q98" s="196"/>
      <c r="R98" s="196"/>
      <c r="S98" s="196"/>
      <c r="T98" s="195"/>
      <c r="U98" s="195"/>
      <c r="V98" s="195"/>
      <c r="W98" s="195"/>
      <c r="X98" s="195"/>
      <c r="Y98" s="323" t="s">
        <v>127</v>
      </c>
      <c r="Z98" s="323"/>
      <c r="AA98" s="323"/>
      <c r="AB98" s="323"/>
      <c r="AC98" s="187"/>
      <c r="AD98" s="187">
        <f>SUM(AD99)</f>
        <v>0</v>
      </c>
      <c r="AE98" s="186" t="s">
        <v>25</v>
      </c>
      <c r="AF98" s="1"/>
    </row>
    <row r="99" spans="1:32" s="8" customFormat="1" ht="21" customHeight="1">
      <c r="A99" s="42"/>
      <c r="B99" s="320"/>
      <c r="C99" s="320"/>
      <c r="D99" s="140"/>
      <c r="E99" s="114"/>
      <c r="F99" s="114"/>
      <c r="G99" s="114"/>
      <c r="H99" s="114"/>
      <c r="I99" s="114"/>
      <c r="J99" s="114"/>
      <c r="K99" s="114"/>
      <c r="L99" s="114"/>
      <c r="M99" s="74"/>
      <c r="N99" s="326" t="s">
        <v>171</v>
      </c>
      <c r="O99" s="326"/>
      <c r="P99" s="326"/>
      <c r="Q99" s="326"/>
      <c r="R99" s="79"/>
      <c r="S99" s="79"/>
      <c r="T99" s="325"/>
      <c r="U99" s="325"/>
      <c r="V99" s="325"/>
      <c r="W99" s="325"/>
      <c r="X99" s="325"/>
      <c r="Y99" s="325"/>
      <c r="Z99" s="325"/>
      <c r="AA99" s="325"/>
      <c r="AB99" s="325"/>
      <c r="AC99" s="71"/>
      <c r="AD99" s="71">
        <v>0</v>
      </c>
      <c r="AE99" s="51" t="s">
        <v>58</v>
      </c>
      <c r="AF99" s="1"/>
    </row>
    <row r="100" spans="1:32" s="8" customFormat="1" ht="20.25" customHeight="1">
      <c r="A100" s="42"/>
      <c r="B100" s="320"/>
      <c r="C100" s="320"/>
      <c r="D100" s="140"/>
      <c r="E100" s="114"/>
      <c r="F100" s="114"/>
      <c r="G100" s="114"/>
      <c r="H100" s="114"/>
      <c r="I100" s="114"/>
      <c r="J100" s="114"/>
      <c r="K100" s="114"/>
      <c r="L100" s="114"/>
      <c r="M100" s="74"/>
      <c r="N100" s="270"/>
      <c r="O100" s="271"/>
      <c r="P100" s="271"/>
      <c r="Q100" s="271"/>
      <c r="R100" s="271"/>
      <c r="S100" s="271"/>
      <c r="T100" s="271"/>
      <c r="U100" s="271"/>
      <c r="V100" s="271"/>
      <c r="W100" s="271"/>
      <c r="X100" s="271"/>
      <c r="Y100" s="271"/>
      <c r="Z100" s="271"/>
      <c r="AA100" s="271"/>
      <c r="AB100" s="271"/>
      <c r="AC100" s="271"/>
      <c r="AD100" s="271"/>
      <c r="AE100" s="236"/>
      <c r="AF100" s="2"/>
    </row>
    <row r="101" spans="1:32" s="8" customFormat="1" ht="21" customHeight="1">
      <c r="A101" s="117" t="s">
        <v>49</v>
      </c>
      <c r="B101" s="415" t="s">
        <v>21</v>
      </c>
      <c r="C101" s="415"/>
      <c r="D101" s="201">
        <v>0</v>
      </c>
      <c r="E101" s="201">
        <f>E102</f>
        <v>128</v>
      </c>
      <c r="F101" s="201">
        <f>F102</f>
        <v>128</v>
      </c>
      <c r="G101" s="201">
        <f>G102</f>
        <v>0</v>
      </c>
      <c r="H101" s="201">
        <f>H102</f>
        <v>0</v>
      </c>
      <c r="I101" s="201">
        <v>0</v>
      </c>
      <c r="J101" s="201">
        <f t="shared" ref="J101:K101" si="8">J102</f>
        <v>0</v>
      </c>
      <c r="K101" s="201">
        <f t="shared" si="8"/>
        <v>0</v>
      </c>
      <c r="L101" s="201">
        <f>E101-D101</f>
        <v>128</v>
      </c>
      <c r="M101" s="180">
        <f>IF(D101=0,0,L101/D101)</f>
        <v>0</v>
      </c>
      <c r="N101" s="194" t="s">
        <v>135</v>
      </c>
      <c r="O101" s="194"/>
      <c r="P101" s="194"/>
      <c r="Q101" s="194"/>
      <c r="R101" s="193"/>
      <c r="S101" s="193"/>
      <c r="T101" s="193"/>
      <c r="U101" s="193"/>
      <c r="V101" s="193"/>
      <c r="W101" s="193"/>
      <c r="X101" s="193"/>
      <c r="Y101" s="193"/>
      <c r="Z101" s="193"/>
      <c r="AA101" s="193"/>
      <c r="AB101" s="193"/>
      <c r="AC101" s="193"/>
      <c r="AD101" s="193">
        <f>AD102</f>
        <v>128000</v>
      </c>
      <c r="AE101" s="32" t="s">
        <v>25</v>
      </c>
      <c r="AF101" s="2"/>
    </row>
    <row r="102" spans="1:32" s="8" customFormat="1" ht="21" customHeight="1">
      <c r="A102" s="200" t="s">
        <v>140</v>
      </c>
      <c r="B102" s="320" t="s">
        <v>18</v>
      </c>
      <c r="C102" s="320" t="s">
        <v>136</v>
      </c>
      <c r="D102" s="165">
        <v>0</v>
      </c>
      <c r="E102" s="114">
        <f>SUM(E103,E106,E109)</f>
        <v>128</v>
      </c>
      <c r="F102" s="114">
        <f>F103+F106+F109</f>
        <v>128</v>
      </c>
      <c r="G102" s="114">
        <f>SUM(G103,G106,G109)</f>
        <v>0</v>
      </c>
      <c r="H102" s="114">
        <f>H109</f>
        <v>0</v>
      </c>
      <c r="I102" s="114">
        <v>0</v>
      </c>
      <c r="J102" s="114">
        <f>SUM(J103,J106,J109)</f>
        <v>0</v>
      </c>
      <c r="K102" s="114">
        <f>SUM(K103,K106,K109)</f>
        <v>0</v>
      </c>
      <c r="L102" s="114">
        <f>E102-D102</f>
        <v>128</v>
      </c>
      <c r="M102" s="74">
        <f>IF(D102=0,0,L102/D102)</f>
        <v>0</v>
      </c>
      <c r="N102" s="196" t="s">
        <v>137</v>
      </c>
      <c r="O102" s="196"/>
      <c r="P102" s="196"/>
      <c r="Q102" s="196"/>
      <c r="R102" s="196"/>
      <c r="S102" s="196"/>
      <c r="T102" s="195"/>
      <c r="U102" s="195"/>
      <c r="V102" s="195"/>
      <c r="W102" s="195"/>
      <c r="X102" s="195"/>
      <c r="Y102" s="195"/>
      <c r="Z102" s="195"/>
      <c r="AA102" s="195"/>
      <c r="AB102" s="195"/>
      <c r="AC102" s="101"/>
      <c r="AD102" s="101">
        <f>SUM(AD103,AD106,AD109)</f>
        <v>128000</v>
      </c>
      <c r="AE102" s="102" t="s">
        <v>25</v>
      </c>
      <c r="AF102" s="1"/>
    </row>
    <row r="103" spans="1:32" s="8" customFormat="1" ht="21" customHeight="1">
      <c r="A103" s="42"/>
      <c r="B103" s="320"/>
      <c r="C103" s="319" t="s">
        <v>137</v>
      </c>
      <c r="D103" s="198">
        <v>0</v>
      </c>
      <c r="E103" s="198">
        <v>0</v>
      </c>
      <c r="F103" s="198">
        <f>ROUND(AD104/1000,0)</f>
        <v>0</v>
      </c>
      <c r="G103" s="198">
        <v>0</v>
      </c>
      <c r="H103" s="198">
        <v>0</v>
      </c>
      <c r="I103" s="198">
        <v>0</v>
      </c>
      <c r="J103" s="198">
        <v>0</v>
      </c>
      <c r="K103" s="198">
        <v>0</v>
      </c>
      <c r="L103" s="198">
        <f>E103-D103</f>
        <v>0</v>
      </c>
      <c r="M103" s="199">
        <f>IF(D103=0,0,L103/D103)</f>
        <v>0</v>
      </c>
      <c r="N103" s="103" t="s">
        <v>50</v>
      </c>
      <c r="O103" s="196"/>
      <c r="P103" s="196"/>
      <c r="Q103" s="196"/>
      <c r="R103" s="196"/>
      <c r="S103" s="196"/>
      <c r="T103" s="195"/>
      <c r="U103" s="195"/>
      <c r="V103" s="195"/>
      <c r="W103" s="195"/>
      <c r="X103" s="195"/>
      <c r="Y103" s="323" t="s">
        <v>127</v>
      </c>
      <c r="Z103" s="323"/>
      <c r="AA103" s="323"/>
      <c r="AB103" s="323"/>
      <c r="AC103" s="187"/>
      <c r="AD103" s="187">
        <f>SUM(AD104:AD104)</f>
        <v>0</v>
      </c>
      <c r="AE103" s="186" t="s">
        <v>25</v>
      </c>
      <c r="AF103" s="1"/>
    </row>
    <row r="104" spans="1:32" s="8" customFormat="1" ht="21" customHeight="1">
      <c r="A104" s="42"/>
      <c r="B104" s="320"/>
      <c r="C104" s="320"/>
      <c r="D104" s="290"/>
      <c r="E104" s="114"/>
      <c r="F104" s="114"/>
      <c r="G104" s="114"/>
      <c r="H104" s="114"/>
      <c r="I104" s="114"/>
      <c r="J104" s="114"/>
      <c r="K104" s="114"/>
      <c r="L104" s="114"/>
      <c r="M104" s="74"/>
      <c r="N104" s="326" t="s">
        <v>251</v>
      </c>
      <c r="O104" s="194"/>
      <c r="P104" s="194"/>
      <c r="Q104" s="194"/>
      <c r="R104" s="194"/>
      <c r="S104" s="194"/>
      <c r="T104" s="193"/>
      <c r="U104" s="193"/>
      <c r="V104" s="193"/>
      <c r="W104" s="193"/>
      <c r="X104" s="193"/>
      <c r="Y104" s="193"/>
      <c r="Z104" s="193"/>
      <c r="AA104" s="193"/>
      <c r="AB104" s="325"/>
      <c r="AC104" s="46"/>
      <c r="AD104" s="71">
        <v>0</v>
      </c>
      <c r="AE104" s="51" t="s">
        <v>102</v>
      </c>
      <c r="AF104" s="2"/>
    </row>
    <row r="105" spans="1:32" s="8" customFormat="1" ht="21" customHeight="1">
      <c r="A105" s="42"/>
      <c r="B105" s="320"/>
      <c r="C105" s="320"/>
      <c r="D105" s="165"/>
      <c r="E105" s="114"/>
      <c r="F105" s="114"/>
      <c r="G105" s="114"/>
      <c r="H105" s="114"/>
      <c r="I105" s="114"/>
      <c r="J105" s="114"/>
      <c r="K105" s="114"/>
      <c r="L105" s="114"/>
      <c r="M105" s="74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79"/>
      <c r="AD105" s="291"/>
      <c r="AE105" s="129"/>
      <c r="AF105" s="2"/>
    </row>
    <row r="106" spans="1:32" s="8" customFormat="1" ht="21" customHeight="1">
      <c r="A106" s="42"/>
      <c r="B106" s="320"/>
      <c r="C106" s="319" t="s">
        <v>19</v>
      </c>
      <c r="D106" s="167">
        <v>0</v>
      </c>
      <c r="E106" s="118">
        <f>F106+G106+H106+K106</f>
        <v>128</v>
      </c>
      <c r="F106" s="118">
        <f>AD108/1000</f>
        <v>128</v>
      </c>
      <c r="G106" s="118">
        <f>(AD107)/1000</f>
        <v>0</v>
      </c>
      <c r="H106" s="118">
        <f>AD111/1000</f>
        <v>0</v>
      </c>
      <c r="I106" s="118">
        <v>0</v>
      </c>
      <c r="J106" s="118">
        <v>0</v>
      </c>
      <c r="K106" s="118">
        <v>0</v>
      </c>
      <c r="L106" s="118">
        <f>E106-D106</f>
        <v>128</v>
      </c>
      <c r="M106" s="125">
        <f>IF(D106=0,0,L106/D106)</f>
        <v>0</v>
      </c>
      <c r="N106" s="103" t="s">
        <v>51</v>
      </c>
      <c r="O106" s="196"/>
      <c r="P106" s="196"/>
      <c r="Q106" s="196"/>
      <c r="R106" s="196"/>
      <c r="S106" s="196"/>
      <c r="T106" s="195"/>
      <c r="U106" s="195"/>
      <c r="V106" s="195"/>
      <c r="W106" s="195"/>
      <c r="X106" s="195"/>
      <c r="Y106" s="323" t="s">
        <v>127</v>
      </c>
      <c r="Z106" s="323"/>
      <c r="AA106" s="323"/>
      <c r="AB106" s="323"/>
      <c r="AC106" s="187"/>
      <c r="AD106" s="187">
        <f>SUM(AD107:AD108)</f>
        <v>128000</v>
      </c>
      <c r="AE106" s="186" t="s">
        <v>25</v>
      </c>
      <c r="AF106" s="1"/>
    </row>
    <row r="107" spans="1:32" s="8" customFormat="1" ht="21" customHeight="1">
      <c r="A107" s="42"/>
      <c r="B107" s="320"/>
      <c r="C107" s="320"/>
      <c r="D107" s="290"/>
      <c r="E107" s="114"/>
      <c r="F107" s="114"/>
      <c r="G107" s="114"/>
      <c r="H107" s="114"/>
      <c r="I107" s="114"/>
      <c r="J107" s="114"/>
      <c r="K107" s="114"/>
      <c r="L107" s="114"/>
      <c r="M107" s="74"/>
      <c r="N107" s="326" t="s">
        <v>290</v>
      </c>
      <c r="O107" s="326"/>
      <c r="P107" s="326"/>
      <c r="Q107" s="194"/>
      <c r="R107" s="194"/>
      <c r="S107" s="194"/>
      <c r="T107" s="193"/>
      <c r="U107" s="193"/>
      <c r="V107" s="193"/>
      <c r="W107" s="193"/>
      <c r="X107" s="193"/>
      <c r="Y107" s="193"/>
      <c r="Z107" s="193"/>
      <c r="AA107" s="193"/>
      <c r="AB107" s="325"/>
      <c r="AC107" s="46"/>
      <c r="AD107" s="71">
        <v>0</v>
      </c>
      <c r="AE107" s="51" t="s">
        <v>25</v>
      </c>
      <c r="AF107" s="2"/>
    </row>
    <row r="108" spans="1:32" s="8" customFormat="1" ht="21" customHeight="1">
      <c r="A108" s="42"/>
      <c r="B108" s="320"/>
      <c r="C108" s="320"/>
      <c r="D108" s="290"/>
      <c r="E108" s="114"/>
      <c r="F108" s="114"/>
      <c r="G108" s="116"/>
      <c r="H108" s="114"/>
      <c r="I108" s="114"/>
      <c r="J108" s="114"/>
      <c r="K108" s="114"/>
      <c r="L108" s="114"/>
      <c r="M108" s="74"/>
      <c r="N108" s="331" t="s">
        <v>378</v>
      </c>
      <c r="O108" s="326"/>
      <c r="P108" s="326"/>
      <c r="Q108" s="326"/>
      <c r="R108" s="131">
        <v>128000</v>
      </c>
      <c r="S108" s="131"/>
      <c r="T108" s="132" t="s">
        <v>25</v>
      </c>
      <c r="U108" s="132" t="s">
        <v>26</v>
      </c>
      <c r="V108" s="131">
        <v>1</v>
      </c>
      <c r="W108" s="130" t="s">
        <v>72</v>
      </c>
      <c r="X108" s="131" t="s">
        <v>27</v>
      </c>
      <c r="Y108" s="330"/>
      <c r="Z108" s="330"/>
      <c r="AA108" s="331"/>
      <c r="AB108" s="331"/>
      <c r="AC108" s="330"/>
      <c r="AD108" s="330">
        <f t="shared" ref="AD108" si="9">R108*V108</f>
        <v>128000</v>
      </c>
      <c r="AE108" s="51" t="s">
        <v>58</v>
      </c>
      <c r="AF108" s="2"/>
    </row>
    <row r="109" spans="1:32" s="8" customFormat="1" ht="21" customHeight="1">
      <c r="A109" s="42"/>
      <c r="B109" s="320"/>
      <c r="C109" s="319" t="s">
        <v>52</v>
      </c>
      <c r="D109" s="167">
        <v>0</v>
      </c>
      <c r="E109" s="118">
        <f>F109+G109+K109</f>
        <v>0</v>
      </c>
      <c r="F109" s="118">
        <f>ROUND(AD110/1000,0)</f>
        <v>0</v>
      </c>
      <c r="G109" s="292">
        <f>AD111/1000</f>
        <v>0</v>
      </c>
      <c r="H109" s="118">
        <f>AD112/1000</f>
        <v>0</v>
      </c>
      <c r="I109" s="118">
        <v>0</v>
      </c>
      <c r="J109" s="118">
        <v>0</v>
      </c>
      <c r="K109" s="118">
        <v>0</v>
      </c>
      <c r="L109" s="118">
        <f>E109-D109</f>
        <v>0</v>
      </c>
      <c r="M109" s="125">
        <f>IF(D109=0,0,L109/D109)</f>
        <v>0</v>
      </c>
      <c r="N109" s="103" t="s">
        <v>53</v>
      </c>
      <c r="O109" s="196"/>
      <c r="P109" s="196"/>
      <c r="Q109" s="196"/>
      <c r="R109" s="196"/>
      <c r="S109" s="196"/>
      <c r="T109" s="195"/>
      <c r="U109" s="195"/>
      <c r="V109" s="195"/>
      <c r="W109" s="195"/>
      <c r="X109" s="195"/>
      <c r="Y109" s="323" t="s">
        <v>127</v>
      </c>
      <c r="Z109" s="323"/>
      <c r="AA109" s="323"/>
      <c r="AB109" s="323"/>
      <c r="AC109" s="187"/>
      <c r="AD109" s="187">
        <f>SUM(AD110:AD111)</f>
        <v>0</v>
      </c>
      <c r="AE109" s="186" t="s">
        <v>25</v>
      </c>
      <c r="AF109" s="1"/>
    </row>
    <row r="110" spans="1:32" s="1" customFormat="1" ht="21" customHeight="1">
      <c r="A110" s="42"/>
      <c r="B110" s="320"/>
      <c r="C110" s="320" t="s">
        <v>146</v>
      </c>
      <c r="D110" s="165"/>
      <c r="E110" s="114"/>
      <c r="F110" s="114"/>
      <c r="G110" s="114"/>
      <c r="H110" s="114"/>
      <c r="I110" s="114"/>
      <c r="J110" s="114"/>
      <c r="K110" s="114"/>
      <c r="L110" s="114"/>
      <c r="M110" s="74"/>
      <c r="N110" s="326" t="s">
        <v>280</v>
      </c>
      <c r="O110" s="326"/>
      <c r="P110" s="326"/>
      <c r="Q110" s="326"/>
      <c r="R110" s="325"/>
      <c r="S110" s="325"/>
      <c r="T110" s="49"/>
      <c r="U110" s="49"/>
      <c r="V110" s="325"/>
      <c r="W110" s="326"/>
      <c r="X110" s="325"/>
      <c r="Y110" s="325"/>
      <c r="Z110" s="325"/>
      <c r="AA110" s="325"/>
      <c r="AB110" s="325"/>
      <c r="AC110" s="325"/>
      <c r="AD110" s="325">
        <v>0</v>
      </c>
      <c r="AE110" s="51" t="s">
        <v>25</v>
      </c>
      <c r="AF110" s="2"/>
    </row>
    <row r="111" spans="1:32" s="1" customFormat="1" ht="21" customHeight="1">
      <c r="A111" s="42"/>
      <c r="B111" s="320"/>
      <c r="C111" s="320"/>
      <c r="D111" s="165"/>
      <c r="E111" s="114"/>
      <c r="F111" s="114"/>
      <c r="G111" s="114"/>
      <c r="H111" s="114"/>
      <c r="I111" s="114"/>
      <c r="J111" s="114"/>
      <c r="K111" s="114"/>
      <c r="L111" s="114"/>
      <c r="M111" s="74"/>
      <c r="N111" s="326" t="s">
        <v>281</v>
      </c>
      <c r="O111" s="326"/>
      <c r="P111" s="326"/>
      <c r="Q111" s="326"/>
      <c r="R111" s="325"/>
      <c r="S111" s="325"/>
      <c r="T111" s="49"/>
      <c r="U111" s="49"/>
      <c r="V111" s="325"/>
      <c r="W111" s="326"/>
      <c r="X111" s="325"/>
      <c r="Y111" s="325"/>
      <c r="Z111" s="325"/>
      <c r="AA111" s="325"/>
      <c r="AB111" s="325"/>
      <c r="AC111" s="325"/>
      <c r="AD111" s="325">
        <v>0</v>
      </c>
      <c r="AE111" s="51" t="s">
        <v>25</v>
      </c>
      <c r="AF111" s="2"/>
    </row>
    <row r="112" spans="1:32" s="1" customFormat="1" ht="21" customHeight="1">
      <c r="A112" s="42"/>
      <c r="B112" s="320"/>
      <c r="C112" s="320"/>
      <c r="D112" s="165"/>
      <c r="E112" s="114"/>
      <c r="F112" s="114"/>
      <c r="G112" s="114"/>
      <c r="H112" s="114"/>
      <c r="I112" s="114"/>
      <c r="J112" s="114"/>
      <c r="K112" s="114"/>
      <c r="L112" s="114"/>
      <c r="M112" s="74"/>
      <c r="N112" s="326"/>
      <c r="O112" s="326"/>
      <c r="P112" s="326"/>
      <c r="Q112" s="326"/>
      <c r="R112" s="325"/>
      <c r="S112" s="325"/>
      <c r="T112" s="49"/>
      <c r="U112" s="49"/>
      <c r="V112" s="325"/>
      <c r="W112" s="326"/>
      <c r="X112" s="325"/>
      <c r="Y112" s="325"/>
      <c r="Z112" s="325"/>
      <c r="AA112" s="325"/>
      <c r="AB112" s="325"/>
      <c r="AC112" s="325"/>
      <c r="AD112" s="325"/>
      <c r="AE112" s="51"/>
      <c r="AF112" s="2"/>
    </row>
    <row r="113" spans="1:32" s="8" customFormat="1" ht="21" customHeight="1">
      <c r="A113" s="117" t="s">
        <v>20</v>
      </c>
      <c r="B113" s="401" t="s">
        <v>21</v>
      </c>
      <c r="C113" s="402"/>
      <c r="D113" s="202">
        <v>15747</v>
      </c>
      <c r="E113" s="202">
        <f>SUM(E114,E139)</f>
        <v>16468.547999999999</v>
      </c>
      <c r="F113" s="202">
        <f>SUM(F114,F139)</f>
        <v>9042.7000000000007</v>
      </c>
      <c r="G113" s="202">
        <f>SUM(G114,G139)</f>
        <v>0</v>
      </c>
      <c r="H113" s="202">
        <f>SUM(H114,H139)</f>
        <v>6415.8549999999996</v>
      </c>
      <c r="I113" s="202">
        <v>327</v>
      </c>
      <c r="J113" s="202">
        <v>680</v>
      </c>
      <c r="K113" s="202">
        <f>SUM(K114,K139)</f>
        <v>3.008</v>
      </c>
      <c r="L113" s="202">
        <f>SUM(L114,L123,L128,L131,L135)</f>
        <v>164.11499999999964</v>
      </c>
      <c r="M113" s="203">
        <f>IF(D113=0,0,L113/D113)</f>
        <v>1.0421985140026648E-2</v>
      </c>
      <c r="N113" s="196" t="s">
        <v>119</v>
      </c>
      <c r="O113" s="196"/>
      <c r="P113" s="196"/>
      <c r="Q113" s="196"/>
      <c r="R113" s="196"/>
      <c r="S113" s="196"/>
      <c r="T113" s="195"/>
      <c r="U113" s="195"/>
      <c r="V113" s="195"/>
      <c r="W113" s="195"/>
      <c r="X113" s="195"/>
      <c r="Y113" s="195"/>
      <c r="Z113" s="195"/>
      <c r="AA113" s="195"/>
      <c r="AB113" s="195"/>
      <c r="AC113" s="195"/>
      <c r="AD113" s="195">
        <f>SUM(AD114,AD139)</f>
        <v>16468548</v>
      </c>
      <c r="AE113" s="102" t="s">
        <v>25</v>
      </c>
      <c r="AF113" s="10"/>
    </row>
    <row r="114" spans="1:32" s="8" customFormat="1" ht="21" customHeight="1">
      <c r="A114" s="42"/>
      <c r="B114" s="319" t="s">
        <v>95</v>
      </c>
      <c r="C114" s="319" t="s">
        <v>67</v>
      </c>
      <c r="D114" s="118">
        <f>SUM(D115,D123,D128,D131,D135)</f>
        <v>12562</v>
      </c>
      <c r="E114" s="118">
        <f>SUM(E115,E123,E128,E131,E135)</f>
        <v>12926.105</v>
      </c>
      <c r="F114" s="118">
        <f>SUM(F115,F123,F128,F131,F135)</f>
        <v>9042.7000000000007</v>
      </c>
      <c r="G114" s="118">
        <f>SUM(G115,G123,G128,G131,G135)</f>
        <v>0</v>
      </c>
      <c r="H114" s="118">
        <f>SUM(H115,H123,H128,H131,H135)</f>
        <v>3860.3969999999995</v>
      </c>
      <c r="I114" s="118">
        <f>I115</f>
        <v>20</v>
      </c>
      <c r="J114" s="118">
        <f>SUM(J115,J123,J128,J131,J135)</f>
        <v>0</v>
      </c>
      <c r="K114" s="118">
        <f>SUM(K115,K123,K128,K131,K135)</f>
        <v>3.008</v>
      </c>
      <c r="L114" s="118">
        <f>E114-D114</f>
        <v>364.10499999999956</v>
      </c>
      <c r="M114" s="125">
        <f>IF(D114=0,0,L114/D114)</f>
        <v>2.8984636204426012E-2</v>
      </c>
      <c r="N114" s="196"/>
      <c r="O114" s="196"/>
      <c r="P114" s="196"/>
      <c r="Q114" s="196"/>
      <c r="R114" s="196"/>
      <c r="S114" s="196"/>
      <c r="T114" s="195"/>
      <c r="U114" s="195"/>
      <c r="V114" s="195"/>
      <c r="W114" s="195"/>
      <c r="X114" s="195"/>
      <c r="Y114" s="195" t="s">
        <v>28</v>
      </c>
      <c r="Z114" s="195"/>
      <c r="AA114" s="195"/>
      <c r="AB114" s="195"/>
      <c r="AC114" s="101"/>
      <c r="AD114" s="101">
        <f>SUM(AD115,AD123,AD128,AD131,AD135)</f>
        <v>12926105</v>
      </c>
      <c r="AE114" s="102" t="s">
        <v>25</v>
      </c>
      <c r="AF114" s="1"/>
    </row>
    <row r="115" spans="1:32" s="8" customFormat="1" ht="21" customHeight="1">
      <c r="A115" s="42"/>
      <c r="B115" s="320"/>
      <c r="C115" s="319" t="s">
        <v>60</v>
      </c>
      <c r="D115" s="167">
        <v>11049</v>
      </c>
      <c r="E115" s="118">
        <f>SUM(F115,G115,H115,K115,I115)</f>
        <v>11613.094999999999</v>
      </c>
      <c r="F115" s="118">
        <f>(AD116+AD117+AD120)/1000</f>
        <v>8272.5</v>
      </c>
      <c r="G115" s="118">
        <v>0</v>
      </c>
      <c r="H115" s="118">
        <f>(AD118+AD119)/1000</f>
        <v>3320.5949999999998</v>
      </c>
      <c r="I115" s="118">
        <f>AD121/1000</f>
        <v>20</v>
      </c>
      <c r="J115" s="118">
        <v>0</v>
      </c>
      <c r="K115" s="118">
        <v>0</v>
      </c>
      <c r="L115" s="118">
        <f>E115-D115</f>
        <v>564.09499999999935</v>
      </c>
      <c r="M115" s="125">
        <f>IF(D115=0,0,L115/D115)</f>
        <v>5.1053941533170361E-2</v>
      </c>
      <c r="N115" s="103" t="s">
        <v>96</v>
      </c>
      <c r="O115" s="196"/>
      <c r="P115" s="196"/>
      <c r="Q115" s="196"/>
      <c r="R115" s="196"/>
      <c r="S115" s="196"/>
      <c r="T115" s="195"/>
      <c r="U115" s="195"/>
      <c r="V115" s="195"/>
      <c r="W115" s="195"/>
      <c r="X115" s="195"/>
      <c r="Y115" s="323" t="s">
        <v>127</v>
      </c>
      <c r="Z115" s="323"/>
      <c r="AA115" s="323"/>
      <c r="AB115" s="323"/>
      <c r="AC115" s="187"/>
      <c r="AD115" s="187">
        <f>SUM(AD116:AD121)</f>
        <v>11613095</v>
      </c>
      <c r="AE115" s="186" t="s">
        <v>25</v>
      </c>
      <c r="AF115" s="1"/>
    </row>
    <row r="116" spans="1:32" s="8" customFormat="1" ht="21" customHeight="1">
      <c r="A116" s="42"/>
      <c r="B116" s="320"/>
      <c r="C116" s="320"/>
      <c r="D116" s="290"/>
      <c r="E116" s="114"/>
      <c r="F116" s="114"/>
      <c r="G116" s="114"/>
      <c r="H116" s="114"/>
      <c r="I116" s="114"/>
      <c r="J116" s="114"/>
      <c r="K116" s="114"/>
      <c r="L116" s="114"/>
      <c r="M116" s="74"/>
      <c r="N116" s="326" t="s">
        <v>172</v>
      </c>
      <c r="O116" s="326"/>
      <c r="P116" s="325"/>
      <c r="Q116" s="325"/>
      <c r="R116" s="325">
        <v>170000</v>
      </c>
      <c r="S116" s="325"/>
      <c r="T116" s="325" t="s">
        <v>80</v>
      </c>
      <c r="U116" s="49" t="s">
        <v>81</v>
      </c>
      <c r="V116" s="325">
        <v>7</v>
      </c>
      <c r="W116" s="325" t="s">
        <v>0</v>
      </c>
      <c r="X116" s="49" t="s">
        <v>81</v>
      </c>
      <c r="Y116" s="325">
        <v>5</v>
      </c>
      <c r="Z116" s="325" t="s">
        <v>82</v>
      </c>
      <c r="AA116" s="204" t="s">
        <v>54</v>
      </c>
      <c r="AB116" s="325" t="s">
        <v>88</v>
      </c>
      <c r="AC116" s="71"/>
      <c r="AD116" s="71">
        <f>ROUNDDOWN(R116*V116*Y116,-1)</f>
        <v>5950000</v>
      </c>
      <c r="AE116" s="51" t="s">
        <v>25</v>
      </c>
      <c r="AF116" s="2"/>
    </row>
    <row r="117" spans="1:32" s="8" customFormat="1" ht="21" customHeight="1">
      <c r="A117" s="42"/>
      <c r="B117" s="320"/>
      <c r="C117" s="320"/>
      <c r="D117" s="290"/>
      <c r="E117" s="114"/>
      <c r="F117" s="114"/>
      <c r="G117" s="114"/>
      <c r="H117" s="114"/>
      <c r="I117" s="114"/>
      <c r="J117" s="114"/>
      <c r="K117" s="114"/>
      <c r="L117" s="114"/>
      <c r="M117" s="74"/>
      <c r="N117" s="326" t="s">
        <v>363</v>
      </c>
      <c r="O117" s="326"/>
      <c r="P117" s="325"/>
      <c r="Q117" s="325"/>
      <c r="R117" s="325">
        <v>103350</v>
      </c>
      <c r="S117" s="325"/>
      <c r="T117" s="325" t="s">
        <v>58</v>
      </c>
      <c r="U117" s="49" t="s">
        <v>361</v>
      </c>
      <c r="V117" s="325">
        <v>5</v>
      </c>
      <c r="W117" s="325" t="s">
        <v>362</v>
      </c>
      <c r="X117" s="49" t="s">
        <v>361</v>
      </c>
      <c r="Y117" s="325">
        <v>4</v>
      </c>
      <c r="Z117" s="325" t="s">
        <v>57</v>
      </c>
      <c r="AA117" s="204" t="s">
        <v>54</v>
      </c>
      <c r="AB117" s="325" t="s">
        <v>286</v>
      </c>
      <c r="AC117" s="71"/>
      <c r="AD117" s="71">
        <v>2067000</v>
      </c>
      <c r="AE117" s="51" t="s">
        <v>58</v>
      </c>
      <c r="AF117" s="2"/>
    </row>
    <row r="118" spans="1:32" s="8" customFormat="1" ht="21" customHeight="1">
      <c r="A118" s="42"/>
      <c r="B118" s="320"/>
      <c r="C118" s="320"/>
      <c r="D118" s="290"/>
      <c r="E118" s="114"/>
      <c r="F118" s="114"/>
      <c r="G118" s="114"/>
      <c r="H118" s="114"/>
      <c r="I118" s="114"/>
      <c r="J118" s="114"/>
      <c r="K118" s="114"/>
      <c r="L118" s="114"/>
      <c r="M118" s="74"/>
      <c r="N118" s="326" t="s">
        <v>364</v>
      </c>
      <c r="O118" s="326"/>
      <c r="P118" s="326"/>
      <c r="Q118" s="326"/>
      <c r="R118" s="325">
        <v>60829</v>
      </c>
      <c r="S118" s="325"/>
      <c r="T118" s="49" t="s">
        <v>25</v>
      </c>
      <c r="U118" s="49" t="s">
        <v>26</v>
      </c>
      <c r="V118" s="325">
        <v>7</v>
      </c>
      <c r="W118" s="325" t="s">
        <v>29</v>
      </c>
      <c r="X118" s="49" t="s">
        <v>26</v>
      </c>
      <c r="Y118" s="325">
        <v>5</v>
      </c>
      <c r="Z118" s="325" t="s">
        <v>133</v>
      </c>
      <c r="AA118" s="204" t="s">
        <v>54</v>
      </c>
      <c r="AB118" s="325" t="s">
        <v>101</v>
      </c>
      <c r="AC118" s="325"/>
      <c r="AD118" s="325">
        <f>R118*V118*Y118</f>
        <v>2129015</v>
      </c>
      <c r="AE118" s="133" t="s">
        <v>80</v>
      </c>
      <c r="AF118" s="2"/>
    </row>
    <row r="119" spans="1:32" s="8" customFormat="1" ht="21" customHeight="1">
      <c r="A119" s="42"/>
      <c r="B119" s="320"/>
      <c r="C119" s="320"/>
      <c r="D119" s="290"/>
      <c r="E119" s="114"/>
      <c r="F119" s="114"/>
      <c r="G119" s="114"/>
      <c r="H119" s="114"/>
      <c r="I119" s="114"/>
      <c r="J119" s="114"/>
      <c r="K119" s="114"/>
      <c r="L119" s="114"/>
      <c r="M119" s="74"/>
      <c r="N119" s="326" t="s">
        <v>365</v>
      </c>
      <c r="O119" s="326"/>
      <c r="P119" s="326"/>
      <c r="Q119" s="326"/>
      <c r="R119" s="348">
        <v>59579</v>
      </c>
      <c r="S119" s="348"/>
      <c r="T119" s="49" t="s">
        <v>25</v>
      </c>
      <c r="U119" s="49" t="s">
        <v>26</v>
      </c>
      <c r="V119" s="348">
        <v>5</v>
      </c>
      <c r="W119" s="348" t="s">
        <v>29</v>
      </c>
      <c r="X119" s="49" t="s">
        <v>26</v>
      </c>
      <c r="Y119" s="348">
        <v>4</v>
      </c>
      <c r="Z119" s="348" t="s">
        <v>133</v>
      </c>
      <c r="AA119" s="204" t="s">
        <v>54</v>
      </c>
      <c r="AB119" s="348" t="s">
        <v>101</v>
      </c>
      <c r="AC119" s="348"/>
      <c r="AD119" s="348">
        <f>R119*V119*Y119</f>
        <v>1191580</v>
      </c>
      <c r="AE119" s="133" t="s">
        <v>58</v>
      </c>
      <c r="AF119" s="2"/>
    </row>
    <row r="120" spans="1:32" s="8" customFormat="1" ht="21" customHeight="1">
      <c r="A120" s="42"/>
      <c r="B120" s="320"/>
      <c r="C120" s="320"/>
      <c r="D120" s="290"/>
      <c r="E120" s="114"/>
      <c r="F120" s="114"/>
      <c r="G120" s="114"/>
      <c r="H120" s="114"/>
      <c r="I120" s="114"/>
      <c r="J120" s="114"/>
      <c r="K120" s="114"/>
      <c r="L120" s="114"/>
      <c r="M120" s="74"/>
      <c r="N120" s="326" t="s">
        <v>366</v>
      </c>
      <c r="O120" s="326"/>
      <c r="P120" s="326"/>
      <c r="Q120" s="326"/>
      <c r="R120" s="325">
        <v>255000</v>
      </c>
      <c r="S120" s="325"/>
      <c r="T120" s="49" t="s">
        <v>374</v>
      </c>
      <c r="U120" s="49" t="s">
        <v>375</v>
      </c>
      <c r="V120" s="325">
        <v>1</v>
      </c>
      <c r="W120" s="330" t="s">
        <v>376</v>
      </c>
      <c r="X120" s="49"/>
      <c r="Y120" s="325"/>
      <c r="Z120" s="325"/>
      <c r="AA120" s="204" t="s">
        <v>54</v>
      </c>
      <c r="AB120" s="330" t="s">
        <v>377</v>
      </c>
      <c r="AC120" s="325"/>
      <c r="AD120" s="325">
        <v>255500</v>
      </c>
      <c r="AE120" s="133" t="s">
        <v>187</v>
      </c>
      <c r="AF120" s="2"/>
    </row>
    <row r="121" spans="1:32" s="8" customFormat="1" ht="21" customHeight="1">
      <c r="A121" s="42"/>
      <c r="B121" s="320"/>
      <c r="C121" s="320"/>
      <c r="D121" s="290"/>
      <c r="E121" s="114"/>
      <c r="F121" s="114"/>
      <c r="G121" s="114"/>
      <c r="H121" s="114"/>
      <c r="I121" s="114"/>
      <c r="J121" s="114"/>
      <c r="K121" s="114"/>
      <c r="L121" s="114"/>
      <c r="M121" s="74"/>
      <c r="N121" s="326" t="s">
        <v>367</v>
      </c>
      <c r="O121" s="326"/>
      <c r="P121" s="326"/>
      <c r="Q121" s="326"/>
      <c r="R121" s="325">
        <v>20000</v>
      </c>
      <c r="S121" s="325"/>
      <c r="T121" s="49" t="s">
        <v>374</v>
      </c>
      <c r="U121" s="49" t="s">
        <v>375</v>
      </c>
      <c r="V121" s="325">
        <v>1</v>
      </c>
      <c r="W121" s="330" t="s">
        <v>376</v>
      </c>
      <c r="X121" s="49"/>
      <c r="Y121" s="325"/>
      <c r="Z121" s="325"/>
      <c r="AA121" s="204" t="s">
        <v>54</v>
      </c>
      <c r="AB121" s="325" t="s">
        <v>332</v>
      </c>
      <c r="AC121" s="325"/>
      <c r="AD121" s="325">
        <v>20000</v>
      </c>
      <c r="AE121" s="133" t="s">
        <v>154</v>
      </c>
      <c r="AF121" s="2"/>
    </row>
    <row r="122" spans="1:32" s="8" customFormat="1" ht="21" customHeight="1">
      <c r="A122" s="42"/>
      <c r="B122" s="320"/>
      <c r="C122" s="53"/>
      <c r="D122" s="166"/>
      <c r="E122" s="116"/>
      <c r="F122" s="116"/>
      <c r="G122" s="116"/>
      <c r="H122" s="116"/>
      <c r="I122" s="116"/>
      <c r="J122" s="116"/>
      <c r="K122" s="116"/>
      <c r="L122" s="116"/>
      <c r="M122" s="90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  <c r="AC122" s="79"/>
      <c r="AD122" s="291"/>
      <c r="AE122" s="129"/>
      <c r="AF122" s="2"/>
    </row>
    <row r="123" spans="1:32" s="8" customFormat="1" ht="21" customHeight="1">
      <c r="A123" s="42"/>
      <c r="B123" s="320"/>
      <c r="C123" s="320" t="s">
        <v>97</v>
      </c>
      <c r="D123" s="165">
        <v>909</v>
      </c>
      <c r="E123" s="114">
        <f>SUM(F123,G123,H123,K123)</f>
        <v>803.20800000000008</v>
      </c>
      <c r="F123" s="114">
        <f>AD124/1000</f>
        <v>500.2</v>
      </c>
      <c r="G123" s="114">
        <v>0</v>
      </c>
      <c r="H123" s="114">
        <f>AD125/1000</f>
        <v>300</v>
      </c>
      <c r="I123" s="114">
        <v>0</v>
      </c>
      <c r="J123" s="114">
        <f>AD127/1000</f>
        <v>0</v>
      </c>
      <c r="K123" s="114">
        <f>AD126/1000</f>
        <v>3.008</v>
      </c>
      <c r="L123" s="114">
        <f>E123-D123</f>
        <v>-105.79199999999992</v>
      </c>
      <c r="M123" s="74">
        <f>IF(D123=0,0,L123/D123)</f>
        <v>-0.1163828382838283</v>
      </c>
      <c r="N123" s="103" t="s">
        <v>98</v>
      </c>
      <c r="O123" s="196"/>
      <c r="P123" s="196"/>
      <c r="Q123" s="196"/>
      <c r="R123" s="196"/>
      <c r="S123" s="196"/>
      <c r="T123" s="195"/>
      <c r="U123" s="195"/>
      <c r="V123" s="195"/>
      <c r="W123" s="195"/>
      <c r="X123" s="195"/>
      <c r="Y123" s="323" t="s">
        <v>127</v>
      </c>
      <c r="Z123" s="323"/>
      <c r="AA123" s="323"/>
      <c r="AB123" s="323"/>
      <c r="AC123" s="187"/>
      <c r="AD123" s="187">
        <f>SUM(AD124:AD127)</f>
        <v>803208</v>
      </c>
      <c r="AE123" s="186" t="s">
        <v>25</v>
      </c>
      <c r="AF123" s="1"/>
    </row>
    <row r="124" spans="1:32" s="8" customFormat="1" ht="21" customHeight="1">
      <c r="A124" s="42"/>
      <c r="B124" s="320"/>
      <c r="C124" s="320" t="s">
        <v>139</v>
      </c>
      <c r="D124" s="165"/>
      <c r="E124" s="114"/>
      <c r="F124" s="114"/>
      <c r="G124" s="114"/>
      <c r="H124" s="114"/>
      <c r="I124" s="114"/>
      <c r="J124" s="114"/>
      <c r="K124" s="114"/>
      <c r="L124" s="114"/>
      <c r="M124" s="74"/>
      <c r="N124" s="326" t="s">
        <v>173</v>
      </c>
      <c r="O124" s="326"/>
      <c r="P124" s="326"/>
      <c r="Q124" s="326"/>
      <c r="R124" s="325"/>
      <c r="S124" s="325"/>
      <c r="T124" s="49"/>
      <c r="U124" s="49"/>
      <c r="V124" s="325"/>
      <c r="W124" s="325"/>
      <c r="X124" s="325"/>
      <c r="Y124" s="325"/>
      <c r="Z124" s="325"/>
      <c r="AA124" s="325"/>
      <c r="AB124" s="325" t="s">
        <v>286</v>
      </c>
      <c r="AC124" s="325"/>
      <c r="AD124" s="325">
        <v>500200</v>
      </c>
      <c r="AE124" s="51" t="s">
        <v>80</v>
      </c>
      <c r="AF124" s="2"/>
    </row>
    <row r="125" spans="1:32" s="8" customFormat="1" ht="21" customHeight="1">
      <c r="A125" s="42"/>
      <c r="B125" s="338"/>
      <c r="C125" s="338"/>
      <c r="D125" s="165"/>
      <c r="E125" s="114"/>
      <c r="F125" s="114"/>
      <c r="G125" s="114"/>
      <c r="H125" s="114"/>
      <c r="I125" s="114"/>
      <c r="J125" s="114"/>
      <c r="K125" s="114"/>
      <c r="L125" s="114"/>
      <c r="M125" s="74"/>
      <c r="N125" s="337" t="s">
        <v>173</v>
      </c>
      <c r="O125" s="337"/>
      <c r="P125" s="337"/>
      <c r="Q125" s="337"/>
      <c r="R125" s="336"/>
      <c r="S125" s="336"/>
      <c r="T125" s="49"/>
      <c r="U125" s="49"/>
      <c r="V125" s="336"/>
      <c r="W125" s="336"/>
      <c r="X125" s="336"/>
      <c r="Y125" s="336"/>
      <c r="Z125" s="336"/>
      <c r="AA125" s="336"/>
      <c r="AB125" s="336" t="s">
        <v>383</v>
      </c>
      <c r="AC125" s="336"/>
      <c r="AD125" s="336">
        <v>300000</v>
      </c>
      <c r="AE125" s="51" t="s">
        <v>58</v>
      </c>
      <c r="AF125" s="2"/>
    </row>
    <row r="126" spans="1:32" s="8" customFormat="1" ht="21" customHeight="1">
      <c r="A126" s="42"/>
      <c r="B126" s="320"/>
      <c r="C126" s="320"/>
      <c r="D126" s="165"/>
      <c r="E126" s="114"/>
      <c r="F126" s="114"/>
      <c r="G126" s="114"/>
      <c r="H126" s="114"/>
      <c r="I126" s="114"/>
      <c r="J126" s="114"/>
      <c r="K126" s="114"/>
      <c r="L126" s="114"/>
      <c r="M126" s="74"/>
      <c r="N126" s="326" t="s">
        <v>173</v>
      </c>
      <c r="O126" s="326"/>
      <c r="P126" s="326"/>
      <c r="Q126" s="326"/>
      <c r="R126" s="325"/>
      <c r="S126" s="325"/>
      <c r="T126" s="49"/>
      <c r="U126" s="49"/>
      <c r="V126" s="325"/>
      <c r="W126" s="325"/>
      <c r="X126" s="325"/>
      <c r="Y126" s="325"/>
      <c r="Z126" s="325"/>
      <c r="AA126" s="325"/>
      <c r="AB126" s="325" t="s">
        <v>331</v>
      </c>
      <c r="AC126" s="325"/>
      <c r="AD126" s="325">
        <v>3008</v>
      </c>
      <c r="AE126" s="51" t="s">
        <v>58</v>
      </c>
      <c r="AF126" s="2"/>
    </row>
    <row r="127" spans="1:32" s="8" customFormat="1" ht="21" customHeight="1">
      <c r="A127" s="42"/>
      <c r="B127" s="320"/>
      <c r="C127" s="320"/>
      <c r="D127" s="165"/>
      <c r="E127" s="114"/>
      <c r="F127" s="114"/>
      <c r="G127" s="114"/>
      <c r="H127" s="114"/>
      <c r="I127" s="114"/>
      <c r="J127" s="114"/>
      <c r="K127" s="114"/>
      <c r="L127" s="114"/>
      <c r="M127" s="74"/>
      <c r="N127" s="326"/>
      <c r="O127" s="322"/>
      <c r="P127" s="322"/>
      <c r="Q127" s="322"/>
      <c r="R127" s="321"/>
      <c r="S127" s="321"/>
      <c r="T127" s="91"/>
      <c r="U127" s="49"/>
      <c r="V127" s="76"/>
      <c r="W127" s="321"/>
      <c r="X127" s="321"/>
      <c r="Y127" s="321"/>
      <c r="Z127" s="321"/>
      <c r="AA127" s="321"/>
      <c r="AB127" s="321"/>
      <c r="AC127" s="321"/>
      <c r="AD127" s="321"/>
      <c r="AE127" s="77"/>
      <c r="AF127" s="1"/>
    </row>
    <row r="128" spans="1:32" s="8" customFormat="1" ht="21" customHeight="1">
      <c r="A128" s="42"/>
      <c r="B128" s="320"/>
      <c r="C128" s="319" t="s">
        <v>92</v>
      </c>
      <c r="D128" s="167">
        <v>250</v>
      </c>
      <c r="E128" s="114">
        <f>SUM(F128,G128,H128,K128)</f>
        <v>186</v>
      </c>
      <c r="F128" s="118">
        <v>0</v>
      </c>
      <c r="G128" s="118">
        <v>0</v>
      </c>
      <c r="H128" s="118">
        <f>AD128/1000</f>
        <v>186</v>
      </c>
      <c r="I128" s="118">
        <v>0</v>
      </c>
      <c r="J128" s="118">
        <v>0</v>
      </c>
      <c r="K128" s="118">
        <v>0</v>
      </c>
      <c r="L128" s="118">
        <f>E128-D128</f>
        <v>-64</v>
      </c>
      <c r="M128" s="125">
        <f>IF(D128=0,0,L128/D128)</f>
        <v>-0.25600000000000001</v>
      </c>
      <c r="N128" s="103" t="s">
        <v>122</v>
      </c>
      <c r="O128" s="324"/>
      <c r="P128" s="196"/>
      <c r="Q128" s="196"/>
      <c r="R128" s="196"/>
      <c r="S128" s="196"/>
      <c r="T128" s="195"/>
      <c r="U128" s="195"/>
      <c r="V128" s="195"/>
      <c r="W128" s="195"/>
      <c r="X128" s="195"/>
      <c r="Y128" s="323" t="s">
        <v>127</v>
      </c>
      <c r="Z128" s="323"/>
      <c r="AA128" s="323"/>
      <c r="AB128" s="323"/>
      <c r="AC128" s="187"/>
      <c r="AD128" s="187">
        <f>SUM(AD129:AD130)</f>
        <v>186000</v>
      </c>
      <c r="AE128" s="186" t="s">
        <v>25</v>
      </c>
      <c r="AF128" s="1"/>
    </row>
    <row r="129" spans="1:32" s="8" customFormat="1" ht="21" customHeight="1">
      <c r="A129" s="42"/>
      <c r="B129" s="320"/>
      <c r="C129" s="320"/>
      <c r="D129" s="290"/>
      <c r="E129" s="114"/>
      <c r="F129" s="114"/>
      <c r="G129" s="114"/>
      <c r="H129" s="114"/>
      <c r="I129" s="114"/>
      <c r="J129" s="114"/>
      <c r="K129" s="114"/>
      <c r="L129" s="114"/>
      <c r="M129" s="74"/>
      <c r="N129" s="337" t="s">
        <v>174</v>
      </c>
      <c r="O129" s="326"/>
      <c r="P129" s="325"/>
      <c r="Q129" s="325"/>
      <c r="R129" s="325">
        <v>37200</v>
      </c>
      <c r="S129" s="325"/>
      <c r="T129" s="325" t="s">
        <v>80</v>
      </c>
      <c r="U129" s="326" t="s">
        <v>81</v>
      </c>
      <c r="V129" s="325">
        <v>5</v>
      </c>
      <c r="W129" s="325" t="s">
        <v>175</v>
      </c>
      <c r="X129" s="326" t="s">
        <v>176</v>
      </c>
      <c r="Y129" s="325"/>
      <c r="Z129" s="325"/>
      <c r="AA129" s="325"/>
      <c r="AB129" s="325" t="s">
        <v>285</v>
      </c>
      <c r="AC129" s="71"/>
      <c r="AD129" s="71">
        <f>R129*V129</f>
        <v>186000</v>
      </c>
      <c r="AE129" s="51" t="s">
        <v>25</v>
      </c>
      <c r="AF129" s="1"/>
    </row>
    <row r="130" spans="1:32" s="8" customFormat="1" ht="21" customHeight="1">
      <c r="A130" s="42"/>
      <c r="B130" s="320"/>
      <c r="C130" s="320"/>
      <c r="D130" s="165"/>
      <c r="E130" s="114"/>
      <c r="F130" s="114"/>
      <c r="G130" s="114"/>
      <c r="H130" s="114"/>
      <c r="I130" s="114"/>
      <c r="J130" s="114"/>
      <c r="K130" s="114"/>
      <c r="L130" s="114"/>
      <c r="M130" s="74"/>
      <c r="N130" s="326"/>
      <c r="O130" s="326"/>
      <c r="P130" s="325"/>
      <c r="Q130" s="325"/>
      <c r="R130" s="325"/>
      <c r="S130" s="325"/>
      <c r="T130" s="325"/>
      <c r="U130" s="326"/>
      <c r="V130" s="325"/>
      <c r="W130" s="325"/>
      <c r="X130" s="326"/>
      <c r="Y130" s="325"/>
      <c r="Z130" s="325"/>
      <c r="AA130" s="325"/>
      <c r="AB130" s="325"/>
      <c r="AC130" s="71"/>
      <c r="AD130" s="71"/>
      <c r="AE130" s="51"/>
      <c r="AF130" s="1"/>
    </row>
    <row r="131" spans="1:32" s="8" customFormat="1" ht="21" customHeight="1">
      <c r="A131" s="42"/>
      <c r="B131" s="320"/>
      <c r="C131" s="319" t="s">
        <v>93</v>
      </c>
      <c r="D131" s="167">
        <v>237</v>
      </c>
      <c r="E131" s="118">
        <f>F131+G131+H131+K131</f>
        <v>237.08199999999999</v>
      </c>
      <c r="F131" s="118">
        <f>AD132/1000</f>
        <v>200</v>
      </c>
      <c r="G131" s="118">
        <v>0</v>
      </c>
      <c r="H131" s="118">
        <f>AD133/1000</f>
        <v>37.082000000000001</v>
      </c>
      <c r="I131" s="118">
        <v>0</v>
      </c>
      <c r="J131" s="118">
        <v>0</v>
      </c>
      <c r="K131" s="118">
        <v>0</v>
      </c>
      <c r="L131" s="118">
        <f>E131-D131</f>
        <v>8.1999999999993634E-2</v>
      </c>
      <c r="M131" s="125">
        <f>IF(D131=0,0,L131/D131)</f>
        <v>3.4599156118140774E-4</v>
      </c>
      <c r="N131" s="103" t="s">
        <v>123</v>
      </c>
      <c r="O131" s="324"/>
      <c r="P131" s="196"/>
      <c r="Q131" s="196"/>
      <c r="R131" s="196"/>
      <c r="S131" s="196"/>
      <c r="T131" s="195"/>
      <c r="U131" s="195"/>
      <c r="V131" s="195"/>
      <c r="W131" s="195"/>
      <c r="X131" s="195"/>
      <c r="Y131" s="323" t="s">
        <v>127</v>
      </c>
      <c r="Z131" s="323"/>
      <c r="AA131" s="323"/>
      <c r="AB131" s="323"/>
      <c r="AC131" s="187"/>
      <c r="AD131" s="187">
        <f>SUM(AD132:AD133)</f>
        <v>237082</v>
      </c>
      <c r="AE131" s="186" t="s">
        <v>25</v>
      </c>
      <c r="AF131" s="1"/>
    </row>
    <row r="132" spans="1:32" s="11" customFormat="1" ht="21" customHeight="1">
      <c r="A132" s="42"/>
      <c r="B132" s="320"/>
      <c r="C132" s="320"/>
      <c r="D132" s="165"/>
      <c r="E132" s="114"/>
      <c r="F132" s="114"/>
      <c r="G132" s="114"/>
      <c r="H132" s="114"/>
      <c r="I132" s="114"/>
      <c r="J132" s="114"/>
      <c r="K132" s="114"/>
      <c r="L132" s="114"/>
      <c r="M132" s="74"/>
      <c r="N132" s="326" t="s">
        <v>177</v>
      </c>
      <c r="O132" s="326"/>
      <c r="P132" s="325"/>
      <c r="Q132" s="325"/>
      <c r="R132" s="325">
        <v>40000</v>
      </c>
      <c r="S132" s="325"/>
      <c r="T132" s="325" t="s">
        <v>80</v>
      </c>
      <c r="U132" s="326" t="s">
        <v>81</v>
      </c>
      <c r="V132" s="325">
        <v>1</v>
      </c>
      <c r="W132" s="325" t="s">
        <v>91</v>
      </c>
      <c r="X132" s="326" t="s">
        <v>81</v>
      </c>
      <c r="Y132" s="325">
        <v>5</v>
      </c>
      <c r="Z132" s="325" t="s">
        <v>82</v>
      </c>
      <c r="AA132" s="325" t="s">
        <v>54</v>
      </c>
      <c r="AB132" s="325" t="s">
        <v>286</v>
      </c>
      <c r="AC132" s="71"/>
      <c r="AD132" s="71">
        <f>R132*V132*Y132</f>
        <v>200000</v>
      </c>
      <c r="AE132" s="51" t="s">
        <v>25</v>
      </c>
      <c r="AF132" s="5"/>
    </row>
    <row r="133" spans="1:32" s="11" customFormat="1" ht="21" customHeight="1">
      <c r="A133" s="42"/>
      <c r="B133" s="320"/>
      <c r="C133" s="320"/>
      <c r="D133" s="165"/>
      <c r="E133" s="114"/>
      <c r="F133" s="114"/>
      <c r="G133" s="114"/>
      <c r="H133" s="114"/>
      <c r="I133" s="114"/>
      <c r="J133" s="114"/>
      <c r="K133" s="114"/>
      <c r="L133" s="114"/>
      <c r="M133" s="74"/>
      <c r="N133" s="326" t="s">
        <v>178</v>
      </c>
      <c r="O133" s="326"/>
      <c r="P133" s="326"/>
      <c r="Q133" s="326"/>
      <c r="R133" s="325">
        <v>19500</v>
      </c>
      <c r="S133" s="325"/>
      <c r="T133" s="49"/>
      <c r="U133" s="49"/>
      <c r="V133" s="325"/>
      <c r="W133" s="325"/>
      <c r="X133" s="204"/>
      <c r="Y133" s="141"/>
      <c r="Z133" s="79"/>
      <c r="AA133" s="192"/>
      <c r="AB133" s="325" t="s">
        <v>285</v>
      </c>
      <c r="AC133" s="325"/>
      <c r="AD133" s="325">
        <v>37082</v>
      </c>
      <c r="AE133" s="51" t="s">
        <v>25</v>
      </c>
      <c r="AF133" s="5"/>
    </row>
    <row r="134" spans="1:32" s="8" customFormat="1" ht="21" customHeight="1">
      <c r="A134" s="42"/>
      <c r="B134" s="320"/>
      <c r="C134" s="53"/>
      <c r="D134" s="166"/>
      <c r="E134" s="172"/>
      <c r="F134" s="172"/>
      <c r="G134" s="172"/>
      <c r="H134" s="172"/>
      <c r="I134" s="172"/>
      <c r="J134" s="172"/>
      <c r="K134" s="172"/>
      <c r="L134" s="143"/>
      <c r="M134" s="90"/>
      <c r="N134" s="142"/>
      <c r="O134" s="142"/>
      <c r="P134" s="142"/>
      <c r="Q134" s="142"/>
      <c r="R134" s="142"/>
      <c r="S134" s="142"/>
      <c r="T134" s="144"/>
      <c r="U134" s="325"/>
      <c r="V134" s="204"/>
      <c r="W134" s="325"/>
      <c r="X134" s="325"/>
      <c r="Y134" s="325"/>
      <c r="Z134" s="325"/>
      <c r="AA134" s="325"/>
      <c r="AB134" s="325"/>
      <c r="AC134" s="325"/>
      <c r="AD134" s="325"/>
      <c r="AE134" s="51"/>
      <c r="AF134" s="1"/>
    </row>
    <row r="135" spans="1:32" s="8" customFormat="1" ht="21" customHeight="1">
      <c r="A135" s="42"/>
      <c r="B135" s="320"/>
      <c r="C135" s="320" t="s">
        <v>94</v>
      </c>
      <c r="D135" s="140">
        <v>117</v>
      </c>
      <c r="E135" s="114">
        <f>SUM(F135,G135,H135,K135)</f>
        <v>86.72</v>
      </c>
      <c r="F135" s="114">
        <f>AD136/1000</f>
        <v>70</v>
      </c>
      <c r="G135" s="114">
        <v>0</v>
      </c>
      <c r="H135" s="114">
        <f>AD137/1000</f>
        <v>16.72</v>
      </c>
      <c r="I135" s="114">
        <v>0</v>
      </c>
      <c r="J135" s="114">
        <v>0</v>
      </c>
      <c r="K135" s="114">
        <v>0</v>
      </c>
      <c r="L135" s="114">
        <f>E135-D135</f>
        <v>-30.28</v>
      </c>
      <c r="M135" s="74">
        <f>IF(D135=0,0,L135/D135)</f>
        <v>-0.25880341880341884</v>
      </c>
      <c r="N135" s="103" t="s">
        <v>99</v>
      </c>
      <c r="O135" s="196"/>
      <c r="P135" s="196"/>
      <c r="Q135" s="196"/>
      <c r="R135" s="196"/>
      <c r="S135" s="196"/>
      <c r="T135" s="195"/>
      <c r="U135" s="195"/>
      <c r="V135" s="195"/>
      <c r="W135" s="195"/>
      <c r="X135" s="195"/>
      <c r="Y135" s="323" t="s">
        <v>127</v>
      </c>
      <c r="Z135" s="323"/>
      <c r="AA135" s="323"/>
      <c r="AB135" s="323"/>
      <c r="AC135" s="187"/>
      <c r="AD135" s="187">
        <f>SUM(AD136:AD137)</f>
        <v>86720</v>
      </c>
      <c r="AE135" s="186" t="s">
        <v>25</v>
      </c>
      <c r="AF135" s="1"/>
    </row>
    <row r="136" spans="1:32" s="8" customFormat="1" ht="21" customHeight="1">
      <c r="A136" s="42"/>
      <c r="B136" s="320"/>
      <c r="C136" s="320"/>
      <c r="D136" s="140"/>
      <c r="E136" s="114"/>
      <c r="F136" s="114"/>
      <c r="G136" s="114"/>
      <c r="H136" s="114"/>
      <c r="I136" s="114"/>
      <c r="J136" s="114"/>
      <c r="K136" s="114"/>
      <c r="L136" s="114"/>
      <c r="M136" s="74"/>
      <c r="N136" s="326" t="s">
        <v>179</v>
      </c>
      <c r="O136" s="326"/>
      <c r="P136" s="326"/>
      <c r="Q136" s="326"/>
      <c r="R136" s="325">
        <v>14000</v>
      </c>
      <c r="S136" s="325"/>
      <c r="T136" s="49" t="s">
        <v>58</v>
      </c>
      <c r="U136" s="49" t="s">
        <v>26</v>
      </c>
      <c r="V136" s="325">
        <v>5</v>
      </c>
      <c r="W136" s="325" t="s">
        <v>0</v>
      </c>
      <c r="X136" s="204"/>
      <c r="Y136" s="141"/>
      <c r="Z136" s="79"/>
      <c r="AA136" s="192" t="s">
        <v>54</v>
      </c>
      <c r="AB136" s="325" t="s">
        <v>286</v>
      </c>
      <c r="AC136" s="325"/>
      <c r="AD136" s="325">
        <f>ROUNDUP(R136*V136,1)</f>
        <v>70000</v>
      </c>
      <c r="AE136" s="51" t="s">
        <v>25</v>
      </c>
      <c r="AF136" s="1"/>
    </row>
    <row r="137" spans="1:32" s="8" customFormat="1" ht="21" customHeight="1">
      <c r="A137" s="42"/>
      <c r="B137" s="320"/>
      <c r="C137" s="320"/>
      <c r="D137" s="165"/>
      <c r="E137" s="114"/>
      <c r="F137" s="114"/>
      <c r="G137" s="114"/>
      <c r="H137" s="114"/>
      <c r="I137" s="114"/>
      <c r="J137" s="114"/>
      <c r="K137" s="114"/>
      <c r="L137" s="114"/>
      <c r="M137" s="74"/>
      <c r="N137" s="326" t="s">
        <v>179</v>
      </c>
      <c r="O137" s="326"/>
      <c r="P137" s="326"/>
      <c r="Q137" s="326"/>
      <c r="R137" s="325">
        <v>16720</v>
      </c>
      <c r="S137" s="325"/>
      <c r="T137" s="49" t="s">
        <v>58</v>
      </c>
      <c r="U137" s="49" t="s">
        <v>26</v>
      </c>
      <c r="V137" s="325">
        <v>1</v>
      </c>
      <c r="W137" s="325" t="s">
        <v>0</v>
      </c>
      <c r="X137" s="204"/>
      <c r="Y137" s="141"/>
      <c r="Z137" s="79"/>
      <c r="AA137" s="192" t="s">
        <v>54</v>
      </c>
      <c r="AB137" s="325" t="s">
        <v>101</v>
      </c>
      <c r="AC137" s="325"/>
      <c r="AD137" s="325">
        <f>ROUNDUP(R137*V137,1)</f>
        <v>16720</v>
      </c>
      <c r="AE137" s="51" t="s">
        <v>25</v>
      </c>
      <c r="AF137" s="1"/>
    </row>
    <row r="138" spans="1:32" s="8" customFormat="1" ht="21" customHeight="1">
      <c r="A138" s="42"/>
      <c r="B138" s="320"/>
      <c r="C138" s="320"/>
      <c r="D138" s="165"/>
      <c r="E138" s="114"/>
      <c r="F138" s="114"/>
      <c r="G138" s="114"/>
      <c r="H138" s="114"/>
      <c r="I138" s="114"/>
      <c r="J138" s="114"/>
      <c r="K138" s="114"/>
      <c r="L138" s="114"/>
      <c r="M138" s="74"/>
      <c r="N138" s="326"/>
      <c r="O138" s="326"/>
      <c r="P138" s="326"/>
      <c r="Q138" s="326"/>
      <c r="R138" s="325"/>
      <c r="S138" s="325"/>
      <c r="T138" s="49"/>
      <c r="U138" s="326"/>
      <c r="V138" s="325"/>
      <c r="W138" s="326"/>
      <c r="X138" s="325"/>
      <c r="Y138" s="325"/>
      <c r="Z138" s="325"/>
      <c r="AA138" s="325"/>
      <c r="AB138" s="325"/>
      <c r="AC138" s="325"/>
      <c r="AD138" s="325"/>
      <c r="AE138" s="51"/>
      <c r="AF138" s="1"/>
    </row>
    <row r="139" spans="1:32" s="8" customFormat="1" ht="21" customHeight="1">
      <c r="A139" s="42"/>
      <c r="B139" s="319" t="s">
        <v>100</v>
      </c>
      <c r="C139" s="182" t="s">
        <v>136</v>
      </c>
      <c r="D139" s="184">
        <f>D140</f>
        <v>2731</v>
      </c>
      <c r="E139" s="184">
        <f>E140</f>
        <v>3542.4430000000002</v>
      </c>
      <c r="F139" s="184">
        <f t="shared" ref="F139:K139" si="10">F140</f>
        <v>0</v>
      </c>
      <c r="G139" s="184">
        <f t="shared" si="10"/>
        <v>0</v>
      </c>
      <c r="H139" s="184">
        <f>H140</f>
        <v>2555.4580000000001</v>
      </c>
      <c r="I139" s="184">
        <f>I140</f>
        <v>307</v>
      </c>
      <c r="J139" s="184">
        <f>J140</f>
        <v>679.98500000000001</v>
      </c>
      <c r="K139" s="184">
        <f t="shared" si="10"/>
        <v>0</v>
      </c>
      <c r="L139" s="184">
        <f>E139-D139</f>
        <v>811.44300000000021</v>
      </c>
      <c r="M139" s="185">
        <f>IF(D139=0,0,L139/D139)</f>
        <v>0.29712303185646294</v>
      </c>
      <c r="N139" s="324"/>
      <c r="O139" s="324"/>
      <c r="P139" s="324"/>
      <c r="Q139" s="324"/>
      <c r="R139" s="324"/>
      <c r="S139" s="324"/>
      <c r="T139" s="323"/>
      <c r="U139" s="323"/>
      <c r="V139" s="323"/>
      <c r="W139" s="323"/>
      <c r="X139" s="323"/>
      <c r="Y139" s="323" t="s">
        <v>28</v>
      </c>
      <c r="Z139" s="323"/>
      <c r="AA139" s="323"/>
      <c r="AB139" s="323"/>
      <c r="AC139" s="187"/>
      <c r="AD139" s="187">
        <f>AD140</f>
        <v>3542443</v>
      </c>
      <c r="AE139" s="186" t="s">
        <v>25</v>
      </c>
      <c r="AF139" s="1"/>
    </row>
    <row r="140" spans="1:32" s="8" customFormat="1" ht="26.25" customHeight="1">
      <c r="A140" s="42"/>
      <c r="B140" s="320" t="s">
        <v>119</v>
      </c>
      <c r="C140" s="320" t="s">
        <v>118</v>
      </c>
      <c r="D140" s="165">
        <v>2731</v>
      </c>
      <c r="E140" s="118">
        <f>SUM(F140,G140,H140,K140,I140,J140)</f>
        <v>3542.4430000000002</v>
      </c>
      <c r="F140" s="118">
        <v>0</v>
      </c>
      <c r="G140" s="118">
        <v>0</v>
      </c>
      <c r="H140" s="118">
        <f>(AD143+AD148+AD146+AD157+AD163+AD165+AD153+AD158+AD164+AD154)/1000</f>
        <v>2555.4580000000001</v>
      </c>
      <c r="I140" s="118">
        <f>(AD144+AD145+AD147+AD161+AD162)/1000</f>
        <v>307</v>
      </c>
      <c r="J140" s="118">
        <f>(AD166+AD167)/1000</f>
        <v>679.98500000000001</v>
      </c>
      <c r="K140" s="118">
        <v>0</v>
      </c>
      <c r="L140" s="118">
        <f>E140-D140</f>
        <v>811.44300000000021</v>
      </c>
      <c r="M140" s="125">
        <f>IF(D140=0,0,L140/D140)</f>
        <v>0.29712303185646294</v>
      </c>
      <c r="N140" s="104" t="s">
        <v>120</v>
      </c>
      <c r="O140" s="121"/>
      <c r="P140" s="194"/>
      <c r="Q140" s="28"/>
      <c r="R140" s="28"/>
      <c r="S140" s="28"/>
      <c r="T140" s="28"/>
      <c r="U140" s="28"/>
      <c r="V140" s="28"/>
      <c r="W140" s="195"/>
      <c r="X140" s="195"/>
      <c r="Y140" s="323" t="s">
        <v>127</v>
      </c>
      <c r="Z140" s="105"/>
      <c r="AA140" s="105"/>
      <c r="AB140" s="105"/>
      <c r="AC140" s="122"/>
      <c r="AD140" s="122">
        <f>SUM(AD142,AD152,AD156,AD160)</f>
        <v>3542443</v>
      </c>
      <c r="AE140" s="123" t="s">
        <v>25</v>
      </c>
      <c r="AF140" s="1"/>
    </row>
    <row r="141" spans="1:32" s="12" customFormat="1" ht="24" customHeight="1">
      <c r="A141" s="42"/>
      <c r="B141" s="320"/>
      <c r="C141" s="320" t="s">
        <v>119</v>
      </c>
      <c r="D141" s="168"/>
      <c r="E141" s="114"/>
      <c r="F141" s="114"/>
      <c r="G141" s="114"/>
      <c r="H141" s="114"/>
      <c r="I141" s="114"/>
      <c r="J141" s="114"/>
      <c r="K141" s="114"/>
      <c r="L141" s="114"/>
      <c r="M141" s="74"/>
      <c r="N141" s="326"/>
      <c r="O141" s="326"/>
      <c r="P141" s="326"/>
      <c r="Q141" s="326"/>
      <c r="R141" s="326"/>
      <c r="S141" s="326"/>
      <c r="T141" s="325"/>
      <c r="U141" s="325"/>
      <c r="V141" s="325"/>
      <c r="W141" s="325"/>
      <c r="X141" s="325"/>
      <c r="Y141" s="145"/>
      <c r="Z141" s="145"/>
      <c r="AA141" s="145"/>
      <c r="AB141" s="145"/>
      <c r="AC141" s="146"/>
      <c r="AD141" s="146"/>
      <c r="AE141" s="51"/>
      <c r="AF141" s="13"/>
    </row>
    <row r="142" spans="1:32" s="12" customFormat="1" ht="24" customHeight="1">
      <c r="A142" s="42"/>
      <c r="B142" s="320"/>
      <c r="C142" s="320"/>
      <c r="D142" s="168"/>
      <c r="E142" s="114"/>
      <c r="F142" s="114"/>
      <c r="G142" s="114"/>
      <c r="H142" s="114"/>
      <c r="I142" s="114"/>
      <c r="J142" s="114"/>
      <c r="K142" s="114"/>
      <c r="L142" s="114"/>
      <c r="M142" s="74"/>
      <c r="N142" s="75" t="s">
        <v>204</v>
      </c>
      <c r="O142" s="322"/>
      <c r="P142" s="326"/>
      <c r="Q142" s="326"/>
      <c r="R142" s="326"/>
      <c r="S142" s="326"/>
      <c r="T142" s="325"/>
      <c r="U142" s="325"/>
      <c r="V142" s="325"/>
      <c r="W142" s="321" t="s">
        <v>121</v>
      </c>
      <c r="X142" s="321"/>
      <c r="Y142" s="321"/>
      <c r="Z142" s="321"/>
      <c r="AA142" s="321"/>
      <c r="AB142" s="321"/>
      <c r="AC142" s="76"/>
      <c r="AD142" s="76">
        <f>SUM(AD143:AD150)</f>
        <v>353050</v>
      </c>
      <c r="AE142" s="77" t="s">
        <v>25</v>
      </c>
      <c r="AF142" s="13"/>
    </row>
    <row r="143" spans="1:32" s="12" customFormat="1" ht="24" customHeight="1">
      <c r="A143" s="42"/>
      <c r="B143" s="320"/>
      <c r="C143" s="320"/>
      <c r="D143" s="168"/>
      <c r="E143" s="114"/>
      <c r="F143" s="114"/>
      <c r="G143" s="114"/>
      <c r="H143" s="114"/>
      <c r="I143" s="114"/>
      <c r="J143" s="114"/>
      <c r="K143" s="114"/>
      <c r="L143" s="114"/>
      <c r="M143" s="74"/>
      <c r="N143" s="326" t="s">
        <v>180</v>
      </c>
      <c r="O143" s="326"/>
      <c r="P143" s="326"/>
      <c r="Q143" s="326"/>
      <c r="R143" s="325">
        <v>7000</v>
      </c>
      <c r="S143" s="325"/>
      <c r="T143" s="325" t="s">
        <v>58</v>
      </c>
      <c r="U143" s="326" t="s">
        <v>59</v>
      </c>
      <c r="V143" s="325">
        <v>2</v>
      </c>
      <c r="W143" s="325" t="s">
        <v>72</v>
      </c>
      <c r="X143" s="326" t="s">
        <v>59</v>
      </c>
      <c r="Y143" s="325">
        <v>5</v>
      </c>
      <c r="Z143" s="325" t="s">
        <v>57</v>
      </c>
      <c r="AA143" s="325" t="s">
        <v>54</v>
      </c>
      <c r="AB143" s="325" t="s">
        <v>285</v>
      </c>
      <c r="AC143" s="71"/>
      <c r="AD143" s="71">
        <f t="shared" ref="AD143:AD150" si="11">R143*V143*Y143</f>
        <v>70000</v>
      </c>
      <c r="AE143" s="51" t="s">
        <v>25</v>
      </c>
      <c r="AF143" s="13"/>
    </row>
    <row r="144" spans="1:32" s="12" customFormat="1" ht="24" customHeight="1">
      <c r="A144" s="42"/>
      <c r="B144" s="320"/>
      <c r="C144" s="320"/>
      <c r="D144" s="168"/>
      <c r="E144" s="114"/>
      <c r="F144" s="114"/>
      <c r="G144" s="114"/>
      <c r="H144" s="114"/>
      <c r="I144" s="114"/>
      <c r="J144" s="114"/>
      <c r="K144" s="114"/>
      <c r="L144" s="114"/>
      <c r="M144" s="74"/>
      <c r="N144" s="326" t="s">
        <v>263</v>
      </c>
      <c r="O144" s="326"/>
      <c r="P144" s="326"/>
      <c r="Q144" s="326"/>
      <c r="R144" s="325">
        <v>8985</v>
      </c>
      <c r="S144" s="325"/>
      <c r="T144" s="325" t="s">
        <v>58</v>
      </c>
      <c r="U144" s="326" t="s">
        <v>59</v>
      </c>
      <c r="V144" s="325">
        <v>2</v>
      </c>
      <c r="W144" s="325" t="s">
        <v>72</v>
      </c>
      <c r="X144" s="326" t="s">
        <v>59</v>
      </c>
      <c r="Y144" s="325">
        <v>5</v>
      </c>
      <c r="Z144" s="325" t="s">
        <v>57</v>
      </c>
      <c r="AA144" s="325" t="s">
        <v>54</v>
      </c>
      <c r="AB144" s="325" t="s">
        <v>284</v>
      </c>
      <c r="AC144" s="71"/>
      <c r="AD144" s="71">
        <v>89850</v>
      </c>
      <c r="AE144" s="51" t="s">
        <v>25</v>
      </c>
      <c r="AF144" s="13"/>
    </row>
    <row r="145" spans="1:33" s="12" customFormat="1" ht="24" customHeight="1">
      <c r="A145" s="42"/>
      <c r="B145" s="320"/>
      <c r="C145" s="320"/>
      <c r="D145" s="168"/>
      <c r="E145" s="114"/>
      <c r="F145" s="114"/>
      <c r="G145" s="114"/>
      <c r="H145" s="114"/>
      <c r="I145" s="114"/>
      <c r="J145" s="114"/>
      <c r="K145" s="114"/>
      <c r="L145" s="114"/>
      <c r="M145" s="74"/>
      <c r="N145" s="326" t="s">
        <v>264</v>
      </c>
      <c r="O145" s="326"/>
      <c r="P145" s="326"/>
      <c r="Q145" s="326"/>
      <c r="R145" s="325">
        <v>10000</v>
      </c>
      <c r="S145" s="325"/>
      <c r="T145" s="325" t="s">
        <v>58</v>
      </c>
      <c r="U145" s="326" t="s">
        <v>59</v>
      </c>
      <c r="V145" s="325">
        <v>1</v>
      </c>
      <c r="W145" s="325" t="s">
        <v>72</v>
      </c>
      <c r="X145" s="326" t="s">
        <v>59</v>
      </c>
      <c r="Y145" s="325">
        <v>4</v>
      </c>
      <c r="Z145" s="325" t="s">
        <v>57</v>
      </c>
      <c r="AA145" s="325" t="s">
        <v>54</v>
      </c>
      <c r="AB145" s="325" t="s">
        <v>284</v>
      </c>
      <c r="AC145" s="71"/>
      <c r="AD145" s="71">
        <f t="shared" si="11"/>
        <v>40000</v>
      </c>
      <c r="AE145" s="51" t="s">
        <v>25</v>
      </c>
      <c r="AF145" s="13"/>
    </row>
    <row r="146" spans="1:33" s="12" customFormat="1" ht="24" customHeight="1">
      <c r="A146" s="42"/>
      <c r="B146" s="320"/>
      <c r="C146" s="320"/>
      <c r="D146" s="168"/>
      <c r="E146" s="114"/>
      <c r="F146" s="114"/>
      <c r="G146" s="114"/>
      <c r="H146" s="114"/>
      <c r="I146" s="114"/>
      <c r="J146" s="114"/>
      <c r="K146" s="114"/>
      <c r="L146" s="114"/>
      <c r="M146" s="74"/>
      <c r="N146" s="326" t="s">
        <v>265</v>
      </c>
      <c r="O146" s="326"/>
      <c r="P146" s="326"/>
      <c r="Q146" s="326"/>
      <c r="R146" s="325">
        <v>10000</v>
      </c>
      <c r="S146" s="325"/>
      <c r="T146" s="325" t="s">
        <v>58</v>
      </c>
      <c r="U146" s="326" t="s">
        <v>59</v>
      </c>
      <c r="V146" s="325">
        <v>1</v>
      </c>
      <c r="W146" s="325" t="s">
        <v>72</v>
      </c>
      <c r="X146" s="326" t="s">
        <v>59</v>
      </c>
      <c r="Y146" s="325">
        <v>4</v>
      </c>
      <c r="Z146" s="325" t="s">
        <v>57</v>
      </c>
      <c r="AA146" s="325" t="s">
        <v>54</v>
      </c>
      <c r="AB146" s="325" t="s">
        <v>285</v>
      </c>
      <c r="AC146" s="71"/>
      <c r="AD146" s="71">
        <f t="shared" si="11"/>
        <v>40000</v>
      </c>
      <c r="AE146" s="51" t="s">
        <v>25</v>
      </c>
      <c r="AF146" s="13"/>
    </row>
    <row r="147" spans="1:33" s="12" customFormat="1" ht="24" customHeight="1">
      <c r="A147" s="42"/>
      <c r="B147" s="320"/>
      <c r="C147" s="320"/>
      <c r="D147" s="168"/>
      <c r="E147" s="114"/>
      <c r="F147" s="114"/>
      <c r="G147" s="114"/>
      <c r="H147" s="114"/>
      <c r="I147" s="114"/>
      <c r="J147" s="114"/>
      <c r="K147" s="114"/>
      <c r="L147" s="114"/>
      <c r="M147" s="74"/>
      <c r="N147" s="326" t="s">
        <v>269</v>
      </c>
      <c r="O147" s="326"/>
      <c r="P147" s="326"/>
      <c r="Q147" s="326"/>
      <c r="R147" s="325">
        <v>8920</v>
      </c>
      <c r="S147" s="325"/>
      <c r="T147" s="325" t="s">
        <v>58</v>
      </c>
      <c r="U147" s="326" t="s">
        <v>59</v>
      </c>
      <c r="V147" s="325">
        <v>2</v>
      </c>
      <c r="W147" s="325" t="s">
        <v>72</v>
      </c>
      <c r="X147" s="326" t="s">
        <v>59</v>
      </c>
      <c r="Y147" s="325">
        <v>5</v>
      </c>
      <c r="Z147" s="325" t="s">
        <v>57</v>
      </c>
      <c r="AA147" s="325" t="s">
        <v>54</v>
      </c>
      <c r="AB147" s="325" t="s">
        <v>284</v>
      </c>
      <c r="AC147" s="71"/>
      <c r="AD147" s="71">
        <f t="shared" si="11"/>
        <v>89200</v>
      </c>
      <c r="AE147" s="51" t="s">
        <v>25</v>
      </c>
      <c r="AF147" s="13"/>
    </row>
    <row r="148" spans="1:33" s="12" customFormat="1" ht="24" customHeight="1">
      <c r="A148" s="42"/>
      <c r="B148" s="320"/>
      <c r="C148" s="320"/>
      <c r="D148" s="165"/>
      <c r="E148" s="114"/>
      <c r="F148" s="114"/>
      <c r="G148" s="114"/>
      <c r="H148" s="114"/>
      <c r="I148" s="114"/>
      <c r="J148" s="114"/>
      <c r="K148" s="114"/>
      <c r="L148" s="114"/>
      <c r="M148" s="74"/>
      <c r="N148" s="326" t="s">
        <v>266</v>
      </c>
      <c r="O148" s="326"/>
      <c r="P148" s="326"/>
      <c r="Q148" s="326"/>
      <c r="R148" s="325">
        <v>6000</v>
      </c>
      <c r="S148" s="325"/>
      <c r="T148" s="325" t="s">
        <v>58</v>
      </c>
      <c r="U148" s="326" t="s">
        <v>59</v>
      </c>
      <c r="V148" s="325">
        <v>1</v>
      </c>
      <c r="W148" s="325" t="s">
        <v>72</v>
      </c>
      <c r="X148" s="326" t="s">
        <v>59</v>
      </c>
      <c r="Y148" s="325">
        <v>4</v>
      </c>
      <c r="Z148" s="325" t="s">
        <v>57</v>
      </c>
      <c r="AA148" s="325" t="s">
        <v>54</v>
      </c>
      <c r="AB148" s="325" t="s">
        <v>285</v>
      </c>
      <c r="AC148" s="71"/>
      <c r="AD148" s="71">
        <f t="shared" si="11"/>
        <v>24000</v>
      </c>
      <c r="AE148" s="51" t="s">
        <v>25</v>
      </c>
      <c r="AF148" s="13"/>
    </row>
    <row r="149" spans="1:33" s="12" customFormat="1" ht="24" customHeight="1">
      <c r="A149" s="42"/>
      <c r="B149" s="320"/>
      <c r="C149" s="320"/>
      <c r="D149" s="165"/>
      <c r="E149" s="114"/>
      <c r="F149" s="114"/>
      <c r="G149" s="114"/>
      <c r="H149" s="114"/>
      <c r="I149" s="114"/>
      <c r="J149" s="114"/>
      <c r="K149" s="114"/>
      <c r="L149" s="114"/>
      <c r="M149" s="74"/>
      <c r="N149" s="326" t="s">
        <v>267</v>
      </c>
      <c r="O149" s="326"/>
      <c r="P149" s="326"/>
      <c r="Q149" s="326"/>
      <c r="R149" s="325">
        <v>0</v>
      </c>
      <c r="S149" s="325"/>
      <c r="T149" s="325" t="s">
        <v>58</v>
      </c>
      <c r="U149" s="326" t="s">
        <v>59</v>
      </c>
      <c r="V149" s="325">
        <v>3</v>
      </c>
      <c r="W149" s="325" t="s">
        <v>72</v>
      </c>
      <c r="X149" s="326" t="s">
        <v>59</v>
      </c>
      <c r="Y149" s="325">
        <v>6</v>
      </c>
      <c r="Z149" s="325" t="s">
        <v>57</v>
      </c>
      <c r="AA149" s="325" t="s">
        <v>54</v>
      </c>
      <c r="AB149" s="325"/>
      <c r="AC149" s="71"/>
      <c r="AD149" s="71">
        <f t="shared" si="11"/>
        <v>0</v>
      </c>
      <c r="AE149" s="51" t="s">
        <v>25</v>
      </c>
      <c r="AF149" s="13"/>
    </row>
    <row r="150" spans="1:33" s="12" customFormat="1" ht="24" customHeight="1">
      <c r="A150" s="42"/>
      <c r="B150" s="320"/>
      <c r="C150" s="320"/>
      <c r="D150" s="165"/>
      <c r="E150" s="114"/>
      <c r="F150" s="114"/>
      <c r="G150" s="114"/>
      <c r="H150" s="114"/>
      <c r="I150" s="114"/>
      <c r="J150" s="114"/>
      <c r="K150" s="114"/>
      <c r="L150" s="114"/>
      <c r="M150" s="74"/>
      <c r="N150" s="326" t="s">
        <v>268</v>
      </c>
      <c r="O150" s="326"/>
      <c r="P150" s="326"/>
      <c r="Q150" s="326"/>
      <c r="R150" s="325">
        <v>0</v>
      </c>
      <c r="S150" s="325"/>
      <c r="T150" s="325" t="s">
        <v>58</v>
      </c>
      <c r="U150" s="326" t="s">
        <v>59</v>
      </c>
      <c r="V150" s="325">
        <v>6</v>
      </c>
      <c r="W150" s="325" t="s">
        <v>72</v>
      </c>
      <c r="X150" s="326" t="s">
        <v>59</v>
      </c>
      <c r="Y150" s="325">
        <v>6</v>
      </c>
      <c r="Z150" s="325" t="s">
        <v>57</v>
      </c>
      <c r="AA150" s="325" t="s">
        <v>54</v>
      </c>
      <c r="AB150" s="325"/>
      <c r="AC150" s="71"/>
      <c r="AD150" s="71">
        <f t="shared" si="11"/>
        <v>0</v>
      </c>
      <c r="AE150" s="51" t="s">
        <v>25</v>
      </c>
      <c r="AF150" s="13"/>
    </row>
    <row r="151" spans="1:33" s="12" customFormat="1" ht="24" customHeight="1">
      <c r="A151" s="42"/>
      <c r="B151" s="320"/>
      <c r="C151" s="320"/>
      <c r="D151" s="165"/>
      <c r="E151" s="114"/>
      <c r="F151" s="114"/>
      <c r="G151" s="114"/>
      <c r="H151" s="114"/>
      <c r="I151" s="114"/>
      <c r="J151" s="114"/>
      <c r="K151" s="114"/>
      <c r="L151" s="114"/>
      <c r="M151" s="74"/>
      <c r="N151" s="326"/>
      <c r="O151" s="326"/>
      <c r="P151" s="326"/>
      <c r="Q151" s="326"/>
      <c r="R151" s="325"/>
      <c r="S151" s="325"/>
      <c r="T151" s="325"/>
      <c r="U151" s="326"/>
      <c r="V151" s="325"/>
      <c r="W151" s="325"/>
      <c r="X151" s="325"/>
      <c r="Y151" s="325"/>
      <c r="Z151" s="325"/>
      <c r="AA151" s="325"/>
      <c r="AB151" s="325"/>
      <c r="AC151" s="325"/>
      <c r="AD151" s="325"/>
      <c r="AE151" s="51"/>
      <c r="AF151" s="13"/>
    </row>
    <row r="152" spans="1:33" s="12" customFormat="1" ht="24" customHeight="1">
      <c r="A152" s="42"/>
      <c r="B152" s="320"/>
      <c r="C152" s="320"/>
      <c r="D152" s="165"/>
      <c r="E152" s="114"/>
      <c r="F152" s="114"/>
      <c r="G152" s="114"/>
      <c r="H152" s="114"/>
      <c r="I152" s="114"/>
      <c r="J152" s="114"/>
      <c r="K152" s="114"/>
      <c r="L152" s="114"/>
      <c r="M152" s="74"/>
      <c r="N152" s="75" t="s">
        <v>181</v>
      </c>
      <c r="O152" s="121"/>
      <c r="P152" s="194"/>
      <c r="Q152" s="28"/>
      <c r="R152" s="28"/>
      <c r="S152" s="28"/>
      <c r="T152" s="28"/>
      <c r="U152" s="28"/>
      <c r="V152" s="28"/>
      <c r="W152" s="321" t="s">
        <v>121</v>
      </c>
      <c r="X152" s="321"/>
      <c r="Y152" s="321"/>
      <c r="Z152" s="321"/>
      <c r="AA152" s="321"/>
      <c r="AB152" s="321"/>
      <c r="AC152" s="76"/>
      <c r="AD152" s="76">
        <f>SUM(AD153:AD154)</f>
        <v>91930</v>
      </c>
      <c r="AE152" s="77" t="s">
        <v>25</v>
      </c>
      <c r="AF152" s="13"/>
    </row>
    <row r="153" spans="1:33" s="12" customFormat="1" ht="24" customHeight="1">
      <c r="A153" s="42"/>
      <c r="B153" s="320"/>
      <c r="C153" s="320"/>
      <c r="D153" s="168"/>
      <c r="E153" s="114"/>
      <c r="F153" s="114"/>
      <c r="G153" s="114"/>
      <c r="H153" s="114"/>
      <c r="I153" s="114"/>
      <c r="J153" s="114"/>
      <c r="K153" s="114"/>
      <c r="L153" s="114"/>
      <c r="M153" s="74"/>
      <c r="N153" s="326" t="s">
        <v>182</v>
      </c>
      <c r="O153" s="326"/>
      <c r="P153" s="326"/>
      <c r="Q153" s="326"/>
      <c r="R153" s="325">
        <v>46870</v>
      </c>
      <c r="S153" s="325"/>
      <c r="T153" s="49" t="s">
        <v>58</v>
      </c>
      <c r="U153" s="49" t="s">
        <v>26</v>
      </c>
      <c r="V153" s="325">
        <v>1</v>
      </c>
      <c r="W153" s="325" t="s">
        <v>175</v>
      </c>
      <c r="X153" s="204"/>
      <c r="Y153" s="141"/>
      <c r="Z153" s="79"/>
      <c r="AA153" s="192" t="s">
        <v>54</v>
      </c>
      <c r="AB153" s="325" t="s">
        <v>285</v>
      </c>
      <c r="AC153" s="325"/>
      <c r="AD153" s="325">
        <f>R153*V153</f>
        <v>46870</v>
      </c>
      <c r="AE153" s="51" t="s">
        <v>25</v>
      </c>
      <c r="AF153" s="13"/>
    </row>
    <row r="154" spans="1:33" s="12" customFormat="1" ht="24" customHeight="1">
      <c r="A154" s="42"/>
      <c r="B154" s="320"/>
      <c r="C154" s="320"/>
      <c r="D154" s="168"/>
      <c r="E154" s="114"/>
      <c r="F154" s="114"/>
      <c r="G154" s="114"/>
      <c r="H154" s="114"/>
      <c r="I154" s="114"/>
      <c r="J154" s="114"/>
      <c r="K154" s="114"/>
      <c r="L154" s="114"/>
      <c r="M154" s="74"/>
      <c r="N154" s="326"/>
      <c r="O154" s="326"/>
      <c r="P154" s="326"/>
      <c r="Q154" s="326"/>
      <c r="R154" s="325">
        <v>45060</v>
      </c>
      <c r="S154" s="325"/>
      <c r="T154" s="49" t="s">
        <v>58</v>
      </c>
      <c r="U154" s="49" t="s">
        <v>26</v>
      </c>
      <c r="V154" s="325">
        <v>1</v>
      </c>
      <c r="W154" s="325" t="s">
        <v>57</v>
      </c>
      <c r="X154" s="204"/>
      <c r="Y154" s="141"/>
      <c r="Z154" s="79"/>
      <c r="AA154" s="192" t="s">
        <v>54</v>
      </c>
      <c r="AB154" s="325" t="s">
        <v>285</v>
      </c>
      <c r="AC154" s="325"/>
      <c r="AD154" s="325">
        <f>R154*V154</f>
        <v>45060</v>
      </c>
      <c r="AE154" s="51" t="s">
        <v>25</v>
      </c>
      <c r="AF154" s="13"/>
      <c r="AG154" s="13"/>
    </row>
    <row r="155" spans="1:33" s="12" customFormat="1" ht="24" customHeight="1">
      <c r="A155" s="42"/>
      <c r="B155" s="320"/>
      <c r="C155" s="320"/>
      <c r="D155" s="168"/>
      <c r="E155" s="114"/>
      <c r="F155" s="114"/>
      <c r="G155" s="114"/>
      <c r="H155" s="114"/>
      <c r="I155" s="114"/>
      <c r="J155" s="114"/>
      <c r="K155" s="114"/>
      <c r="L155" s="114"/>
      <c r="M155" s="74"/>
      <c r="N155" s="326"/>
      <c r="O155" s="326"/>
      <c r="P155" s="326"/>
      <c r="Q155" s="326"/>
      <c r="R155" s="325"/>
      <c r="S155" s="325"/>
      <c r="T155" s="49"/>
      <c r="U155" s="49"/>
      <c r="V155" s="325"/>
      <c r="W155" s="325"/>
      <c r="X155" s="204"/>
      <c r="Y155" s="141"/>
      <c r="Z155" s="79"/>
      <c r="AA155" s="192"/>
      <c r="AB155" s="325"/>
      <c r="AC155" s="325"/>
      <c r="AD155" s="325"/>
      <c r="AE155" s="51"/>
      <c r="AF155" s="13"/>
      <c r="AG155" s="13"/>
    </row>
    <row r="156" spans="1:33" s="12" customFormat="1" ht="24" customHeight="1">
      <c r="A156" s="42"/>
      <c r="B156" s="320"/>
      <c r="C156" s="320"/>
      <c r="D156" s="165"/>
      <c r="E156" s="114"/>
      <c r="F156" s="114"/>
      <c r="G156" s="114"/>
      <c r="H156" s="114"/>
      <c r="I156" s="114"/>
      <c r="J156" s="114"/>
      <c r="K156" s="114"/>
      <c r="L156" s="114"/>
      <c r="M156" s="74"/>
      <c r="N156" s="75" t="s">
        <v>183</v>
      </c>
      <c r="O156" s="121"/>
      <c r="P156" s="194"/>
      <c r="Q156" s="28"/>
      <c r="R156" s="28"/>
      <c r="S156" s="28"/>
      <c r="T156" s="28"/>
      <c r="U156" s="28"/>
      <c r="V156" s="28"/>
      <c r="W156" s="321" t="s">
        <v>121</v>
      </c>
      <c r="X156" s="321"/>
      <c r="Y156" s="321"/>
      <c r="Z156" s="321"/>
      <c r="AA156" s="321"/>
      <c r="AB156" s="321"/>
      <c r="AC156" s="76"/>
      <c r="AD156" s="76">
        <f>SUM(AD157:AD158)</f>
        <v>1122528</v>
      </c>
      <c r="AE156" s="77" t="s">
        <v>25</v>
      </c>
      <c r="AF156" s="13"/>
    </row>
    <row r="157" spans="1:33" s="12" customFormat="1" ht="24" customHeight="1">
      <c r="A157" s="42"/>
      <c r="B157" s="320"/>
      <c r="C157" s="320"/>
      <c r="D157" s="165"/>
      <c r="E157" s="114"/>
      <c r="F157" s="114"/>
      <c r="G157" s="114"/>
      <c r="H157" s="114"/>
      <c r="I157" s="114"/>
      <c r="J157" s="114"/>
      <c r="K157" s="114"/>
      <c r="L157" s="114"/>
      <c r="M157" s="74"/>
      <c r="N157" s="142" t="s">
        <v>184</v>
      </c>
      <c r="O157" s="142"/>
      <c r="P157" s="142"/>
      <c r="Q157" s="142"/>
      <c r="R157" s="325">
        <v>87088</v>
      </c>
      <c r="S157" s="325"/>
      <c r="T157" s="49" t="s">
        <v>58</v>
      </c>
      <c r="U157" s="49" t="s">
        <v>26</v>
      </c>
      <c r="V157" s="325">
        <v>6</v>
      </c>
      <c r="W157" s="325" t="s">
        <v>175</v>
      </c>
      <c r="X157" s="204"/>
      <c r="Y157" s="141"/>
      <c r="Z157" s="79"/>
      <c r="AA157" s="192" t="s">
        <v>54</v>
      </c>
      <c r="AB157" s="325" t="s">
        <v>285</v>
      </c>
      <c r="AC157" s="325"/>
      <c r="AD157" s="325">
        <f>R157*V157</f>
        <v>522528</v>
      </c>
      <c r="AE157" s="51" t="s">
        <v>25</v>
      </c>
      <c r="AF157" s="13"/>
    </row>
    <row r="158" spans="1:33" s="12" customFormat="1" ht="24" customHeight="1">
      <c r="A158" s="42"/>
      <c r="B158" s="320"/>
      <c r="C158" s="320"/>
      <c r="D158" s="165"/>
      <c r="E158" s="114"/>
      <c r="F158" s="114"/>
      <c r="G158" s="114"/>
      <c r="H158" s="114"/>
      <c r="I158" s="114"/>
      <c r="J158" s="114"/>
      <c r="K158" s="114"/>
      <c r="L158" s="114"/>
      <c r="M158" s="74"/>
      <c r="N158" s="142" t="s">
        <v>371</v>
      </c>
      <c r="O158" s="142"/>
      <c r="P158" s="142"/>
      <c r="Q158" s="142"/>
      <c r="R158" s="325">
        <v>120000</v>
      </c>
      <c r="S158" s="325"/>
      <c r="T158" s="49" t="s">
        <v>58</v>
      </c>
      <c r="U158" s="49" t="s">
        <v>26</v>
      </c>
      <c r="V158" s="325">
        <v>5</v>
      </c>
      <c r="W158" s="325" t="s">
        <v>57</v>
      </c>
      <c r="X158" s="204"/>
      <c r="Y158" s="141"/>
      <c r="Z158" s="79"/>
      <c r="AA158" s="192" t="s">
        <v>54</v>
      </c>
      <c r="AB158" s="325" t="s">
        <v>285</v>
      </c>
      <c r="AC158" s="325"/>
      <c r="AD158" s="325">
        <f>R158*V158</f>
        <v>600000</v>
      </c>
      <c r="AE158" s="51" t="s">
        <v>25</v>
      </c>
      <c r="AF158" s="13"/>
    </row>
    <row r="159" spans="1:33" s="12" customFormat="1" ht="24" customHeight="1">
      <c r="A159" s="42"/>
      <c r="B159" s="320"/>
      <c r="C159" s="320"/>
      <c r="D159" s="165"/>
      <c r="E159" s="114"/>
      <c r="F159" s="114"/>
      <c r="G159" s="114"/>
      <c r="H159" s="114"/>
      <c r="I159" s="114"/>
      <c r="J159" s="114"/>
      <c r="K159" s="114"/>
      <c r="L159" s="114"/>
      <c r="M159" s="74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  <c r="Y159" s="142"/>
      <c r="Z159" s="142"/>
      <c r="AA159" s="142"/>
      <c r="AB159" s="142"/>
      <c r="AC159" s="142"/>
      <c r="AD159" s="293"/>
      <c r="AE159" s="147"/>
      <c r="AF159" s="13"/>
    </row>
    <row r="160" spans="1:33" s="12" customFormat="1" ht="24" customHeight="1">
      <c r="A160" s="42"/>
      <c r="B160" s="320"/>
      <c r="C160" s="320"/>
      <c r="D160" s="165"/>
      <c r="E160" s="114"/>
      <c r="F160" s="114"/>
      <c r="G160" s="114"/>
      <c r="H160" s="114"/>
      <c r="I160" s="114"/>
      <c r="J160" s="114"/>
      <c r="K160" s="114"/>
      <c r="L160" s="114"/>
      <c r="M160" s="74"/>
      <c r="N160" s="75" t="s">
        <v>185</v>
      </c>
      <c r="O160" s="121"/>
      <c r="P160" s="194"/>
      <c r="Q160" s="28"/>
      <c r="R160" s="28"/>
      <c r="S160" s="28"/>
      <c r="T160" s="28"/>
      <c r="U160" s="28"/>
      <c r="V160" s="28"/>
      <c r="W160" s="321" t="s">
        <v>121</v>
      </c>
      <c r="X160" s="321"/>
      <c r="Y160" s="321"/>
      <c r="Z160" s="321"/>
      <c r="AA160" s="321"/>
      <c r="AB160" s="321"/>
      <c r="AC160" s="76"/>
      <c r="AD160" s="76">
        <f>SUM(AD161:AD167)</f>
        <v>1974935</v>
      </c>
      <c r="AE160" s="77" t="s">
        <v>25</v>
      </c>
      <c r="AF160" s="13"/>
    </row>
    <row r="161" spans="1:32" s="12" customFormat="1" ht="24" customHeight="1">
      <c r="A161" s="42"/>
      <c r="B161" s="320"/>
      <c r="C161" s="320"/>
      <c r="D161" s="165"/>
      <c r="E161" s="114"/>
      <c r="F161" s="114"/>
      <c r="G161" s="114"/>
      <c r="H161" s="114"/>
      <c r="I161" s="114"/>
      <c r="J161" s="114"/>
      <c r="K161" s="114"/>
      <c r="L161" s="114"/>
      <c r="M161" s="74"/>
      <c r="N161" s="142" t="s">
        <v>270</v>
      </c>
      <c r="O161" s="142"/>
      <c r="P161" s="142"/>
      <c r="Q161" s="142"/>
      <c r="R161" s="325">
        <v>0</v>
      </c>
      <c r="S161" s="325"/>
      <c r="T161" s="325" t="s">
        <v>58</v>
      </c>
      <c r="U161" s="326" t="s">
        <v>59</v>
      </c>
      <c r="V161" s="325">
        <v>5</v>
      </c>
      <c r="W161" s="325" t="s">
        <v>57</v>
      </c>
      <c r="X161" s="326" t="s">
        <v>59</v>
      </c>
      <c r="Y161" s="325">
        <v>1</v>
      </c>
      <c r="Z161" s="325" t="s">
        <v>72</v>
      </c>
      <c r="AA161" s="325" t="s">
        <v>54</v>
      </c>
      <c r="AB161" s="325" t="s">
        <v>284</v>
      </c>
      <c r="AC161" s="71"/>
      <c r="AD161" s="71">
        <f>R161*V161*Y161</f>
        <v>0</v>
      </c>
      <c r="AE161" s="51" t="s">
        <v>25</v>
      </c>
      <c r="AF161" s="13"/>
    </row>
    <row r="162" spans="1:32" s="12" customFormat="1" ht="24" customHeight="1">
      <c r="A162" s="42"/>
      <c r="B162" s="320"/>
      <c r="C162" s="320"/>
      <c r="D162" s="165"/>
      <c r="E162" s="114"/>
      <c r="F162" s="114"/>
      <c r="G162" s="114"/>
      <c r="H162" s="114"/>
      <c r="I162" s="114"/>
      <c r="J162" s="114"/>
      <c r="K162" s="114"/>
      <c r="L162" s="114"/>
      <c r="M162" s="74"/>
      <c r="N162" s="142" t="s">
        <v>330</v>
      </c>
      <c r="O162" s="142"/>
      <c r="P162" s="142"/>
      <c r="Q162" s="142"/>
      <c r="R162" s="325">
        <v>87950</v>
      </c>
      <c r="S162" s="325"/>
      <c r="T162" s="325" t="s">
        <v>58</v>
      </c>
      <c r="U162" s="326" t="s">
        <v>59</v>
      </c>
      <c r="V162" s="325">
        <v>1</v>
      </c>
      <c r="W162" s="325" t="s">
        <v>175</v>
      </c>
      <c r="X162" s="326" t="s">
        <v>59</v>
      </c>
      <c r="Y162" s="325">
        <v>1</v>
      </c>
      <c r="Z162" s="325" t="s">
        <v>134</v>
      </c>
      <c r="AA162" s="325" t="s">
        <v>54</v>
      </c>
      <c r="AB162" s="325" t="s">
        <v>284</v>
      </c>
      <c r="AC162" s="71"/>
      <c r="AD162" s="71">
        <v>87950</v>
      </c>
      <c r="AE162" s="51" t="s">
        <v>25</v>
      </c>
      <c r="AF162" s="13"/>
    </row>
    <row r="163" spans="1:32" s="12" customFormat="1" ht="24" customHeight="1">
      <c r="A163" s="42"/>
      <c r="B163" s="320"/>
      <c r="C163" s="320"/>
      <c r="D163" s="165"/>
      <c r="E163" s="114"/>
      <c r="F163" s="114"/>
      <c r="G163" s="114"/>
      <c r="H163" s="114"/>
      <c r="I163" s="114"/>
      <c r="J163" s="114"/>
      <c r="K163" s="114"/>
      <c r="L163" s="114"/>
      <c r="M163" s="74"/>
      <c r="N163" s="142" t="s">
        <v>329</v>
      </c>
      <c r="O163" s="142"/>
      <c r="P163" s="142"/>
      <c r="Q163" s="142"/>
      <c r="R163" s="325">
        <v>199000</v>
      </c>
      <c r="S163" s="325"/>
      <c r="T163" s="325" t="s">
        <v>58</v>
      </c>
      <c r="U163" s="326" t="s">
        <v>59</v>
      </c>
      <c r="V163" s="325">
        <v>1</v>
      </c>
      <c r="W163" s="325" t="s">
        <v>57</v>
      </c>
      <c r="X163" s="326" t="s">
        <v>59</v>
      </c>
      <c r="Y163" s="325">
        <v>1</v>
      </c>
      <c r="Z163" s="325" t="s">
        <v>91</v>
      </c>
      <c r="AA163" s="325" t="s">
        <v>54</v>
      </c>
      <c r="AB163" s="142" t="s">
        <v>285</v>
      </c>
      <c r="AC163" s="142"/>
      <c r="AD163" s="71">
        <f t="shared" ref="AD163:AD165" si="12">R163*V163*Y163</f>
        <v>199000</v>
      </c>
      <c r="AE163" s="147" t="s">
        <v>58</v>
      </c>
      <c r="AF163" s="13"/>
    </row>
    <row r="164" spans="1:32" s="12" customFormat="1" ht="24" customHeight="1">
      <c r="A164" s="42"/>
      <c r="B164" s="320"/>
      <c r="C164" s="320"/>
      <c r="D164" s="165"/>
      <c r="E164" s="114"/>
      <c r="F164" s="114"/>
      <c r="G164" s="114"/>
      <c r="H164" s="114"/>
      <c r="I164" s="114"/>
      <c r="J164" s="114"/>
      <c r="K164" s="114"/>
      <c r="L164" s="114"/>
      <c r="M164" s="74"/>
      <c r="N164" s="142" t="s">
        <v>324</v>
      </c>
      <c r="O164" s="142"/>
      <c r="P164" s="142"/>
      <c r="Q164" s="142"/>
      <c r="R164" s="325">
        <v>21000</v>
      </c>
      <c r="S164" s="325"/>
      <c r="T164" s="325" t="s">
        <v>58</v>
      </c>
      <c r="U164" s="326" t="s">
        <v>59</v>
      </c>
      <c r="V164" s="325">
        <v>3</v>
      </c>
      <c r="W164" s="325" t="s">
        <v>57</v>
      </c>
      <c r="X164" s="326" t="s">
        <v>59</v>
      </c>
      <c r="Y164" s="325">
        <v>8</v>
      </c>
      <c r="Z164" s="325" t="s">
        <v>91</v>
      </c>
      <c r="AA164" s="325" t="s">
        <v>54</v>
      </c>
      <c r="AB164" s="142" t="s">
        <v>101</v>
      </c>
      <c r="AC164" s="142"/>
      <c r="AD164" s="71">
        <f t="shared" si="12"/>
        <v>504000</v>
      </c>
      <c r="AE164" s="147" t="s">
        <v>58</v>
      </c>
      <c r="AF164" s="13"/>
    </row>
    <row r="165" spans="1:32" s="12" customFormat="1" ht="24" customHeight="1">
      <c r="A165" s="42"/>
      <c r="B165" s="320"/>
      <c r="C165" s="320"/>
      <c r="D165" s="165"/>
      <c r="E165" s="114"/>
      <c r="F165" s="114"/>
      <c r="G165" s="114"/>
      <c r="H165" s="114"/>
      <c r="I165" s="114"/>
      <c r="J165" s="114"/>
      <c r="K165" s="114"/>
      <c r="L165" s="114"/>
      <c r="M165" s="74"/>
      <c r="N165" s="142" t="s">
        <v>325</v>
      </c>
      <c r="O165" s="142"/>
      <c r="P165" s="142"/>
      <c r="Q165" s="142"/>
      <c r="R165" s="325">
        <v>21000</v>
      </c>
      <c r="S165" s="325"/>
      <c r="T165" s="325" t="s">
        <v>58</v>
      </c>
      <c r="U165" s="326" t="s">
        <v>59</v>
      </c>
      <c r="V165" s="325">
        <v>3</v>
      </c>
      <c r="W165" s="325" t="s">
        <v>57</v>
      </c>
      <c r="X165" s="326" t="s">
        <v>59</v>
      </c>
      <c r="Y165" s="325">
        <v>8</v>
      </c>
      <c r="Z165" s="325" t="s">
        <v>91</v>
      </c>
      <c r="AA165" s="325" t="s">
        <v>54</v>
      </c>
      <c r="AB165" s="142" t="s">
        <v>285</v>
      </c>
      <c r="AC165" s="142"/>
      <c r="AD165" s="71">
        <f t="shared" si="12"/>
        <v>504000</v>
      </c>
      <c r="AE165" s="147" t="s">
        <v>58</v>
      </c>
      <c r="AF165" s="13"/>
    </row>
    <row r="166" spans="1:32" s="12" customFormat="1" ht="24" customHeight="1">
      <c r="A166" s="42"/>
      <c r="B166" s="320"/>
      <c r="C166" s="43"/>
      <c r="D166" s="165"/>
      <c r="E166" s="114"/>
      <c r="F166" s="114"/>
      <c r="G166" s="114"/>
      <c r="H166" s="114"/>
      <c r="I166" s="114"/>
      <c r="J166" s="114"/>
      <c r="K166" s="114"/>
      <c r="L166" s="114"/>
      <c r="M166" s="74"/>
      <c r="N166" s="142" t="s">
        <v>326</v>
      </c>
      <c r="O166" s="142"/>
      <c r="P166" s="142"/>
      <c r="Q166" s="142"/>
      <c r="R166" s="325">
        <v>76337</v>
      </c>
      <c r="S166" s="325"/>
      <c r="T166" s="325" t="s">
        <v>58</v>
      </c>
      <c r="U166" s="326" t="s">
        <v>59</v>
      </c>
      <c r="V166" s="325">
        <v>1</v>
      </c>
      <c r="W166" s="325" t="s">
        <v>57</v>
      </c>
      <c r="X166" s="326" t="s">
        <v>59</v>
      </c>
      <c r="Y166" s="325">
        <v>5</v>
      </c>
      <c r="Z166" s="325" t="s">
        <v>91</v>
      </c>
      <c r="AA166" s="325" t="s">
        <v>54</v>
      </c>
      <c r="AB166" s="142" t="s">
        <v>327</v>
      </c>
      <c r="AC166" s="142"/>
      <c r="AD166" s="71">
        <v>381685</v>
      </c>
      <c r="AE166" s="147" t="s">
        <v>58</v>
      </c>
      <c r="AF166" s="13"/>
    </row>
    <row r="167" spans="1:32" s="12" customFormat="1" ht="24" customHeight="1">
      <c r="A167" s="42"/>
      <c r="B167" s="320"/>
      <c r="C167" s="43"/>
      <c r="D167" s="165"/>
      <c r="E167" s="114"/>
      <c r="F167" s="114"/>
      <c r="G167" s="114"/>
      <c r="H167" s="114"/>
      <c r="I167" s="114"/>
      <c r="J167" s="114"/>
      <c r="K167" s="114"/>
      <c r="L167" s="114"/>
      <c r="M167" s="74"/>
      <c r="N167" s="142" t="s">
        <v>328</v>
      </c>
      <c r="O167" s="142"/>
      <c r="P167" s="142"/>
      <c r="Q167" s="142"/>
      <c r="R167" s="325">
        <v>29830</v>
      </c>
      <c r="S167" s="325"/>
      <c r="T167" s="325" t="s">
        <v>58</v>
      </c>
      <c r="U167" s="326" t="s">
        <v>59</v>
      </c>
      <c r="V167" s="325">
        <v>5</v>
      </c>
      <c r="W167" s="325" t="s">
        <v>57</v>
      </c>
      <c r="X167" s="326" t="s">
        <v>59</v>
      </c>
      <c r="Y167" s="325">
        <v>2</v>
      </c>
      <c r="Z167" s="325" t="s">
        <v>91</v>
      </c>
      <c r="AA167" s="325" t="s">
        <v>54</v>
      </c>
      <c r="AB167" s="142" t="s">
        <v>327</v>
      </c>
      <c r="AC167" s="142"/>
      <c r="AD167" s="71">
        <v>298300</v>
      </c>
      <c r="AE167" s="147" t="s">
        <v>315</v>
      </c>
      <c r="AF167" s="13"/>
    </row>
    <row r="168" spans="1:32" s="12" customFormat="1" ht="24" customHeight="1">
      <c r="A168" s="52"/>
      <c r="B168" s="53"/>
      <c r="C168" s="115"/>
      <c r="D168" s="166"/>
      <c r="E168" s="116"/>
      <c r="F168" s="116"/>
      <c r="G168" s="116"/>
      <c r="H168" s="116"/>
      <c r="I168" s="116"/>
      <c r="J168" s="116"/>
      <c r="K168" s="116"/>
      <c r="L168" s="114"/>
      <c r="M168" s="74"/>
      <c r="N168" s="326"/>
      <c r="O168" s="326"/>
      <c r="P168" s="326"/>
      <c r="Q168" s="326"/>
      <c r="R168" s="326"/>
      <c r="S168" s="326"/>
      <c r="T168" s="325"/>
      <c r="U168" s="325"/>
      <c r="V168" s="325"/>
      <c r="W168" s="325"/>
      <c r="X168" s="325"/>
      <c r="Y168" s="145"/>
      <c r="Z168" s="145"/>
      <c r="AA168" s="145"/>
      <c r="AB168" s="145"/>
      <c r="AC168" s="146"/>
      <c r="AD168" s="325"/>
      <c r="AE168" s="51"/>
      <c r="AF168" s="13"/>
    </row>
    <row r="169" spans="1:32" s="8" customFormat="1" ht="21" customHeight="1">
      <c r="A169" s="117" t="s">
        <v>141</v>
      </c>
      <c r="B169" s="403" t="s">
        <v>21</v>
      </c>
      <c r="C169" s="404"/>
      <c r="D169" s="184">
        <f>SUM(D170)</f>
        <v>7</v>
      </c>
      <c r="E169" s="184">
        <v>137</v>
      </c>
      <c r="F169" s="184">
        <f t="shared" ref="F169:K169" si="13">SUM(F170)</f>
        <v>6.5659999999999998</v>
      </c>
      <c r="G169" s="184">
        <f t="shared" si="13"/>
        <v>130</v>
      </c>
      <c r="H169" s="184">
        <f t="shared" si="13"/>
        <v>0</v>
      </c>
      <c r="I169" s="184">
        <v>0</v>
      </c>
      <c r="J169" s="184">
        <f t="shared" si="13"/>
        <v>0</v>
      </c>
      <c r="K169" s="184">
        <f t="shared" si="13"/>
        <v>0</v>
      </c>
      <c r="L169" s="184">
        <f>E169-D169</f>
        <v>130</v>
      </c>
      <c r="M169" s="185">
        <f>IF(D169=0,0,L169/D169)</f>
        <v>18.571428571428573</v>
      </c>
      <c r="N169" s="103" t="s">
        <v>144</v>
      </c>
      <c r="O169" s="324"/>
      <c r="P169" s="324"/>
      <c r="Q169" s="324"/>
      <c r="R169" s="323"/>
      <c r="S169" s="323"/>
      <c r="T169" s="323"/>
      <c r="U169" s="323"/>
      <c r="V169" s="323"/>
      <c r="W169" s="323"/>
      <c r="X169" s="323"/>
      <c r="Y169" s="323"/>
      <c r="Z169" s="323"/>
      <c r="AA169" s="323"/>
      <c r="AB169" s="323"/>
      <c r="AC169" s="323"/>
      <c r="AD169" s="323">
        <f>SUM(AD170+AD172)</f>
        <v>136566</v>
      </c>
      <c r="AE169" s="186" t="s">
        <v>25</v>
      </c>
      <c r="AF169" s="1"/>
    </row>
    <row r="170" spans="1:32" s="8" customFormat="1" ht="21" customHeight="1">
      <c r="A170" s="200" t="s">
        <v>143</v>
      </c>
      <c r="B170" s="320" t="s">
        <v>141</v>
      </c>
      <c r="C170" s="320" t="s">
        <v>141</v>
      </c>
      <c r="D170" s="165">
        <v>7</v>
      </c>
      <c r="E170" s="114">
        <v>137</v>
      </c>
      <c r="F170" s="114">
        <f>SUM(AD171:AD171)/1000</f>
        <v>6.5659999999999998</v>
      </c>
      <c r="G170" s="114">
        <v>130</v>
      </c>
      <c r="H170" s="114">
        <v>0</v>
      </c>
      <c r="I170" s="114">
        <v>0</v>
      </c>
      <c r="J170" s="114">
        <v>0</v>
      </c>
      <c r="K170" s="114">
        <v>0</v>
      </c>
      <c r="L170" s="114">
        <f>E170-D170</f>
        <v>130</v>
      </c>
      <c r="M170" s="74">
        <f>IF(D170=0,0,L170/D170)</f>
        <v>18.571428571428573</v>
      </c>
      <c r="N170" s="121" t="s">
        <v>145</v>
      </c>
      <c r="O170" s="194"/>
      <c r="P170" s="194"/>
      <c r="Q170" s="194"/>
      <c r="R170" s="194"/>
      <c r="S170" s="194"/>
      <c r="T170" s="193"/>
      <c r="U170" s="193"/>
      <c r="V170" s="193"/>
      <c r="W170" s="193"/>
      <c r="X170" s="193"/>
      <c r="Y170" s="323" t="s">
        <v>127</v>
      </c>
      <c r="Z170" s="105"/>
      <c r="AA170" s="105"/>
      <c r="AB170" s="105"/>
      <c r="AC170" s="122"/>
      <c r="AD170" s="122">
        <f>AD171:AD171</f>
        <v>6566</v>
      </c>
      <c r="AE170" s="123" t="s">
        <v>25</v>
      </c>
      <c r="AF170" s="1"/>
    </row>
    <row r="171" spans="1:32" ht="21" customHeight="1">
      <c r="A171" s="42"/>
      <c r="B171" s="320" t="s">
        <v>142</v>
      </c>
      <c r="C171" s="320" t="s">
        <v>142</v>
      </c>
      <c r="D171" s="165"/>
      <c r="E171" s="114"/>
      <c r="F171" s="114"/>
      <c r="G171" s="114"/>
      <c r="H171" s="114"/>
      <c r="I171" s="114"/>
      <c r="J171" s="114"/>
      <c r="K171" s="114"/>
      <c r="L171" s="114"/>
      <c r="M171" s="74"/>
      <c r="N171" s="326" t="s">
        <v>186</v>
      </c>
      <c r="O171" s="326"/>
      <c r="P171" s="326"/>
      <c r="Q171" s="326"/>
      <c r="R171" s="325"/>
      <c r="S171" s="325"/>
      <c r="T171" s="325"/>
      <c r="U171" s="325"/>
      <c r="V171" s="325"/>
      <c r="W171" s="325"/>
      <c r="X171" s="325"/>
      <c r="Y171" s="325"/>
      <c r="Z171" s="325"/>
      <c r="AA171" s="325"/>
      <c r="AB171" s="325"/>
      <c r="AC171" s="325"/>
      <c r="AD171" s="325">
        <v>6566</v>
      </c>
      <c r="AE171" s="51" t="s">
        <v>25</v>
      </c>
    </row>
    <row r="172" spans="1:32" ht="21" customHeight="1" thickBot="1">
      <c r="A172" s="272"/>
      <c r="B172" s="240"/>
      <c r="C172" s="240"/>
      <c r="D172" s="241"/>
      <c r="E172" s="241"/>
      <c r="F172" s="241"/>
      <c r="G172" s="241"/>
      <c r="H172" s="241"/>
      <c r="I172" s="241"/>
      <c r="J172" s="241"/>
      <c r="K172" s="241"/>
      <c r="L172" s="241"/>
      <c r="M172" s="242"/>
      <c r="N172" s="351" t="s">
        <v>413</v>
      </c>
      <c r="O172" s="238"/>
      <c r="P172" s="238"/>
      <c r="Q172" s="238"/>
      <c r="R172" s="239"/>
      <c r="S172" s="239"/>
      <c r="T172" s="239"/>
      <c r="U172" s="239"/>
      <c r="V172" s="239"/>
      <c r="W172" s="239"/>
      <c r="X172" s="239"/>
      <c r="Y172" s="239"/>
      <c r="Z172" s="239"/>
      <c r="AA172" s="239"/>
      <c r="AB172" s="239"/>
      <c r="AC172" s="239"/>
      <c r="AD172" s="352">
        <v>130000</v>
      </c>
      <c r="AE172" s="51" t="s">
        <v>25</v>
      </c>
    </row>
  </sheetData>
  <mergeCells count="14">
    <mergeCell ref="B113:C113"/>
    <mergeCell ref="B169:C169"/>
    <mergeCell ref="A4:C4"/>
    <mergeCell ref="B5:C5"/>
    <mergeCell ref="V72:W72"/>
    <mergeCell ref="V77:W77"/>
    <mergeCell ref="V97:W97"/>
    <mergeCell ref="B101:C101"/>
    <mergeCell ref="N2:AE3"/>
    <mergeCell ref="A1:C1"/>
    <mergeCell ref="A2:C2"/>
    <mergeCell ref="D2:D3"/>
    <mergeCell ref="E2:K2"/>
    <mergeCell ref="L2:M2"/>
  </mergeCells>
  <phoneticPr fontId="6" type="noConversion"/>
  <printOptions horizontalCentered="1"/>
  <pageMargins left="0.23622047244094491" right="0.11811023622047245" top="0.35433070866141736" bottom="0.35433070866141736" header="0.15748031496062992" footer="0.15748031496062992"/>
  <pageSetup paperSize="9" scale="64" firstPageNumber="23" orientation="landscape" r:id="rId1"/>
  <headerFooter scaleWithDoc="0" alignWithMargins="0">
    <oddFooter>&amp;C&amp;P/&amp;N&amp;R&amp;9장애인공동생활가정 몬띠의 집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J10" sqref="J10"/>
    </sheetView>
  </sheetViews>
  <sheetFormatPr defaultRowHeight="13.5"/>
  <cols>
    <col min="1" max="1" width="7.5546875" customWidth="1"/>
    <col min="2" max="2" width="9.21875" customWidth="1"/>
    <col min="3" max="3" width="9.77734375" customWidth="1"/>
    <col min="4" max="4" width="10.109375" customWidth="1"/>
    <col min="5" max="5" width="10.33203125" customWidth="1"/>
    <col min="6" max="6" width="7.21875" customWidth="1"/>
    <col min="7" max="7" width="6.6640625" customWidth="1"/>
    <col min="8" max="8" width="9.33203125" customWidth="1"/>
    <col min="9" max="9" width="11.6640625" customWidth="1"/>
    <col min="10" max="10" width="11.88671875" customWidth="1"/>
    <col min="11" max="11" width="11.109375" customWidth="1"/>
    <col min="12" max="12" width="8.77734375" customWidth="1"/>
    <col min="13" max="13" width="12.6640625" bestFit="1" customWidth="1"/>
  </cols>
  <sheetData>
    <row r="1" spans="1:13" ht="26.25">
      <c r="A1" s="243" t="s">
        <v>386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5" t="s">
        <v>208</v>
      </c>
    </row>
    <row r="2" spans="1:13" ht="17.25" thickBot="1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</row>
    <row r="3" spans="1:13" ht="16.5">
      <c r="A3" s="416" t="s">
        <v>209</v>
      </c>
      <c r="B3" s="417"/>
      <c r="C3" s="417"/>
      <c r="D3" s="417"/>
      <c r="E3" s="418"/>
      <c r="F3" s="418"/>
      <c r="G3" s="416" t="s">
        <v>210</v>
      </c>
      <c r="H3" s="417"/>
      <c r="I3" s="417"/>
      <c r="J3" s="417"/>
      <c r="K3" s="418"/>
      <c r="L3" s="419"/>
    </row>
    <row r="4" spans="1:13">
      <c r="A4" s="420" t="s">
        <v>211</v>
      </c>
      <c r="B4" s="421"/>
      <c r="C4" s="424" t="s">
        <v>333</v>
      </c>
      <c r="D4" s="424" t="s">
        <v>387</v>
      </c>
      <c r="E4" s="426" t="s">
        <v>291</v>
      </c>
      <c r="F4" s="428" t="s">
        <v>292</v>
      </c>
      <c r="G4" s="420" t="s">
        <v>211</v>
      </c>
      <c r="H4" s="421"/>
      <c r="I4" s="430" t="s">
        <v>388</v>
      </c>
      <c r="J4" s="424" t="s">
        <v>384</v>
      </c>
      <c r="K4" s="421" t="s">
        <v>212</v>
      </c>
      <c r="L4" s="432" t="s">
        <v>292</v>
      </c>
    </row>
    <row r="5" spans="1:13" ht="14.25" thickBot="1">
      <c r="A5" s="422"/>
      <c r="B5" s="423"/>
      <c r="C5" s="425"/>
      <c r="D5" s="425"/>
      <c r="E5" s="427"/>
      <c r="F5" s="429"/>
      <c r="G5" s="422"/>
      <c r="H5" s="423"/>
      <c r="I5" s="431"/>
      <c r="J5" s="425"/>
      <c r="K5" s="423"/>
      <c r="L5" s="433"/>
    </row>
    <row r="6" spans="1:13" ht="14.25" thickTop="1">
      <c r="A6" s="434" t="s">
        <v>213</v>
      </c>
      <c r="B6" s="435"/>
      <c r="C6" s="252">
        <f>SUM(C7:C17)</f>
        <v>63988104</v>
      </c>
      <c r="D6" s="252">
        <f>'세입(수정)'!AC4</f>
        <v>63073614</v>
      </c>
      <c r="E6" s="253">
        <f>SUM(E7:E17)</f>
        <v>-914490</v>
      </c>
      <c r="F6" s="254"/>
      <c r="G6" s="434" t="s">
        <v>213</v>
      </c>
      <c r="H6" s="435"/>
      <c r="I6" s="252">
        <f>SUM(I7:I20)</f>
        <v>63988104</v>
      </c>
      <c r="J6" s="252">
        <f>'세출(수정)'!AD4</f>
        <v>63073614</v>
      </c>
      <c r="K6" s="253">
        <f>SUM(K7:K20)</f>
        <v>-914490</v>
      </c>
      <c r="L6" s="255"/>
    </row>
    <row r="7" spans="1:13" ht="31.5">
      <c r="A7" s="294" t="s">
        <v>338</v>
      </c>
      <c r="B7" s="295" t="s">
        <v>338</v>
      </c>
      <c r="C7" s="296">
        <v>8120082</v>
      </c>
      <c r="D7" s="296">
        <f>'세입(수정)'!AC5</f>
        <v>8120082</v>
      </c>
      <c r="E7" s="297">
        <f>D7-C7</f>
        <v>0</v>
      </c>
      <c r="F7" s="256"/>
      <c r="G7" s="436" t="s">
        <v>339</v>
      </c>
      <c r="H7" s="295" t="s">
        <v>259</v>
      </c>
      <c r="I7" s="296">
        <v>41373130</v>
      </c>
      <c r="J7" s="296">
        <v>39579400</v>
      </c>
      <c r="K7" s="298">
        <f>J7-I7</f>
        <v>-1793730</v>
      </c>
      <c r="L7" s="299" t="s">
        <v>397</v>
      </c>
      <c r="M7" s="349"/>
    </row>
    <row r="8" spans="1:13">
      <c r="A8" s="439" t="s">
        <v>340</v>
      </c>
      <c r="B8" s="295" t="s">
        <v>288</v>
      </c>
      <c r="C8" s="296">
        <v>3375000</v>
      </c>
      <c r="D8" s="296">
        <f>'세입(수정)'!AC12</f>
        <v>3375000</v>
      </c>
      <c r="E8" s="297">
        <f>D8-C8</f>
        <v>0</v>
      </c>
      <c r="F8" s="256"/>
      <c r="G8" s="437"/>
      <c r="H8" s="295" t="s">
        <v>416</v>
      </c>
      <c r="I8" s="296">
        <v>200000</v>
      </c>
      <c r="J8" s="296">
        <v>200000</v>
      </c>
      <c r="K8" s="298">
        <f>J8-I8</f>
        <v>0</v>
      </c>
      <c r="L8" s="300"/>
    </row>
    <row r="9" spans="1:13" ht="22.5">
      <c r="A9" s="440"/>
      <c r="B9" s="295" t="s">
        <v>341</v>
      </c>
      <c r="C9" s="296">
        <v>46750000</v>
      </c>
      <c r="D9" s="296">
        <f>'세입(수정)'!AC17</f>
        <v>46750000</v>
      </c>
      <c r="E9" s="297">
        <f>D9-C9</f>
        <v>0</v>
      </c>
      <c r="F9" s="256"/>
      <c r="G9" s="437"/>
      <c r="H9" s="295" t="s">
        <v>342</v>
      </c>
      <c r="I9" s="296">
        <v>50080</v>
      </c>
      <c r="J9" s="296">
        <v>0</v>
      </c>
      <c r="K9" s="298">
        <f>J9-I9</f>
        <v>-50080</v>
      </c>
      <c r="L9" s="301" t="s">
        <v>396</v>
      </c>
    </row>
    <row r="10" spans="1:13" ht="21">
      <c r="A10" s="441" t="s">
        <v>343</v>
      </c>
      <c r="B10" s="295" t="s">
        <v>344</v>
      </c>
      <c r="C10" s="296">
        <v>0</v>
      </c>
      <c r="D10" s="296">
        <v>0</v>
      </c>
      <c r="E10" s="297">
        <f t="shared" ref="E10:E17" si="0">D10-C10</f>
        <v>0</v>
      </c>
      <c r="F10" s="297"/>
      <c r="G10" s="438"/>
      <c r="H10" s="295" t="s">
        <v>345</v>
      </c>
      <c r="I10" s="302">
        <v>6100900</v>
      </c>
      <c r="J10" s="302">
        <f>'세출(수정)'!AD72</f>
        <v>6561100</v>
      </c>
      <c r="K10" s="298">
        <f>J10-I10</f>
        <v>460200</v>
      </c>
      <c r="L10" s="301" t="s">
        <v>395</v>
      </c>
    </row>
    <row r="11" spans="1:13" ht="31.5">
      <c r="A11" s="441"/>
      <c r="B11" s="295" t="s">
        <v>293</v>
      </c>
      <c r="C11" s="296">
        <v>216000</v>
      </c>
      <c r="D11" s="296">
        <f>'세입(수정)'!AC33</f>
        <v>316000</v>
      </c>
      <c r="E11" s="297">
        <f t="shared" si="0"/>
        <v>100000</v>
      </c>
      <c r="F11" s="256" t="s">
        <v>389</v>
      </c>
      <c r="G11" s="439" t="s">
        <v>346</v>
      </c>
      <c r="H11" s="295" t="s">
        <v>347</v>
      </c>
      <c r="I11" s="296">
        <v>0</v>
      </c>
      <c r="J11" s="296">
        <v>0</v>
      </c>
      <c r="K11" s="298">
        <f t="shared" ref="K11:K20" si="1">J11-I11</f>
        <v>0</v>
      </c>
      <c r="L11" s="301"/>
    </row>
    <row r="12" spans="1:13" ht="42">
      <c r="A12" s="303" t="s">
        <v>348</v>
      </c>
      <c r="B12" s="295" t="s">
        <v>349</v>
      </c>
      <c r="C12" s="296">
        <v>4976240</v>
      </c>
      <c r="D12" s="296">
        <f>'세입(수정)'!AC23</f>
        <v>3791100</v>
      </c>
      <c r="E12" s="297">
        <f t="shared" si="0"/>
        <v>-1185140</v>
      </c>
      <c r="F12" s="256" t="s">
        <v>409</v>
      </c>
      <c r="G12" s="441"/>
      <c r="H12" s="295" t="s">
        <v>350</v>
      </c>
      <c r="I12" s="296">
        <v>0</v>
      </c>
      <c r="J12" s="296">
        <f>'세출(수정)'!AD101</f>
        <v>128000</v>
      </c>
      <c r="K12" s="298">
        <f t="shared" si="1"/>
        <v>128000</v>
      </c>
      <c r="L12" s="301" t="s">
        <v>394</v>
      </c>
    </row>
    <row r="13" spans="1:13" ht="22.5">
      <c r="A13" s="436" t="s">
        <v>351</v>
      </c>
      <c r="B13" s="442" t="s">
        <v>294</v>
      </c>
      <c r="C13" s="445">
        <v>0</v>
      </c>
      <c r="D13" s="445">
        <v>0</v>
      </c>
      <c r="E13" s="448">
        <f>D13-C13</f>
        <v>0</v>
      </c>
      <c r="F13" s="451"/>
      <c r="G13" s="440"/>
      <c r="H13" s="295" t="s">
        <v>352</v>
      </c>
      <c r="I13" s="296">
        <v>0</v>
      </c>
      <c r="J13" s="296">
        <v>0</v>
      </c>
      <c r="K13" s="298">
        <f t="shared" si="1"/>
        <v>0</v>
      </c>
      <c r="L13" s="301"/>
    </row>
    <row r="14" spans="1:13">
      <c r="A14" s="437"/>
      <c r="B14" s="443"/>
      <c r="C14" s="446"/>
      <c r="D14" s="446"/>
      <c r="E14" s="449"/>
      <c r="F14" s="452"/>
      <c r="G14" s="436" t="s">
        <v>257</v>
      </c>
      <c r="H14" s="295" t="s">
        <v>353</v>
      </c>
      <c r="I14" s="296">
        <v>11049000</v>
      </c>
      <c r="J14" s="296">
        <f>'세출(수정)'!AD115</f>
        <v>11613095</v>
      </c>
      <c r="K14" s="298">
        <f t="shared" si="1"/>
        <v>564095</v>
      </c>
      <c r="L14" s="301" t="s">
        <v>393</v>
      </c>
    </row>
    <row r="15" spans="1:13" ht="22.5">
      <c r="A15" s="438"/>
      <c r="B15" s="444"/>
      <c r="C15" s="447"/>
      <c r="D15" s="447"/>
      <c r="E15" s="450"/>
      <c r="F15" s="453"/>
      <c r="G15" s="437"/>
      <c r="H15" s="295" t="s">
        <v>354</v>
      </c>
      <c r="I15" s="296">
        <v>909338</v>
      </c>
      <c r="J15" s="296">
        <f>'세출(수정)'!AD123</f>
        <v>803208</v>
      </c>
      <c r="K15" s="298">
        <f t="shared" si="1"/>
        <v>-106130</v>
      </c>
      <c r="L15" s="300" t="s">
        <v>336</v>
      </c>
    </row>
    <row r="16" spans="1:13">
      <c r="A16" s="303" t="s">
        <v>355</v>
      </c>
      <c r="B16" s="295" t="s">
        <v>334</v>
      </c>
      <c r="C16" s="296">
        <v>30782</v>
      </c>
      <c r="D16" s="296">
        <f>'세입(수정)'!AC45</f>
        <v>30782</v>
      </c>
      <c r="E16" s="298">
        <f t="shared" ref="E16" si="2">D16-C16</f>
        <v>0</v>
      </c>
      <c r="F16" s="339"/>
      <c r="G16" s="437"/>
      <c r="H16" s="295" t="s">
        <v>356</v>
      </c>
      <c r="I16" s="296">
        <v>250000</v>
      </c>
      <c r="J16" s="296">
        <v>186000</v>
      </c>
      <c r="K16" s="298">
        <f t="shared" si="1"/>
        <v>-64000</v>
      </c>
      <c r="L16" s="301" t="s">
        <v>392</v>
      </c>
    </row>
    <row r="17" spans="1:12" ht="32.25" thickBot="1">
      <c r="A17" s="304" t="s">
        <v>355</v>
      </c>
      <c r="B17" s="305" t="s">
        <v>335</v>
      </c>
      <c r="C17" s="306">
        <v>520000</v>
      </c>
      <c r="D17" s="306">
        <f>'세입(수정)'!AC55</f>
        <v>690650</v>
      </c>
      <c r="E17" s="307">
        <f t="shared" si="0"/>
        <v>170650</v>
      </c>
      <c r="F17" s="308" t="s">
        <v>390</v>
      </c>
      <c r="G17" s="437"/>
      <c r="H17" s="295" t="s">
        <v>357</v>
      </c>
      <c r="I17" s="296">
        <v>237082</v>
      </c>
      <c r="J17" s="296">
        <f>'세출(수정)'!AD131</f>
        <v>237082</v>
      </c>
      <c r="K17" s="298">
        <f t="shared" si="1"/>
        <v>0</v>
      </c>
      <c r="L17" s="301"/>
    </row>
    <row r="18" spans="1:12">
      <c r="A18" s="309"/>
      <c r="B18" s="310"/>
      <c r="C18" s="310"/>
      <c r="D18" s="310"/>
      <c r="E18" s="310"/>
      <c r="F18" s="311"/>
      <c r="G18" s="437"/>
      <c r="H18" s="295" t="s">
        <v>358</v>
      </c>
      <c r="I18" s="296">
        <v>117000</v>
      </c>
      <c r="J18" s="296">
        <f>'세출(수정)'!AD135</f>
        <v>86720</v>
      </c>
      <c r="K18" s="298">
        <f t="shared" si="1"/>
        <v>-30280</v>
      </c>
      <c r="L18" s="301" t="s">
        <v>391</v>
      </c>
    </row>
    <row r="19" spans="1:12" ht="22.5">
      <c r="A19" s="312"/>
      <c r="B19" s="312"/>
      <c r="C19" s="312"/>
      <c r="D19" s="312"/>
      <c r="E19" s="312"/>
      <c r="F19" s="313"/>
      <c r="G19" s="438"/>
      <c r="H19" s="295" t="s">
        <v>359</v>
      </c>
      <c r="I19" s="296">
        <v>3695008</v>
      </c>
      <c r="J19" s="296">
        <f>'세출(수정)'!AD140</f>
        <v>3542443</v>
      </c>
      <c r="K19" s="298">
        <f>J19-I19</f>
        <v>-152565</v>
      </c>
      <c r="L19" s="301" t="s">
        <v>410</v>
      </c>
    </row>
    <row r="20" spans="1:12" ht="23.25" thickBot="1">
      <c r="A20" s="312"/>
      <c r="B20" s="312"/>
      <c r="C20" s="312"/>
      <c r="D20" s="312"/>
      <c r="E20" s="312"/>
      <c r="F20" s="313"/>
      <c r="G20" s="314" t="s">
        <v>258</v>
      </c>
      <c r="H20" s="315" t="s">
        <v>360</v>
      </c>
      <c r="I20" s="316">
        <v>6566</v>
      </c>
      <c r="J20" s="316">
        <f>'세출(수정)'!AD169</f>
        <v>136566</v>
      </c>
      <c r="K20" s="317">
        <f t="shared" si="1"/>
        <v>130000</v>
      </c>
      <c r="L20" s="357" t="s">
        <v>417</v>
      </c>
    </row>
    <row r="21" spans="1:12">
      <c r="A21" s="258"/>
      <c r="B21" s="258"/>
      <c r="C21" s="258"/>
      <c r="D21" s="258"/>
      <c r="E21" s="258"/>
      <c r="F21" s="258"/>
      <c r="G21" s="257"/>
    </row>
    <row r="22" spans="1:12">
      <c r="A22" s="258"/>
      <c r="B22" s="258"/>
      <c r="C22" s="258"/>
      <c r="D22" s="258"/>
      <c r="E22" s="258"/>
      <c r="F22" s="258"/>
      <c r="G22" s="258"/>
    </row>
  </sheetData>
  <mergeCells count="25">
    <mergeCell ref="A6:B6"/>
    <mergeCell ref="G6:H6"/>
    <mergeCell ref="G7:G10"/>
    <mergeCell ref="A8:A9"/>
    <mergeCell ref="A10:A11"/>
    <mergeCell ref="G11:G13"/>
    <mergeCell ref="A13:A15"/>
    <mergeCell ref="B13:B15"/>
    <mergeCell ref="C13:C15"/>
    <mergeCell ref="D13:D15"/>
    <mergeCell ref="E13:E15"/>
    <mergeCell ref="F13:F15"/>
    <mergeCell ref="G14:G19"/>
    <mergeCell ref="A3:F3"/>
    <mergeCell ref="G3:L3"/>
    <mergeCell ref="A4:B5"/>
    <mergeCell ref="C4:C5"/>
    <mergeCell ref="D4:D5"/>
    <mergeCell ref="E4:E5"/>
    <mergeCell ref="F4:F5"/>
    <mergeCell ref="G4:H5"/>
    <mergeCell ref="I4:I5"/>
    <mergeCell ref="J4:J5"/>
    <mergeCell ref="K4:K5"/>
    <mergeCell ref="L4:L5"/>
  </mergeCells>
  <phoneticPr fontId="6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D59"/>
  <sheetViews>
    <sheetView view="pageLayout" zoomScale="75" zoomScaleNormal="100" zoomScaleSheetLayoutView="90" zoomScalePageLayoutView="75" workbookViewId="0">
      <selection activeCell="H21" sqref="H21"/>
    </sheetView>
  </sheetViews>
  <sheetFormatPr defaultRowHeight="13.5"/>
  <cols>
    <col min="3" max="3" width="7.88671875" customWidth="1"/>
    <col min="4" max="4" width="7.109375" customWidth="1"/>
    <col min="5" max="5" width="6.6640625" customWidth="1"/>
    <col min="6" max="6" width="6.88671875" customWidth="1"/>
    <col min="7" max="7" width="6.21875" customWidth="1"/>
    <col min="8" max="8" width="6.6640625" customWidth="1"/>
    <col min="9" max="9" width="5.88671875" customWidth="1"/>
    <col min="10" max="10" width="5.6640625" customWidth="1"/>
    <col min="11" max="11" width="6.44140625" customWidth="1"/>
    <col min="12" max="12" width="6.21875" customWidth="1"/>
    <col min="13" max="13" width="5" customWidth="1"/>
    <col min="16" max="16" width="3.5546875" customWidth="1"/>
    <col min="17" max="17" width="1" customWidth="1"/>
    <col min="18" max="18" width="9.109375" customWidth="1"/>
    <col min="19" max="19" width="3.5546875" customWidth="1"/>
    <col min="20" max="20" width="6.109375" customWidth="1"/>
    <col min="21" max="21" width="4.5546875" customWidth="1"/>
    <col min="22" max="22" width="6" customWidth="1"/>
    <col min="23" max="23" width="5.33203125" customWidth="1"/>
    <col min="24" max="24" width="3.33203125" customWidth="1"/>
    <col min="25" max="25" width="3.44140625" customWidth="1"/>
    <col min="26" max="26" width="5.88671875" customWidth="1"/>
    <col min="27" max="27" width="7.109375" customWidth="1"/>
    <col min="28" max="28" width="3.109375" customWidth="1"/>
    <col min="29" max="29" width="10.21875" customWidth="1"/>
    <col min="30" max="30" width="3.21875" customWidth="1"/>
  </cols>
  <sheetData>
    <row r="1" spans="1:30" ht="14.25" thickBot="1">
      <c r="A1" s="463" t="s">
        <v>300</v>
      </c>
      <c r="B1" s="463"/>
      <c r="C1" s="463"/>
      <c r="D1" s="6"/>
      <c r="E1" s="6"/>
      <c r="F1" s="6"/>
      <c r="G1" s="6"/>
      <c r="H1" s="6"/>
      <c r="I1" s="6"/>
      <c r="J1" s="6"/>
      <c r="K1" s="6"/>
      <c r="L1" s="7"/>
      <c r="M1" s="9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>
      <c r="A2" s="394" t="s">
        <v>65</v>
      </c>
      <c r="B2" s="395"/>
      <c r="C2" s="395"/>
      <c r="D2" s="396" t="s">
        <v>408</v>
      </c>
      <c r="E2" s="398" t="s">
        <v>407</v>
      </c>
      <c r="F2" s="399"/>
      <c r="G2" s="399"/>
      <c r="H2" s="399"/>
      <c r="I2" s="399"/>
      <c r="J2" s="399"/>
      <c r="K2" s="399"/>
      <c r="L2" s="400" t="s">
        <v>23</v>
      </c>
      <c r="M2" s="400"/>
      <c r="N2" s="386" t="s">
        <v>56</v>
      </c>
      <c r="O2" s="387"/>
      <c r="P2" s="387"/>
      <c r="Q2" s="387"/>
      <c r="R2" s="387"/>
      <c r="S2" s="387"/>
      <c r="T2" s="387"/>
      <c r="U2" s="387"/>
      <c r="V2" s="387"/>
      <c r="W2" s="387"/>
      <c r="X2" s="387"/>
      <c r="Y2" s="387"/>
      <c r="Z2" s="387"/>
      <c r="AA2" s="387"/>
      <c r="AB2" s="387"/>
      <c r="AC2" s="387"/>
      <c r="AD2" s="388"/>
    </row>
    <row r="3" spans="1:30" ht="27.75" thickBot="1">
      <c r="A3" s="19" t="s">
        <v>1</v>
      </c>
      <c r="B3" s="20" t="s">
        <v>2</v>
      </c>
      <c r="C3" s="20" t="s">
        <v>3</v>
      </c>
      <c r="D3" s="397"/>
      <c r="E3" s="329" t="s">
        <v>114</v>
      </c>
      <c r="F3" s="329" t="s">
        <v>301</v>
      </c>
      <c r="G3" s="329" t="s">
        <v>153</v>
      </c>
      <c r="H3" s="329" t="s">
        <v>104</v>
      </c>
      <c r="I3" s="329" t="s">
        <v>255</v>
      </c>
      <c r="J3" s="329" t="s">
        <v>75</v>
      </c>
      <c r="K3" s="329" t="s">
        <v>106</v>
      </c>
      <c r="L3" s="164" t="s">
        <v>115</v>
      </c>
      <c r="M3" s="21" t="s">
        <v>4</v>
      </c>
      <c r="N3" s="389"/>
      <c r="O3" s="390"/>
      <c r="P3" s="390"/>
      <c r="Q3" s="390"/>
      <c r="R3" s="390"/>
      <c r="S3" s="390"/>
      <c r="T3" s="390"/>
      <c r="U3" s="390"/>
      <c r="V3" s="390"/>
      <c r="W3" s="390"/>
      <c r="X3" s="390"/>
      <c r="Y3" s="390"/>
      <c r="Z3" s="390"/>
      <c r="AA3" s="390"/>
      <c r="AB3" s="390"/>
      <c r="AC3" s="390"/>
      <c r="AD3" s="391"/>
    </row>
    <row r="4" spans="1:30">
      <c r="A4" s="456" t="s">
        <v>24</v>
      </c>
      <c r="B4" s="457"/>
      <c r="C4" s="458"/>
      <c r="D4" s="22">
        <v>63988</v>
      </c>
      <c r="E4" s="71">
        <f>(F4+G4+H4+I4+K4+J4)</f>
        <v>63072.964</v>
      </c>
      <c r="F4" s="22">
        <f>SUM(F5,F12,F17,F23,F33,F38,F44)</f>
        <v>48139.565999999999</v>
      </c>
      <c r="G4" s="22">
        <f>SUM(G10,G5,G17,G23,G33,G38,G44,)</f>
        <v>2000</v>
      </c>
      <c r="H4" s="22">
        <f>H5+H10+H23+H38+H44</f>
        <v>8133.0820000000003</v>
      </c>
      <c r="I4" s="22">
        <f>I5+I10+I23+I33+I38+I44</f>
        <v>327.00799999999998</v>
      </c>
      <c r="J4" s="22">
        <f>J5+J10+J23+J33+J38+J44</f>
        <v>680</v>
      </c>
      <c r="K4" s="22">
        <f>K5+K10+K23+K38+K44</f>
        <v>3793.308</v>
      </c>
      <c r="L4" s="23">
        <f>E4-D4</f>
        <v>-915.03600000000006</v>
      </c>
      <c r="M4" s="36">
        <f>IF(D4=0,0,L4/D4)</f>
        <v>-1.4300118772269801E-2</v>
      </c>
      <c r="N4" s="24" t="s">
        <v>188</v>
      </c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6">
        <f>SUM(AC5,AC10,AC23,AC38,AC44,AC33)</f>
        <v>63073614</v>
      </c>
      <c r="AD4" s="27" t="s">
        <v>58</v>
      </c>
    </row>
    <row r="5" spans="1:30" ht="14.25" thickBot="1">
      <c r="A5" s="33" t="s">
        <v>61</v>
      </c>
      <c r="B5" s="334" t="s">
        <v>61</v>
      </c>
      <c r="C5" s="160" t="s">
        <v>113</v>
      </c>
      <c r="D5" s="34">
        <v>8120</v>
      </c>
      <c r="E5" s="34">
        <f>SUM(F5:K5)</f>
        <v>8120.0820000000003</v>
      </c>
      <c r="F5" s="34">
        <v>0</v>
      </c>
      <c r="G5" s="34">
        <v>0</v>
      </c>
      <c r="H5" s="34">
        <f>AC5/1000</f>
        <v>8120.0820000000003</v>
      </c>
      <c r="I5" s="34"/>
      <c r="J5" s="34"/>
      <c r="K5" s="34">
        <v>0</v>
      </c>
      <c r="L5" s="35">
        <f>E5-D5</f>
        <v>8.2000000000334694E-2</v>
      </c>
      <c r="M5" s="36">
        <f>IF(D5=0,0,L5/D5)</f>
        <v>1.0098522167528904E-5</v>
      </c>
      <c r="N5" s="37" t="s">
        <v>302</v>
      </c>
      <c r="O5" s="159"/>
      <c r="P5" s="38"/>
      <c r="Q5" s="38"/>
      <c r="R5" s="38"/>
      <c r="S5" s="38"/>
      <c r="T5" s="38"/>
      <c r="U5" s="39"/>
      <c r="V5" s="39" t="s">
        <v>64</v>
      </c>
      <c r="W5" s="39"/>
      <c r="X5" s="39"/>
      <c r="Y5" s="39"/>
      <c r="Z5" s="39"/>
      <c r="AA5" s="39"/>
      <c r="AB5" s="40"/>
      <c r="AC5" s="40">
        <f>AC6+AC7+AC8</f>
        <v>8120082</v>
      </c>
      <c r="AD5" s="41" t="s">
        <v>25</v>
      </c>
    </row>
    <row r="6" spans="1:30">
      <c r="A6" s="42" t="s">
        <v>62</v>
      </c>
      <c r="B6" s="335" t="s">
        <v>105</v>
      </c>
      <c r="C6" s="43" t="s">
        <v>105</v>
      </c>
      <c r="D6" s="44"/>
      <c r="E6" s="44"/>
      <c r="F6" s="44"/>
      <c r="G6" s="44"/>
      <c r="H6" s="44"/>
      <c r="I6" s="44"/>
      <c r="J6" s="44"/>
      <c r="K6" s="44"/>
      <c r="L6" s="45"/>
      <c r="M6" s="31"/>
      <c r="N6" s="47" t="s">
        <v>303</v>
      </c>
      <c r="O6" s="48"/>
      <c r="P6" s="49"/>
      <c r="Q6" s="49"/>
      <c r="R6" s="336">
        <v>150000</v>
      </c>
      <c r="S6" s="336" t="s">
        <v>58</v>
      </c>
      <c r="T6" s="337" t="s">
        <v>59</v>
      </c>
      <c r="U6" s="336">
        <v>5</v>
      </c>
      <c r="V6" s="336" t="s">
        <v>57</v>
      </c>
      <c r="W6" s="337" t="s">
        <v>59</v>
      </c>
      <c r="X6" s="50">
        <v>6</v>
      </c>
      <c r="Y6" s="204" t="s">
        <v>0</v>
      </c>
      <c r="Z6" s="204" t="s">
        <v>54</v>
      </c>
      <c r="AA6" s="204"/>
      <c r="AB6" s="336"/>
      <c r="AC6" s="336">
        <f>R6*U6*X6</f>
        <v>4500000</v>
      </c>
      <c r="AD6" s="51" t="s">
        <v>58</v>
      </c>
    </row>
    <row r="7" spans="1:30">
      <c r="A7" s="42"/>
      <c r="B7" s="335"/>
      <c r="C7" s="43"/>
      <c r="D7" s="44"/>
      <c r="E7" s="44"/>
      <c r="F7" s="44"/>
      <c r="G7" s="44"/>
      <c r="H7" s="44"/>
      <c r="I7" s="44"/>
      <c r="J7" s="44"/>
      <c r="K7" s="44"/>
      <c r="L7" s="45"/>
      <c r="M7" s="31"/>
      <c r="N7" s="47" t="s">
        <v>303</v>
      </c>
      <c r="O7" s="48"/>
      <c r="P7" s="49"/>
      <c r="Q7" s="49"/>
      <c r="R7" s="336">
        <v>150000</v>
      </c>
      <c r="S7" s="336" t="s">
        <v>58</v>
      </c>
      <c r="T7" s="337" t="s">
        <v>59</v>
      </c>
      <c r="U7" s="336">
        <v>4</v>
      </c>
      <c r="V7" s="336" t="s">
        <v>57</v>
      </c>
      <c r="W7" s="337" t="s">
        <v>59</v>
      </c>
      <c r="X7" s="50">
        <v>6</v>
      </c>
      <c r="Y7" s="204" t="s">
        <v>0</v>
      </c>
      <c r="Z7" s="204" t="s">
        <v>54</v>
      </c>
      <c r="AA7" s="204"/>
      <c r="AB7" s="336"/>
      <c r="AC7" s="336">
        <f>R7*U7*X7</f>
        <v>3600000</v>
      </c>
      <c r="AD7" s="51" t="s">
        <v>58</v>
      </c>
    </row>
    <row r="8" spans="1:30">
      <c r="A8" s="42"/>
      <c r="B8" s="335"/>
      <c r="C8" s="43"/>
      <c r="D8" s="44"/>
      <c r="E8" s="44"/>
      <c r="F8" s="44"/>
      <c r="G8" s="44"/>
      <c r="H8" s="44"/>
      <c r="I8" s="44"/>
      <c r="J8" s="44"/>
      <c r="K8" s="44"/>
      <c r="L8" s="45"/>
      <c r="M8" s="31"/>
      <c r="N8" s="47" t="s">
        <v>304</v>
      </c>
      <c r="O8" s="48"/>
      <c r="P8" s="49"/>
      <c r="Q8" s="49"/>
      <c r="R8" s="336">
        <v>20082</v>
      </c>
      <c r="S8" s="336" t="s">
        <v>58</v>
      </c>
      <c r="T8" s="337" t="s">
        <v>59</v>
      </c>
      <c r="U8" s="336">
        <v>1</v>
      </c>
      <c r="V8" s="336" t="s">
        <v>57</v>
      </c>
      <c r="W8" s="337" t="s">
        <v>59</v>
      </c>
      <c r="X8" s="50">
        <v>1</v>
      </c>
      <c r="Y8" s="204" t="s">
        <v>0</v>
      </c>
      <c r="Z8" s="204" t="s">
        <v>54</v>
      </c>
      <c r="AA8" s="204"/>
      <c r="AB8" s="336"/>
      <c r="AC8" s="336">
        <f>R8*U8*X8</f>
        <v>20082</v>
      </c>
      <c r="AD8" s="51" t="s">
        <v>58</v>
      </c>
    </row>
    <row r="9" spans="1:30">
      <c r="A9" s="42"/>
      <c r="B9" s="335"/>
      <c r="C9" s="43"/>
      <c r="D9" s="44"/>
      <c r="E9" s="44"/>
      <c r="F9" s="44"/>
      <c r="G9" s="44"/>
      <c r="H9" s="44"/>
      <c r="I9" s="44"/>
      <c r="J9" s="44"/>
      <c r="K9" s="44"/>
      <c r="L9" s="45"/>
      <c r="M9" s="31"/>
      <c r="N9" s="47"/>
      <c r="O9" s="48"/>
      <c r="P9" s="49"/>
      <c r="Q9" s="49"/>
      <c r="R9" s="330"/>
      <c r="S9" s="330"/>
      <c r="T9" s="331"/>
      <c r="U9" s="413" t="s">
        <v>381</v>
      </c>
      <c r="V9" s="455"/>
      <c r="W9" s="455"/>
      <c r="X9" s="455"/>
      <c r="Y9" s="204"/>
      <c r="Z9" s="204"/>
      <c r="AA9" s="204"/>
      <c r="AB9" s="330"/>
      <c r="AC9" s="330"/>
      <c r="AD9" s="51"/>
    </row>
    <row r="10" spans="1:30">
      <c r="A10" s="33" t="s">
        <v>30</v>
      </c>
      <c r="B10" s="403" t="s">
        <v>17</v>
      </c>
      <c r="C10" s="404"/>
      <c r="D10" s="189">
        <v>50125</v>
      </c>
      <c r="E10" s="189">
        <f>E11+E17</f>
        <v>50125</v>
      </c>
      <c r="F10" s="189">
        <f t="shared" ref="F10:K10" si="0">F11</f>
        <v>3224</v>
      </c>
      <c r="G10" s="189">
        <f t="shared" si="0"/>
        <v>151</v>
      </c>
      <c r="H10" s="189">
        <f t="shared" si="0"/>
        <v>0</v>
      </c>
      <c r="I10" s="189">
        <v>0</v>
      </c>
      <c r="J10" s="189"/>
      <c r="K10" s="189">
        <f t="shared" si="0"/>
        <v>0</v>
      </c>
      <c r="L10" s="190">
        <f>E10-D10</f>
        <v>0</v>
      </c>
      <c r="M10" s="191">
        <f>IF(D10=0,0,L10/D10)</f>
        <v>0</v>
      </c>
      <c r="N10" s="54" t="s">
        <v>66</v>
      </c>
      <c r="O10" s="39"/>
      <c r="P10" s="55"/>
      <c r="Q10" s="55"/>
      <c r="R10" s="39"/>
      <c r="S10" s="39"/>
      <c r="T10" s="39"/>
      <c r="U10" s="39"/>
      <c r="V10" s="39"/>
      <c r="W10" s="56"/>
      <c r="X10" s="56"/>
      <c r="Y10" s="56"/>
      <c r="Z10" s="56"/>
      <c r="AA10" s="56"/>
      <c r="AB10" s="56"/>
      <c r="AC10" s="39">
        <f>AC11</f>
        <v>50125000</v>
      </c>
      <c r="AD10" s="41" t="s">
        <v>25</v>
      </c>
    </row>
    <row r="11" spans="1:30" ht="14.25" thickBot="1">
      <c r="A11" s="42"/>
      <c r="B11" s="335" t="s">
        <v>69</v>
      </c>
      <c r="C11" s="335" t="s">
        <v>67</v>
      </c>
      <c r="D11" s="34">
        <v>3375</v>
      </c>
      <c r="E11" s="34">
        <f t="shared" ref="E11:K11" si="1">E12</f>
        <v>3375</v>
      </c>
      <c r="F11" s="34">
        <f t="shared" si="1"/>
        <v>3224</v>
      </c>
      <c r="G11" s="34">
        <f t="shared" si="1"/>
        <v>151</v>
      </c>
      <c r="H11" s="34">
        <f t="shared" si="1"/>
        <v>0</v>
      </c>
      <c r="I11" s="189">
        <v>0</v>
      </c>
      <c r="J11" s="189"/>
      <c r="K11" s="34">
        <f t="shared" si="1"/>
        <v>0</v>
      </c>
      <c r="L11" s="35">
        <f>E11-D11</f>
        <v>0</v>
      </c>
      <c r="M11" s="36">
        <f>IF(D11=0,0,L11/D11)</f>
        <v>0</v>
      </c>
      <c r="N11" s="58" t="s">
        <v>66</v>
      </c>
      <c r="O11" s="59"/>
      <c r="P11" s="60"/>
      <c r="Q11" s="60"/>
      <c r="R11" s="60"/>
      <c r="S11" s="60"/>
      <c r="T11" s="60"/>
      <c r="U11" s="61"/>
      <c r="V11" s="62" t="s">
        <v>68</v>
      </c>
      <c r="W11" s="62"/>
      <c r="X11" s="62"/>
      <c r="Y11" s="62"/>
      <c r="Z11" s="62"/>
      <c r="AA11" s="62"/>
      <c r="AB11" s="63"/>
      <c r="AC11" s="63">
        <f>SUM(AC12,AC17)</f>
        <v>50125000</v>
      </c>
      <c r="AD11" s="64" t="s">
        <v>58</v>
      </c>
    </row>
    <row r="12" spans="1:30" ht="14.25" thickBot="1">
      <c r="A12" s="42"/>
      <c r="B12" s="335"/>
      <c r="C12" s="461" t="s">
        <v>295</v>
      </c>
      <c r="D12" s="34">
        <v>3375</v>
      </c>
      <c r="E12" s="34">
        <f>AC12/1000</f>
        <v>3375</v>
      </c>
      <c r="F12" s="34">
        <f>(AC13)/1000</f>
        <v>3224</v>
      </c>
      <c r="G12" s="34">
        <f>SUM(AC14:AC14)/1000</f>
        <v>151</v>
      </c>
      <c r="H12" s="34">
        <v>0</v>
      </c>
      <c r="I12" s="189">
        <v>0</v>
      </c>
      <c r="J12" s="189"/>
      <c r="K12" s="34">
        <v>0</v>
      </c>
      <c r="L12" s="35">
        <f>E12-D12</f>
        <v>0</v>
      </c>
      <c r="M12" s="36">
        <f>IF(D12=0,0,L12/D12)</f>
        <v>0</v>
      </c>
      <c r="N12" s="161" t="s">
        <v>296</v>
      </c>
      <c r="O12" s="84"/>
      <c r="P12" s="85"/>
      <c r="Q12" s="85"/>
      <c r="R12" s="85"/>
      <c r="S12" s="85"/>
      <c r="T12" s="85"/>
      <c r="U12" s="86"/>
      <c r="V12" s="87" t="s">
        <v>68</v>
      </c>
      <c r="W12" s="87"/>
      <c r="X12" s="87"/>
      <c r="Y12" s="87"/>
      <c r="Z12" s="87"/>
      <c r="AA12" s="87"/>
      <c r="AB12" s="88"/>
      <c r="AC12" s="88">
        <f>SUM(AC13:AC15)</f>
        <v>3375000</v>
      </c>
      <c r="AD12" s="89" t="s">
        <v>25</v>
      </c>
    </row>
    <row r="13" spans="1:30">
      <c r="A13" s="42"/>
      <c r="B13" s="335"/>
      <c r="C13" s="462"/>
      <c r="D13" s="44"/>
      <c r="E13" s="44"/>
      <c r="F13" s="44"/>
      <c r="G13" s="44"/>
      <c r="H13" s="44"/>
      <c r="I13" s="250"/>
      <c r="J13" s="250"/>
      <c r="K13" s="44"/>
      <c r="L13" s="45"/>
      <c r="M13" s="31"/>
      <c r="N13" s="207" t="s">
        <v>305</v>
      </c>
      <c r="O13" s="205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8"/>
      <c r="AC13" s="209">
        <v>3224000</v>
      </c>
      <c r="AD13" s="210" t="s">
        <v>58</v>
      </c>
    </row>
    <row r="14" spans="1:30">
      <c r="A14" s="42"/>
      <c r="B14" s="335"/>
      <c r="C14" s="263"/>
      <c r="D14" s="44"/>
      <c r="E14" s="44"/>
      <c r="F14" s="44"/>
      <c r="G14" s="44"/>
      <c r="H14" s="44"/>
      <c r="I14" s="44"/>
      <c r="J14" s="44"/>
      <c r="K14" s="44"/>
      <c r="L14" s="45"/>
      <c r="M14" s="31"/>
      <c r="N14" s="207" t="s">
        <v>274</v>
      </c>
      <c r="O14" s="205"/>
      <c r="P14" s="206"/>
      <c r="Q14" s="206"/>
      <c r="R14" s="330"/>
      <c r="S14" s="330"/>
      <c r="T14" s="331"/>
      <c r="U14" s="330"/>
      <c r="V14" s="330"/>
      <c r="W14" s="331"/>
      <c r="X14" s="330"/>
      <c r="Y14" s="330"/>
      <c r="Z14" s="330"/>
      <c r="AA14" s="330"/>
      <c r="AB14" s="71"/>
      <c r="AC14" s="71">
        <v>151000</v>
      </c>
      <c r="AD14" s="51" t="s">
        <v>58</v>
      </c>
    </row>
    <row r="15" spans="1:30">
      <c r="A15" s="42"/>
      <c r="B15" s="335"/>
      <c r="C15" s="263"/>
      <c r="D15" s="44"/>
      <c r="E15" s="44"/>
      <c r="F15" s="44"/>
      <c r="G15" s="44"/>
      <c r="H15" s="44"/>
      <c r="I15" s="44"/>
      <c r="J15" s="44"/>
      <c r="K15" s="44"/>
      <c r="L15" s="45"/>
      <c r="M15" s="31"/>
      <c r="N15" s="207" t="s">
        <v>272</v>
      </c>
      <c r="O15" s="205"/>
      <c r="P15" s="206"/>
      <c r="Q15" s="206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69">
        <v>0</v>
      </c>
      <c r="AD15" s="268" t="s">
        <v>58</v>
      </c>
    </row>
    <row r="16" spans="1:30">
      <c r="A16" s="52"/>
      <c r="B16" s="53"/>
      <c r="C16" s="264"/>
      <c r="D16" s="65"/>
      <c r="E16" s="65"/>
      <c r="F16" s="65"/>
      <c r="G16" s="65"/>
      <c r="H16" s="65"/>
      <c r="I16" s="65"/>
      <c r="J16" s="65"/>
      <c r="K16" s="65"/>
      <c r="L16" s="66"/>
      <c r="M16" s="259"/>
      <c r="N16" s="260"/>
      <c r="O16" s="261"/>
      <c r="P16" s="262"/>
      <c r="Q16" s="262"/>
      <c r="R16" s="332"/>
      <c r="S16" s="332"/>
      <c r="T16" s="333"/>
      <c r="U16" s="332"/>
      <c r="V16" s="332"/>
      <c r="W16" s="333"/>
      <c r="X16" s="332"/>
      <c r="Y16" s="332"/>
      <c r="Z16" s="332"/>
      <c r="AA16" s="332"/>
      <c r="AB16" s="76"/>
      <c r="AC16" s="76"/>
      <c r="AD16" s="77"/>
    </row>
    <row r="17" spans="1:30" ht="14.25" thickBot="1">
      <c r="A17" s="42"/>
      <c r="B17" s="335"/>
      <c r="C17" s="461" t="s">
        <v>297</v>
      </c>
      <c r="D17" s="44">
        <v>46750</v>
      </c>
      <c r="E17" s="44">
        <f>SUM(F17:K17)</f>
        <v>46750</v>
      </c>
      <c r="F17" s="44">
        <f>AC18/1000</f>
        <v>44901</v>
      </c>
      <c r="G17" s="34">
        <f>SUM(AC19:AC21)/1000</f>
        <v>1849</v>
      </c>
      <c r="H17" s="44">
        <f>AC22</f>
        <v>0</v>
      </c>
      <c r="I17" s="44">
        <f>AC22</f>
        <v>0</v>
      </c>
      <c r="J17" s="44"/>
      <c r="K17" s="44">
        <f>AC22</f>
        <v>0</v>
      </c>
      <c r="L17" s="35">
        <f>E17-D17</f>
        <v>0</v>
      </c>
      <c r="M17" s="36">
        <f>IF(D17=0,0,L17/D17)</f>
        <v>0</v>
      </c>
      <c r="N17" s="161" t="s">
        <v>298</v>
      </c>
      <c r="O17" s="84"/>
      <c r="P17" s="206"/>
      <c r="Q17" s="206"/>
      <c r="R17" s="1"/>
      <c r="S17" s="1"/>
      <c r="T17" s="1"/>
      <c r="U17" s="1"/>
      <c r="V17" s="87" t="s">
        <v>68</v>
      </c>
      <c r="W17" s="87"/>
      <c r="X17" s="265"/>
      <c r="Y17" s="265"/>
      <c r="Z17" s="265"/>
      <c r="AA17" s="265"/>
      <c r="AB17" s="265"/>
      <c r="AC17" s="88">
        <f>SUM(AC18:AC21)</f>
        <v>46750000</v>
      </c>
      <c r="AD17" s="266" t="s">
        <v>58</v>
      </c>
    </row>
    <row r="18" spans="1:30">
      <c r="A18" s="42"/>
      <c r="B18" s="335"/>
      <c r="C18" s="462"/>
      <c r="D18" s="44"/>
      <c r="E18" s="44"/>
      <c r="F18" s="44"/>
      <c r="G18" s="44"/>
      <c r="H18" s="44"/>
      <c r="I18" s="44"/>
      <c r="J18" s="44"/>
      <c r="K18" s="44"/>
      <c r="L18" s="45"/>
      <c r="M18" s="31"/>
      <c r="N18" s="207" t="s">
        <v>306</v>
      </c>
      <c r="O18" s="205"/>
      <c r="P18" s="206"/>
      <c r="Q18" s="206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209">
        <v>44901000</v>
      </c>
      <c r="AD18" s="210" t="s">
        <v>58</v>
      </c>
    </row>
    <row r="19" spans="1:30">
      <c r="A19" s="42"/>
      <c r="B19" s="335"/>
      <c r="C19" s="263"/>
      <c r="D19" s="44"/>
      <c r="E19" s="44"/>
      <c r="F19" s="44"/>
      <c r="G19" s="44"/>
      <c r="H19" s="44"/>
      <c r="I19" s="44"/>
      <c r="J19" s="44"/>
      <c r="K19" s="44"/>
      <c r="L19" s="45"/>
      <c r="M19" s="31"/>
      <c r="N19" s="207" t="s">
        <v>273</v>
      </c>
      <c r="O19" s="211"/>
      <c r="P19" s="212"/>
      <c r="Q19" s="212"/>
      <c r="R19" s="330"/>
      <c r="S19" s="330"/>
      <c r="T19" s="331"/>
      <c r="U19" s="330"/>
      <c r="V19" s="330"/>
      <c r="W19" s="331"/>
      <c r="X19" s="330"/>
      <c r="Y19" s="330"/>
      <c r="Z19" s="330"/>
      <c r="AA19" s="330"/>
      <c r="AB19" s="71"/>
      <c r="AC19" s="71">
        <v>1649000</v>
      </c>
      <c r="AD19" s="51" t="s">
        <v>58</v>
      </c>
    </row>
    <row r="20" spans="1:30">
      <c r="A20" s="42"/>
      <c r="B20" s="335"/>
      <c r="C20" s="263"/>
      <c r="D20" s="44"/>
      <c r="E20" s="44"/>
      <c r="F20" s="44"/>
      <c r="G20" s="44"/>
      <c r="H20" s="44"/>
      <c r="I20" s="44"/>
      <c r="J20" s="44"/>
      <c r="K20" s="44"/>
      <c r="L20" s="45"/>
      <c r="M20" s="31"/>
      <c r="N20" s="207" t="s">
        <v>271</v>
      </c>
      <c r="O20" s="211"/>
      <c r="P20" s="212"/>
      <c r="Q20" s="212"/>
      <c r="R20" s="330"/>
      <c r="S20" s="330"/>
      <c r="T20" s="331"/>
      <c r="U20" s="330"/>
      <c r="V20" s="330"/>
      <c r="W20" s="331"/>
      <c r="X20" s="330"/>
      <c r="Y20" s="330"/>
      <c r="Z20" s="330"/>
      <c r="AA20" s="330"/>
      <c r="AB20" s="71"/>
      <c r="AC20" s="71">
        <v>0</v>
      </c>
      <c r="AD20" s="51" t="s">
        <v>58</v>
      </c>
    </row>
    <row r="21" spans="1:30">
      <c r="A21" s="42"/>
      <c r="B21" s="335"/>
      <c r="C21" s="263"/>
      <c r="D21" s="44"/>
      <c r="E21" s="44"/>
      <c r="F21" s="44"/>
      <c r="G21" s="44"/>
      <c r="H21" s="44"/>
      <c r="I21" s="44"/>
      <c r="J21" s="44"/>
      <c r="K21" s="44"/>
      <c r="L21" s="45"/>
      <c r="M21" s="31"/>
      <c r="N21" s="207" t="s">
        <v>289</v>
      </c>
      <c r="O21" s="211"/>
      <c r="P21" s="212"/>
      <c r="Q21" s="212"/>
      <c r="R21" s="1"/>
      <c r="S21" s="330"/>
      <c r="T21" s="331"/>
      <c r="U21" s="330"/>
      <c r="V21" s="330"/>
      <c r="W21" s="331"/>
      <c r="X21" s="330"/>
      <c r="Y21" s="330"/>
      <c r="Z21" s="330"/>
      <c r="AA21" s="330"/>
      <c r="AB21" s="71"/>
      <c r="AC21" s="71">
        <v>200000</v>
      </c>
      <c r="AD21" s="51" t="s">
        <v>58</v>
      </c>
    </row>
    <row r="22" spans="1:30">
      <c r="A22" s="52"/>
      <c r="B22" s="53"/>
      <c r="C22" s="264"/>
      <c r="D22" s="44"/>
      <c r="E22" s="44"/>
      <c r="F22" s="44"/>
      <c r="G22" s="44"/>
      <c r="H22" s="44"/>
      <c r="I22" s="44"/>
      <c r="J22" s="44"/>
      <c r="K22" s="44"/>
      <c r="L22" s="45"/>
      <c r="M22" s="74"/>
      <c r="N22" s="207"/>
      <c r="O22" s="332"/>
      <c r="P22" s="91"/>
      <c r="Q22" s="91"/>
      <c r="R22" s="332"/>
      <c r="S22" s="332"/>
      <c r="T22" s="332"/>
      <c r="U22" s="332"/>
      <c r="V22" s="332"/>
      <c r="W22" s="333"/>
      <c r="X22" s="333"/>
      <c r="Y22" s="333"/>
      <c r="Z22" s="333"/>
      <c r="AA22" s="333"/>
      <c r="AB22" s="333"/>
      <c r="AC22" s="332"/>
      <c r="AD22" s="77"/>
    </row>
    <row r="23" spans="1:30" ht="14.25" thickBot="1">
      <c r="A23" s="33" t="s">
        <v>73</v>
      </c>
      <c r="B23" s="334" t="s">
        <v>13</v>
      </c>
      <c r="C23" s="334" t="s">
        <v>109</v>
      </c>
      <c r="D23" s="34">
        <v>4976</v>
      </c>
      <c r="E23" s="34">
        <f>SUM(F23:K23)</f>
        <v>3791.1</v>
      </c>
      <c r="F23" s="34">
        <v>0</v>
      </c>
      <c r="G23" s="34">
        <v>0</v>
      </c>
      <c r="H23" s="34">
        <v>0</v>
      </c>
      <c r="I23" s="34">
        <v>0</v>
      </c>
      <c r="J23" s="34"/>
      <c r="K23" s="34">
        <f>AC23/1000</f>
        <v>3791.1</v>
      </c>
      <c r="L23" s="35">
        <f>E23-D23</f>
        <v>-1184.9000000000001</v>
      </c>
      <c r="M23" s="36">
        <f>IF(D23=0,0,L23/D23)</f>
        <v>-0.23812299035369777</v>
      </c>
      <c r="N23" s="37" t="s">
        <v>31</v>
      </c>
      <c r="O23" s="96"/>
      <c r="P23" s="30"/>
      <c r="Q23" s="30"/>
      <c r="R23" s="30"/>
      <c r="S23" s="30"/>
      <c r="T23" s="30"/>
      <c r="U23" s="30"/>
      <c r="V23" s="97" t="s">
        <v>68</v>
      </c>
      <c r="W23" s="97"/>
      <c r="X23" s="97"/>
      <c r="Y23" s="97"/>
      <c r="Z23" s="97"/>
      <c r="AA23" s="97"/>
      <c r="AB23" s="98"/>
      <c r="AC23" s="98">
        <f>SUM(AC24:AC31)</f>
        <v>3791100</v>
      </c>
      <c r="AD23" s="99" t="s">
        <v>25</v>
      </c>
    </row>
    <row r="24" spans="1:30">
      <c r="A24" s="42"/>
      <c r="B24" s="335"/>
      <c r="C24" s="335" t="s">
        <v>73</v>
      </c>
      <c r="D24" s="44"/>
      <c r="E24" s="44"/>
      <c r="F24" s="44"/>
      <c r="G24" s="44"/>
      <c r="H24" s="44"/>
      <c r="I24" s="44"/>
      <c r="J24" s="44"/>
      <c r="K24" s="44"/>
      <c r="L24" s="45"/>
      <c r="M24" s="29"/>
      <c r="N24" s="331" t="s">
        <v>148</v>
      </c>
      <c r="O24" s="331" t="s">
        <v>190</v>
      </c>
      <c r="P24" s="330"/>
      <c r="Q24" s="330"/>
      <c r="R24" s="72">
        <v>2072000</v>
      </c>
      <c r="S24" s="73" t="s">
        <v>59</v>
      </c>
      <c r="T24" s="213">
        <v>25</v>
      </c>
      <c r="U24" s="78" t="s">
        <v>59</v>
      </c>
      <c r="V24" s="214">
        <v>1</v>
      </c>
      <c r="W24" s="215">
        <v>1.5</v>
      </c>
      <c r="X24" s="204" t="s">
        <v>71</v>
      </c>
      <c r="Y24" s="204">
        <v>209</v>
      </c>
      <c r="Z24" s="204" t="s">
        <v>54</v>
      </c>
      <c r="AA24" s="330"/>
      <c r="AB24" s="71"/>
      <c r="AC24" s="71">
        <f>ROUNDDOWN(R24*T24*W24/Y24,-1)*V24</f>
        <v>371770</v>
      </c>
      <c r="AD24" s="51" t="s">
        <v>58</v>
      </c>
    </row>
    <row r="25" spans="1:30">
      <c r="A25" s="42"/>
      <c r="B25" s="335"/>
      <c r="C25" s="335"/>
      <c r="D25" s="44"/>
      <c r="E25" s="44"/>
      <c r="F25" s="44"/>
      <c r="G25" s="44"/>
      <c r="H25" s="44"/>
      <c r="I25" s="44"/>
      <c r="J25" s="44"/>
      <c r="K25" s="44"/>
      <c r="L25" s="45"/>
      <c r="M25" s="29"/>
      <c r="N25" s="341" t="s">
        <v>148</v>
      </c>
      <c r="O25" s="341" t="s">
        <v>402</v>
      </c>
      <c r="P25" s="330"/>
      <c r="Q25" s="330"/>
      <c r="R25" s="72">
        <v>2139000</v>
      </c>
      <c r="S25" s="73" t="s">
        <v>361</v>
      </c>
      <c r="T25" s="213">
        <v>25</v>
      </c>
      <c r="U25" s="78" t="s">
        <v>59</v>
      </c>
      <c r="V25" s="214">
        <v>6</v>
      </c>
      <c r="W25" s="215">
        <v>1.5</v>
      </c>
      <c r="X25" s="204" t="s">
        <v>71</v>
      </c>
      <c r="Y25" s="204">
        <v>209</v>
      </c>
      <c r="Z25" s="204" t="s">
        <v>54</v>
      </c>
      <c r="AA25" s="330"/>
      <c r="AB25" s="71"/>
      <c r="AC25" s="71">
        <f>ROUNDDOWN(R25*W25/Y25,-1)*V25*T25</f>
        <v>2302500</v>
      </c>
      <c r="AD25" s="51" t="s">
        <v>58</v>
      </c>
    </row>
    <row r="26" spans="1:30">
      <c r="A26" s="42"/>
      <c r="B26" s="343"/>
      <c r="C26" s="343"/>
      <c r="D26" s="44"/>
      <c r="E26" s="44"/>
      <c r="F26" s="44"/>
      <c r="G26" s="44"/>
      <c r="H26" s="44"/>
      <c r="I26" s="44"/>
      <c r="J26" s="44"/>
      <c r="K26" s="44"/>
      <c r="L26" s="45"/>
      <c r="M26" s="29"/>
      <c r="N26" s="341"/>
      <c r="O26" s="341"/>
      <c r="P26" s="340"/>
      <c r="Q26" s="340"/>
      <c r="R26" s="72">
        <v>2139000</v>
      </c>
      <c r="S26" s="73" t="s">
        <v>361</v>
      </c>
      <c r="T26" s="213">
        <v>25</v>
      </c>
      <c r="U26" s="78" t="s">
        <v>59</v>
      </c>
      <c r="V26" s="214">
        <v>2</v>
      </c>
      <c r="W26" s="215">
        <v>1.5</v>
      </c>
      <c r="X26" s="204" t="s">
        <v>71</v>
      </c>
      <c r="Y26" s="204">
        <v>209</v>
      </c>
      <c r="Z26" s="204" t="s">
        <v>403</v>
      </c>
      <c r="AA26" s="340">
        <v>133680</v>
      </c>
      <c r="AB26" s="204" t="s">
        <v>54</v>
      </c>
      <c r="AC26" s="71">
        <f>ROUNDDOWN(R26*W26/Y26,-1)*V26*T26-AA26</f>
        <v>633820</v>
      </c>
      <c r="AD26" s="51" t="s">
        <v>58</v>
      </c>
    </row>
    <row r="27" spans="1:30">
      <c r="A27" s="42"/>
      <c r="B27" s="335"/>
      <c r="C27" s="335"/>
      <c r="D27" s="44"/>
      <c r="E27" s="44"/>
      <c r="F27" s="44"/>
      <c r="G27" s="44"/>
      <c r="H27" s="44"/>
      <c r="I27" s="44"/>
      <c r="J27" s="44"/>
      <c r="K27" s="44"/>
      <c r="L27" s="45"/>
      <c r="M27" s="29"/>
      <c r="N27" s="331"/>
      <c r="O27" s="331"/>
      <c r="P27" s="330"/>
      <c r="Q27" s="330"/>
      <c r="R27" s="72">
        <v>339190</v>
      </c>
      <c r="S27" s="345" t="s">
        <v>405</v>
      </c>
      <c r="T27" s="345">
        <v>44560</v>
      </c>
      <c r="U27" s="204" t="s">
        <v>71</v>
      </c>
      <c r="V27" s="346">
        <v>31</v>
      </c>
      <c r="W27" s="204" t="s">
        <v>361</v>
      </c>
      <c r="X27" s="204">
        <v>19</v>
      </c>
      <c r="Y27" s="204" t="s">
        <v>54</v>
      </c>
      <c r="Z27" s="340"/>
      <c r="AA27" s="204"/>
      <c r="AB27" s="71"/>
      <c r="AC27" s="71">
        <v>159130</v>
      </c>
      <c r="AD27" s="51" t="s">
        <v>404</v>
      </c>
    </row>
    <row r="28" spans="1:30" hidden="1">
      <c r="A28" s="42"/>
      <c r="B28" s="343"/>
      <c r="C28" s="343"/>
      <c r="D28" s="44"/>
      <c r="E28" s="44"/>
      <c r="F28" s="44"/>
      <c r="G28" s="44"/>
      <c r="H28" s="44"/>
      <c r="I28" s="44"/>
      <c r="J28" s="44"/>
      <c r="K28" s="44"/>
      <c r="L28" s="45"/>
      <c r="M28" s="29"/>
      <c r="N28" s="341"/>
      <c r="O28" s="341"/>
      <c r="P28" s="340"/>
      <c r="Q28" s="340"/>
      <c r="R28" s="72"/>
      <c r="S28" s="73"/>
      <c r="T28" s="213"/>
      <c r="U28" s="78"/>
      <c r="V28" s="214"/>
      <c r="W28" s="215"/>
      <c r="X28" s="204"/>
      <c r="Y28" s="204"/>
      <c r="Z28" s="204"/>
      <c r="AA28" s="340"/>
      <c r="AB28" s="71"/>
      <c r="AC28" s="71"/>
      <c r="AD28" s="51"/>
    </row>
    <row r="29" spans="1:30" hidden="1">
      <c r="A29" s="42"/>
      <c r="B29" s="343"/>
      <c r="C29" s="343"/>
      <c r="D29" s="44"/>
      <c r="E29" s="44"/>
      <c r="F29" s="44"/>
      <c r="G29" s="44"/>
      <c r="H29" s="44"/>
      <c r="I29" s="44"/>
      <c r="J29" s="44"/>
      <c r="K29" s="44"/>
      <c r="L29" s="45"/>
      <c r="M29" s="29"/>
      <c r="N29" s="341"/>
      <c r="O29" s="341"/>
      <c r="P29" s="340"/>
      <c r="Q29" s="340"/>
      <c r="R29" s="72"/>
      <c r="S29" s="73"/>
      <c r="T29" s="213"/>
      <c r="U29" s="78"/>
      <c r="V29" s="214"/>
      <c r="W29" s="215"/>
      <c r="X29" s="204"/>
      <c r="Y29" s="204"/>
      <c r="Z29" s="204"/>
      <c r="AA29" s="340"/>
      <c r="AB29" s="71"/>
      <c r="AC29" s="71"/>
      <c r="AD29" s="51"/>
    </row>
    <row r="30" spans="1:30" hidden="1">
      <c r="A30" s="42"/>
      <c r="B30" s="335"/>
      <c r="C30" s="335"/>
      <c r="D30" s="44"/>
      <c r="E30" s="44"/>
      <c r="F30" s="44"/>
      <c r="G30" s="44"/>
      <c r="H30" s="44"/>
      <c r="I30" s="44"/>
      <c r="J30" s="44"/>
      <c r="K30" s="44"/>
      <c r="L30" s="45"/>
      <c r="M30" s="29"/>
      <c r="N30" s="194"/>
      <c r="O30" s="341"/>
      <c r="P30" s="193"/>
      <c r="Q30" s="193"/>
      <c r="R30" s="72"/>
      <c r="S30" s="73"/>
      <c r="T30" s="213"/>
      <c r="U30" s="78"/>
      <c r="V30" s="214"/>
      <c r="W30" s="215"/>
      <c r="X30" s="204"/>
      <c r="Y30" s="204"/>
      <c r="Z30" s="204"/>
      <c r="AA30" s="330"/>
      <c r="AB30" s="71"/>
      <c r="AC30" s="71"/>
      <c r="AD30" s="51"/>
    </row>
    <row r="31" spans="1:30">
      <c r="A31" s="42"/>
      <c r="B31" s="335"/>
      <c r="C31" s="335"/>
      <c r="D31" s="44"/>
      <c r="E31" s="44"/>
      <c r="F31" s="44"/>
      <c r="G31" s="44"/>
      <c r="H31" s="44"/>
      <c r="I31" s="44"/>
      <c r="J31" s="44"/>
      <c r="K31" s="44"/>
      <c r="L31" s="45"/>
      <c r="M31" s="29"/>
      <c r="N31" s="331" t="s">
        <v>189</v>
      </c>
      <c r="O31" s="194"/>
      <c r="P31" s="193"/>
      <c r="Q31" s="193"/>
      <c r="R31" s="72">
        <v>3886560</v>
      </c>
      <c r="S31" s="204" t="s">
        <v>71</v>
      </c>
      <c r="T31" s="204">
        <v>12</v>
      </c>
      <c r="U31" s="78"/>
      <c r="V31" s="214"/>
      <c r="W31" s="215"/>
      <c r="X31" s="204"/>
      <c r="Y31" s="204"/>
      <c r="Z31" s="204" t="s">
        <v>54</v>
      </c>
      <c r="AA31" s="330"/>
      <c r="AB31" s="71"/>
      <c r="AC31" s="71">
        <v>323880</v>
      </c>
      <c r="AD31" s="51" t="s">
        <v>58</v>
      </c>
    </row>
    <row r="32" spans="1:30">
      <c r="A32" s="42"/>
      <c r="B32" s="53"/>
      <c r="C32" s="53"/>
      <c r="D32" s="65"/>
      <c r="E32" s="65"/>
      <c r="F32" s="65"/>
      <c r="G32" s="65"/>
      <c r="H32" s="65"/>
      <c r="I32" s="65"/>
      <c r="J32" s="65"/>
      <c r="K32" s="65"/>
      <c r="L32" s="45"/>
      <c r="M32" s="29"/>
      <c r="N32" s="331"/>
      <c r="O32" s="194"/>
      <c r="P32" s="193"/>
      <c r="Q32" s="193"/>
      <c r="R32" s="72"/>
      <c r="S32" s="73"/>
      <c r="T32" s="213"/>
      <c r="U32" s="78"/>
      <c r="V32" s="214"/>
      <c r="W32" s="215"/>
      <c r="X32" s="204"/>
      <c r="Y32" s="204"/>
      <c r="Z32" s="204"/>
      <c r="AA32" s="330"/>
      <c r="AB32" s="71"/>
      <c r="AC32" s="71"/>
      <c r="AD32" s="51"/>
    </row>
    <row r="33" spans="1:30" ht="14.25" thickBot="1">
      <c r="A33" s="42" t="s">
        <v>255</v>
      </c>
      <c r="B33" s="335" t="s">
        <v>255</v>
      </c>
      <c r="C33" s="335" t="s">
        <v>256</v>
      </c>
      <c r="D33" s="44">
        <v>216</v>
      </c>
      <c r="E33" s="44">
        <f>I33</f>
        <v>316</v>
      </c>
      <c r="F33" s="44"/>
      <c r="G33" s="44"/>
      <c r="H33" s="44"/>
      <c r="I33" s="44">
        <f>AC33/1000</f>
        <v>316</v>
      </c>
      <c r="J33" s="44"/>
      <c r="K33" s="44"/>
      <c r="L33" s="35">
        <f>E33-D33</f>
        <v>100</v>
      </c>
      <c r="M33" s="36">
        <f>IF(D33=0,0,L33/D33)</f>
        <v>0.46296296296296297</v>
      </c>
      <c r="N33" s="37" t="s">
        <v>252</v>
      </c>
      <c r="O33" s="237"/>
      <c r="P33" s="195"/>
      <c r="Q33" s="195"/>
      <c r="R33" s="353"/>
      <c r="S33" s="354"/>
      <c r="T33" s="355"/>
      <c r="U33" s="226"/>
      <c r="V33" s="97" t="s">
        <v>68</v>
      </c>
      <c r="W33" s="97"/>
      <c r="X33" s="97"/>
      <c r="Y33" s="97"/>
      <c r="Z33" s="97"/>
      <c r="AA33" s="97"/>
      <c r="AB33" s="98"/>
      <c r="AC33" s="98">
        <f>SUM(AC34:AC37)</f>
        <v>316000</v>
      </c>
      <c r="AD33" s="99" t="s">
        <v>25</v>
      </c>
    </row>
    <row r="34" spans="1:30">
      <c r="A34" s="42"/>
      <c r="B34" s="335"/>
      <c r="C34" s="335" t="s">
        <v>255</v>
      </c>
      <c r="D34" s="44"/>
      <c r="E34" s="44"/>
      <c r="F34" s="44"/>
      <c r="G34" s="44"/>
      <c r="H34" s="44"/>
      <c r="I34" s="44"/>
      <c r="J34" s="44"/>
      <c r="K34" s="44"/>
      <c r="L34" s="45"/>
      <c r="M34" s="29"/>
      <c r="N34" s="331" t="s">
        <v>254</v>
      </c>
      <c r="O34" s="194"/>
      <c r="P34" s="193"/>
      <c r="Q34" s="193"/>
      <c r="R34" s="72"/>
      <c r="S34" s="73"/>
      <c r="T34" s="213"/>
      <c r="U34" s="78"/>
      <c r="V34" s="214"/>
      <c r="W34" s="215"/>
      <c r="X34" s="204"/>
      <c r="Y34" s="204"/>
      <c r="Z34" s="204"/>
      <c r="AA34" s="330"/>
      <c r="AB34" s="71"/>
      <c r="AC34" s="71">
        <v>200000</v>
      </c>
      <c r="AD34" s="51" t="s">
        <v>58</v>
      </c>
    </row>
    <row r="35" spans="1:30">
      <c r="A35" s="42"/>
      <c r="B35" s="335"/>
      <c r="C35" s="335"/>
      <c r="D35" s="44"/>
      <c r="E35" s="44"/>
      <c r="F35" s="44"/>
      <c r="G35" s="44"/>
      <c r="H35" s="44"/>
      <c r="I35" s="44"/>
      <c r="J35" s="44"/>
      <c r="K35" s="44"/>
      <c r="L35" s="45"/>
      <c r="M35" s="29"/>
      <c r="N35" s="331" t="s">
        <v>254</v>
      </c>
      <c r="O35" s="194"/>
      <c r="P35" s="193"/>
      <c r="Q35" s="193"/>
      <c r="R35" s="72"/>
      <c r="S35" s="73"/>
      <c r="T35" s="213"/>
      <c r="U35" s="78"/>
      <c r="V35" s="214"/>
      <c r="W35" s="215"/>
      <c r="X35" s="204"/>
      <c r="Y35" s="204"/>
      <c r="Z35" s="204"/>
      <c r="AA35" s="330"/>
      <c r="AB35" s="71"/>
      <c r="AC35" s="71">
        <v>100000</v>
      </c>
      <c r="AD35" s="51" t="s">
        <v>58</v>
      </c>
    </row>
    <row r="36" spans="1:30">
      <c r="A36" s="42"/>
      <c r="B36" s="335"/>
      <c r="C36" s="335"/>
      <c r="D36" s="44"/>
      <c r="E36" s="44"/>
      <c r="F36" s="44"/>
      <c r="G36" s="44"/>
      <c r="H36" s="44"/>
      <c r="I36" s="44"/>
      <c r="J36" s="44"/>
      <c r="K36" s="44"/>
      <c r="L36" s="45"/>
      <c r="M36" s="29"/>
      <c r="N36" s="331" t="s">
        <v>307</v>
      </c>
      <c r="O36" s="194"/>
      <c r="P36" s="193"/>
      <c r="Q36" s="193"/>
      <c r="R36" s="72"/>
      <c r="S36" s="73"/>
      <c r="T36" s="213"/>
      <c r="U36" s="78"/>
      <c r="V36" s="214"/>
      <c r="W36" s="215"/>
      <c r="X36" s="204"/>
      <c r="Y36" s="204"/>
      <c r="Z36" s="204"/>
      <c r="AA36" s="330"/>
      <c r="AB36" s="71"/>
      <c r="AC36" s="71">
        <v>16000</v>
      </c>
      <c r="AD36" s="51" t="s">
        <v>58</v>
      </c>
    </row>
    <row r="37" spans="1:30">
      <c r="A37" s="42"/>
      <c r="B37" s="335"/>
      <c r="C37" s="335"/>
      <c r="D37" s="44"/>
      <c r="E37" s="44"/>
      <c r="F37" s="44"/>
      <c r="G37" s="44"/>
      <c r="H37" s="44"/>
      <c r="I37" s="44"/>
      <c r="J37" s="44"/>
      <c r="K37" s="44"/>
      <c r="L37" s="45"/>
      <c r="M37" s="74"/>
      <c r="N37" s="331"/>
      <c r="O37" s="331"/>
      <c r="P37" s="331"/>
      <c r="Q37" s="331"/>
      <c r="R37" s="331"/>
      <c r="S37" s="331"/>
      <c r="T37" s="331"/>
      <c r="U37" s="331"/>
      <c r="V37" s="331"/>
      <c r="W37" s="331"/>
      <c r="X37" s="331"/>
      <c r="Y37" s="331"/>
      <c r="Z37" s="331"/>
      <c r="AA37" s="331"/>
      <c r="AB37" s="331"/>
      <c r="AC37" s="100"/>
      <c r="AD37" s="51"/>
    </row>
    <row r="38" spans="1:30" ht="14.25" thickBot="1">
      <c r="A38" s="33" t="s">
        <v>14</v>
      </c>
      <c r="B38" s="334" t="s">
        <v>14</v>
      </c>
      <c r="C38" s="334" t="s">
        <v>74</v>
      </c>
      <c r="D38" s="34">
        <v>0</v>
      </c>
      <c r="E38" s="34">
        <f>SUM(F38:K38)</f>
        <v>0</v>
      </c>
      <c r="F38" s="34">
        <f>ROUND(SUM(AC39),-3)/1000</f>
        <v>0</v>
      </c>
      <c r="G38" s="34">
        <v>0</v>
      </c>
      <c r="H38" s="34">
        <f>AC40/1000</f>
        <v>0</v>
      </c>
      <c r="I38" s="34">
        <f>AC42/1000</f>
        <v>0</v>
      </c>
      <c r="J38" s="34"/>
      <c r="K38" s="34">
        <v>0</v>
      </c>
      <c r="L38" s="35">
        <f>E38-D38</f>
        <v>0</v>
      </c>
      <c r="M38" s="36">
        <f>IF(D38=0,0,L38/D38)</f>
        <v>0</v>
      </c>
      <c r="N38" s="37" t="s">
        <v>253</v>
      </c>
      <c r="O38" s="96"/>
      <c r="P38" s="39"/>
      <c r="Q38" s="39"/>
      <c r="R38" s="39"/>
      <c r="S38" s="39"/>
      <c r="T38" s="39"/>
      <c r="U38" s="39"/>
      <c r="V38" s="97" t="s">
        <v>68</v>
      </c>
      <c r="W38" s="97"/>
      <c r="X38" s="97"/>
      <c r="Y38" s="97"/>
      <c r="Z38" s="97"/>
      <c r="AA38" s="97"/>
      <c r="AB38" s="98"/>
      <c r="AC38" s="98">
        <f>SUM(AC39:AC42)</f>
        <v>0</v>
      </c>
      <c r="AD38" s="99" t="s">
        <v>25</v>
      </c>
    </row>
    <row r="39" spans="1:30">
      <c r="A39" s="42"/>
      <c r="B39" s="335"/>
      <c r="C39" s="335" t="s">
        <v>275</v>
      </c>
      <c r="D39" s="44"/>
      <c r="E39" s="44"/>
      <c r="F39" s="44"/>
      <c r="G39" s="44"/>
      <c r="H39" s="44"/>
      <c r="I39" s="44"/>
      <c r="J39" s="44"/>
      <c r="K39" s="44"/>
      <c r="L39" s="45"/>
      <c r="M39" s="74"/>
      <c r="N39" s="70" t="s">
        <v>152</v>
      </c>
      <c r="O39" s="331"/>
      <c r="P39" s="330"/>
      <c r="Q39" s="330"/>
      <c r="R39" s="330"/>
      <c r="S39" s="330"/>
      <c r="T39" s="330"/>
      <c r="U39" s="330"/>
      <c r="V39" s="48"/>
      <c r="W39" s="48"/>
      <c r="X39" s="48"/>
      <c r="Y39" s="330"/>
      <c r="Z39" s="330"/>
      <c r="AA39" s="330"/>
      <c r="AB39" s="71"/>
      <c r="AC39" s="71">
        <v>0</v>
      </c>
      <c r="AD39" s="51" t="s">
        <v>58</v>
      </c>
    </row>
    <row r="40" spans="1:30">
      <c r="A40" s="42"/>
      <c r="B40" s="335"/>
      <c r="C40" s="335"/>
      <c r="D40" s="44"/>
      <c r="E40" s="44"/>
      <c r="F40" s="44"/>
      <c r="G40" s="44"/>
      <c r="H40" s="44"/>
      <c r="I40" s="44"/>
      <c r="J40" s="44"/>
      <c r="K40" s="44"/>
      <c r="L40" s="45"/>
      <c r="M40" s="74"/>
      <c r="N40" s="70" t="s">
        <v>150</v>
      </c>
      <c r="O40" s="331"/>
      <c r="P40" s="330"/>
      <c r="Q40" s="330"/>
      <c r="R40" s="330"/>
      <c r="S40" s="330"/>
      <c r="T40" s="330"/>
      <c r="U40" s="330"/>
      <c r="V40" s="330"/>
      <c r="W40" s="330"/>
      <c r="X40" s="330"/>
      <c r="Y40" s="330"/>
      <c r="Z40" s="330"/>
      <c r="AA40" s="330"/>
      <c r="AB40" s="330"/>
      <c r="AC40" s="330">
        <v>0</v>
      </c>
      <c r="AD40" s="51" t="s">
        <v>58</v>
      </c>
    </row>
    <row r="41" spans="1:30">
      <c r="A41" s="42"/>
      <c r="B41" s="335"/>
      <c r="C41" s="335"/>
      <c r="D41" s="44"/>
      <c r="E41" s="44"/>
      <c r="F41" s="44"/>
      <c r="G41" s="44"/>
      <c r="H41" s="44"/>
      <c r="I41" s="44"/>
      <c r="J41" s="44"/>
      <c r="K41" s="44"/>
      <c r="L41" s="45"/>
      <c r="M41" s="74"/>
      <c r="N41" s="70" t="s">
        <v>151</v>
      </c>
      <c r="O41" s="331"/>
      <c r="P41" s="330"/>
      <c r="Q41" s="330"/>
      <c r="R41" s="330"/>
      <c r="S41" s="330"/>
      <c r="T41" s="330"/>
      <c r="U41" s="330"/>
      <c r="V41" s="330"/>
      <c r="W41" s="330"/>
      <c r="X41" s="330"/>
      <c r="Y41" s="330"/>
      <c r="Z41" s="330"/>
      <c r="AA41" s="330"/>
      <c r="AB41" s="330"/>
      <c r="AC41" s="330">
        <v>0</v>
      </c>
      <c r="AD41" s="51" t="s">
        <v>58</v>
      </c>
    </row>
    <row r="42" spans="1:30">
      <c r="A42" s="42"/>
      <c r="B42" s="335"/>
      <c r="C42" s="335"/>
      <c r="D42" s="44"/>
      <c r="E42" s="44"/>
      <c r="F42" s="44"/>
      <c r="G42" s="44"/>
      <c r="H42" s="44"/>
      <c r="I42" s="44"/>
      <c r="J42" s="44"/>
      <c r="K42" s="44"/>
      <c r="L42" s="45"/>
      <c r="M42" s="74"/>
      <c r="N42" s="70" t="s">
        <v>260</v>
      </c>
      <c r="O42" s="331"/>
      <c r="P42" s="330"/>
      <c r="Q42" s="330"/>
      <c r="R42" s="330"/>
      <c r="S42" s="330"/>
      <c r="T42" s="330"/>
      <c r="U42" s="330"/>
      <c r="V42" s="330"/>
      <c r="W42" s="330"/>
      <c r="X42" s="330"/>
      <c r="Y42" s="330"/>
      <c r="Z42" s="330"/>
      <c r="AA42" s="330"/>
      <c r="AB42" s="330"/>
      <c r="AC42" s="330">
        <v>0</v>
      </c>
      <c r="AD42" s="51" t="s">
        <v>58</v>
      </c>
    </row>
    <row r="43" spans="1:30">
      <c r="A43" s="42"/>
      <c r="B43" s="335"/>
      <c r="C43" s="335"/>
      <c r="D43" s="44"/>
      <c r="E43" s="44"/>
      <c r="F43" s="44"/>
      <c r="G43" s="44"/>
      <c r="H43" s="44"/>
      <c r="I43" s="44"/>
      <c r="J43" s="44"/>
      <c r="K43" s="44"/>
      <c r="L43" s="45"/>
      <c r="M43" s="74"/>
      <c r="N43" s="70"/>
      <c r="O43" s="331"/>
      <c r="P43" s="330"/>
      <c r="Q43" s="330"/>
      <c r="R43" s="330"/>
      <c r="S43" s="330"/>
      <c r="T43" s="330"/>
      <c r="U43" s="330"/>
      <c r="V43" s="330"/>
      <c r="W43" s="330"/>
      <c r="X43" s="330"/>
      <c r="Y43" s="330"/>
      <c r="Z43" s="330"/>
      <c r="AA43" s="330"/>
      <c r="AB43" s="330"/>
      <c r="AC43" s="330"/>
      <c r="AD43" s="51"/>
    </row>
    <row r="44" spans="1:30" ht="14.25" thickBot="1">
      <c r="A44" s="42" t="s">
        <v>75</v>
      </c>
      <c r="B44" s="93" t="s">
        <v>16</v>
      </c>
      <c r="C44" s="277" t="s">
        <v>76</v>
      </c>
      <c r="D44" s="276">
        <v>551</v>
      </c>
      <c r="E44" s="34">
        <v>721</v>
      </c>
      <c r="F44" s="34">
        <f>SUM(F45,F55)</f>
        <v>14.566000000000001</v>
      </c>
      <c r="G44" s="34">
        <f>SUM(G45,G55)</f>
        <v>0</v>
      </c>
      <c r="H44" s="34">
        <f>SUM(H45,H55)</f>
        <v>13</v>
      </c>
      <c r="I44" s="34">
        <f>I45+I55</f>
        <v>11.007999999999999</v>
      </c>
      <c r="J44" s="34">
        <f>J45+J55</f>
        <v>680</v>
      </c>
      <c r="K44" s="34">
        <f>SUM(K45,K55)</f>
        <v>2.2080000000000002</v>
      </c>
      <c r="L44" s="275">
        <f>E44-D44</f>
        <v>170</v>
      </c>
      <c r="M44" s="36">
        <f>IF(D44=0,0,L44/D44)</f>
        <v>0.30852994555353902</v>
      </c>
      <c r="N44" s="37" t="s">
        <v>77</v>
      </c>
      <c r="O44" s="96"/>
      <c r="P44" s="39"/>
      <c r="Q44" s="39"/>
      <c r="R44" s="39"/>
      <c r="S44" s="39"/>
      <c r="T44" s="39"/>
      <c r="U44" s="39"/>
      <c r="V44" s="97" t="s">
        <v>107</v>
      </c>
      <c r="W44" s="97"/>
      <c r="X44" s="97"/>
      <c r="Y44" s="97"/>
      <c r="Z44" s="97"/>
      <c r="AA44" s="97"/>
      <c r="AB44" s="98"/>
      <c r="AC44" s="98">
        <f>AC45+AC55</f>
        <v>721432</v>
      </c>
      <c r="AD44" s="99" t="s">
        <v>25</v>
      </c>
    </row>
    <row r="45" spans="1:30">
      <c r="A45" s="42"/>
      <c r="B45" s="335"/>
      <c r="C45" s="335" t="s">
        <v>111</v>
      </c>
      <c r="D45" s="44">
        <v>31</v>
      </c>
      <c r="E45" s="34">
        <f>SUM(F45:K45)</f>
        <v>30.782000000000004</v>
      </c>
      <c r="F45" s="34">
        <f>(AC46+AC47)/1000</f>
        <v>14.566000000000001</v>
      </c>
      <c r="G45" s="34">
        <v>0</v>
      </c>
      <c r="H45" s="34">
        <f>AC48/1000</f>
        <v>3</v>
      </c>
      <c r="I45" s="34">
        <f>(AC51+AC52)/1000</f>
        <v>1.008</v>
      </c>
      <c r="J45" s="34">
        <f>AC53/1000</f>
        <v>10</v>
      </c>
      <c r="K45" s="34">
        <f>(AC49+AC50)/1000</f>
        <v>2.2080000000000002</v>
      </c>
      <c r="L45" s="45">
        <f>E45-D45</f>
        <v>-0.21799999999999642</v>
      </c>
      <c r="M45" s="36">
        <f>IF(D45=0,0,L45/D45)</f>
        <v>-7.0322580645160136E-3</v>
      </c>
      <c r="N45" s="274" t="s">
        <v>78</v>
      </c>
      <c r="O45" s="194"/>
      <c r="P45" s="193"/>
      <c r="Q45" s="193"/>
      <c r="R45" s="193"/>
      <c r="S45" s="193"/>
      <c r="T45" s="193"/>
      <c r="U45" s="193"/>
      <c r="V45" s="193" t="s">
        <v>108</v>
      </c>
      <c r="W45" s="193"/>
      <c r="X45" s="193"/>
      <c r="Y45" s="193"/>
      <c r="Z45" s="193"/>
      <c r="AA45" s="193"/>
      <c r="AB45" s="46"/>
      <c r="AC45" s="46">
        <f>AC46+AC47+AC48+AC49+AC51+AC52+AC50+AC53</f>
        <v>30782</v>
      </c>
      <c r="AD45" s="32" t="s">
        <v>25</v>
      </c>
    </row>
    <row r="46" spans="1:30">
      <c r="A46" s="42"/>
      <c r="B46" s="335"/>
      <c r="C46" s="335" t="s">
        <v>112</v>
      </c>
      <c r="D46" s="44"/>
      <c r="E46" s="44"/>
      <c r="F46" s="44"/>
      <c r="G46" s="44"/>
      <c r="H46" s="44"/>
      <c r="I46" s="44"/>
      <c r="J46" s="44"/>
      <c r="K46" s="44"/>
      <c r="L46" s="45"/>
      <c r="M46" s="31"/>
      <c r="N46" s="70" t="s">
        <v>308</v>
      </c>
      <c r="O46" s="194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46"/>
      <c r="AC46" s="46">
        <v>8000</v>
      </c>
      <c r="AD46" s="32" t="s">
        <v>58</v>
      </c>
    </row>
    <row r="47" spans="1:30">
      <c r="A47" s="42"/>
      <c r="B47" s="335"/>
      <c r="C47" s="335"/>
      <c r="D47" s="44"/>
      <c r="E47" s="44"/>
      <c r="F47" s="44"/>
      <c r="G47" s="44"/>
      <c r="H47" s="44"/>
      <c r="I47" s="44"/>
      <c r="J47" s="44"/>
      <c r="K47" s="44"/>
      <c r="L47" s="45"/>
      <c r="M47" s="31"/>
      <c r="N47" s="70" t="s">
        <v>309</v>
      </c>
      <c r="O47" s="194"/>
      <c r="P47" s="193"/>
      <c r="Q47" s="193"/>
      <c r="R47" s="193"/>
      <c r="S47" s="193"/>
      <c r="T47" s="193"/>
      <c r="U47" s="193"/>
      <c r="V47" s="193"/>
      <c r="W47" s="193"/>
      <c r="X47" s="193"/>
      <c r="Y47" s="193"/>
      <c r="Z47" s="193"/>
      <c r="AA47" s="193"/>
      <c r="AB47" s="46"/>
      <c r="AC47" s="46">
        <v>6566</v>
      </c>
      <c r="AD47" s="32" t="s">
        <v>58</v>
      </c>
    </row>
    <row r="48" spans="1:30">
      <c r="A48" s="42"/>
      <c r="B48" s="335"/>
      <c r="C48" s="335"/>
      <c r="D48" s="44"/>
      <c r="E48" s="44"/>
      <c r="F48" s="44"/>
      <c r="G48" s="44"/>
      <c r="H48" s="44"/>
      <c r="I48" s="44"/>
      <c r="J48" s="44"/>
      <c r="K48" s="44"/>
      <c r="L48" s="45"/>
      <c r="M48" s="31"/>
      <c r="N48" s="70" t="s">
        <v>310</v>
      </c>
      <c r="O48" s="194"/>
      <c r="P48" s="193"/>
      <c r="Q48" s="193"/>
      <c r="R48" s="193"/>
      <c r="S48" s="193"/>
      <c r="T48" s="193"/>
      <c r="U48" s="193"/>
      <c r="V48" s="193"/>
      <c r="W48" s="193"/>
      <c r="X48" s="193"/>
      <c r="Y48" s="193"/>
      <c r="Z48" s="193"/>
      <c r="AA48" s="193"/>
      <c r="AB48" s="46"/>
      <c r="AC48" s="46">
        <v>3000</v>
      </c>
      <c r="AD48" s="32" t="s">
        <v>58</v>
      </c>
    </row>
    <row r="49" spans="1:30">
      <c r="A49" s="42"/>
      <c r="B49" s="335"/>
      <c r="C49" s="335"/>
      <c r="D49" s="44"/>
      <c r="E49" s="44"/>
      <c r="F49" s="44"/>
      <c r="G49" s="44"/>
      <c r="H49" s="44"/>
      <c r="I49" s="44"/>
      <c r="J49" s="44"/>
      <c r="K49" s="44"/>
      <c r="L49" s="45"/>
      <c r="M49" s="31"/>
      <c r="N49" s="70" t="s">
        <v>311</v>
      </c>
      <c r="O49" s="194"/>
      <c r="P49" s="193"/>
      <c r="Q49" s="193"/>
      <c r="R49" s="193"/>
      <c r="S49" s="193"/>
      <c r="T49" s="193"/>
      <c r="U49" s="193"/>
      <c r="V49" s="193"/>
      <c r="W49" s="193"/>
      <c r="X49" s="193"/>
      <c r="Y49" s="193"/>
      <c r="Z49" s="193"/>
      <c r="AA49" s="193"/>
      <c r="AB49" s="46"/>
      <c r="AC49" s="46">
        <v>2000</v>
      </c>
      <c r="AD49" s="32" t="s">
        <v>58</v>
      </c>
    </row>
    <row r="50" spans="1:30">
      <c r="A50" s="42"/>
      <c r="B50" s="335"/>
      <c r="C50" s="335"/>
      <c r="D50" s="44"/>
      <c r="E50" s="44"/>
      <c r="F50" s="44"/>
      <c r="G50" s="44"/>
      <c r="H50" s="44"/>
      <c r="I50" s="44"/>
      <c r="J50" s="44"/>
      <c r="K50" s="44"/>
      <c r="L50" s="45"/>
      <c r="M50" s="31"/>
      <c r="N50" s="70" t="s">
        <v>312</v>
      </c>
      <c r="O50" s="194"/>
      <c r="P50" s="193"/>
      <c r="Q50" s="193"/>
      <c r="R50" s="193"/>
      <c r="S50" s="193"/>
      <c r="T50" s="193"/>
      <c r="U50" s="193"/>
      <c r="V50" s="193"/>
      <c r="W50" s="193"/>
      <c r="X50" s="193"/>
      <c r="Y50" s="193"/>
      <c r="Z50" s="193"/>
      <c r="AA50" s="193"/>
      <c r="AB50" s="46"/>
      <c r="AC50" s="46">
        <v>208</v>
      </c>
      <c r="AD50" s="32" t="s">
        <v>58</v>
      </c>
    </row>
    <row r="51" spans="1:30">
      <c r="A51" s="42"/>
      <c r="B51" s="335"/>
      <c r="C51" s="335"/>
      <c r="D51" s="44"/>
      <c r="E51" s="44"/>
      <c r="F51" s="44"/>
      <c r="G51" s="44"/>
      <c r="H51" s="44"/>
      <c r="I51" s="44"/>
      <c r="J51" s="44"/>
      <c r="K51" s="44"/>
      <c r="L51" s="45"/>
      <c r="M51" s="31"/>
      <c r="N51" s="70" t="s">
        <v>313</v>
      </c>
      <c r="O51" s="194"/>
      <c r="P51" s="193"/>
      <c r="Q51" s="193"/>
      <c r="R51" s="193"/>
      <c r="S51" s="193"/>
      <c r="T51" s="193"/>
      <c r="U51" s="193"/>
      <c r="V51" s="193"/>
      <c r="W51" s="193"/>
      <c r="X51" s="193"/>
      <c r="Y51" s="193"/>
      <c r="Z51" s="193"/>
      <c r="AA51" s="193"/>
      <c r="AB51" s="46"/>
      <c r="AC51" s="46">
        <v>1000</v>
      </c>
      <c r="AD51" s="32" t="s">
        <v>58</v>
      </c>
    </row>
    <row r="52" spans="1:30">
      <c r="A52" s="42"/>
      <c r="B52" s="335"/>
      <c r="C52" s="335"/>
      <c r="D52" s="44"/>
      <c r="E52" s="44"/>
      <c r="F52" s="44"/>
      <c r="G52" s="44"/>
      <c r="H52" s="44"/>
      <c r="I52" s="44"/>
      <c r="J52" s="44"/>
      <c r="K52" s="44"/>
      <c r="L52" s="45"/>
      <c r="M52" s="31"/>
      <c r="N52" s="70" t="s">
        <v>314</v>
      </c>
      <c r="O52" s="194"/>
      <c r="P52" s="193"/>
      <c r="Q52" s="193"/>
      <c r="R52" s="193"/>
      <c r="S52" s="193"/>
      <c r="T52" s="193"/>
      <c r="U52" s="193"/>
      <c r="V52" s="193"/>
      <c r="W52" s="193"/>
      <c r="X52" s="193"/>
      <c r="Y52" s="193"/>
      <c r="Z52" s="193"/>
      <c r="AA52" s="193"/>
      <c r="AB52" s="46"/>
      <c r="AC52" s="46">
        <v>8</v>
      </c>
      <c r="AD52" s="32" t="s">
        <v>58</v>
      </c>
    </row>
    <row r="53" spans="1:30">
      <c r="A53" s="42"/>
      <c r="B53" s="335"/>
      <c r="C53" s="335"/>
      <c r="D53" s="44"/>
      <c r="E53" s="44"/>
      <c r="F53" s="44"/>
      <c r="G53" s="44"/>
      <c r="H53" s="44"/>
      <c r="I53" s="44"/>
      <c r="J53" s="44"/>
      <c r="K53" s="44"/>
      <c r="L53" s="45"/>
      <c r="M53" s="31"/>
      <c r="N53" s="70" t="s">
        <v>320</v>
      </c>
      <c r="O53" s="194"/>
      <c r="P53" s="193"/>
      <c r="Q53" s="193"/>
      <c r="R53" s="193"/>
      <c r="S53" s="193"/>
      <c r="T53" s="193"/>
      <c r="U53" s="193"/>
      <c r="V53" s="193"/>
      <c r="W53" s="193"/>
      <c r="X53" s="193"/>
      <c r="Y53" s="193"/>
      <c r="Z53" s="193"/>
      <c r="AA53" s="193"/>
      <c r="AB53" s="46"/>
      <c r="AC53" s="46">
        <v>10000</v>
      </c>
      <c r="AD53" s="32" t="s">
        <v>58</v>
      </c>
    </row>
    <row r="54" spans="1:30">
      <c r="A54" s="57"/>
      <c r="B54" s="95"/>
      <c r="C54" s="335"/>
      <c r="D54" s="44"/>
      <c r="E54" s="44"/>
      <c r="F54" s="44"/>
      <c r="G54" s="44"/>
      <c r="H54" s="44"/>
      <c r="I54" s="44"/>
      <c r="J54" s="44"/>
      <c r="K54" s="44"/>
      <c r="L54" s="45"/>
      <c r="M54" s="31"/>
      <c r="N54" s="75"/>
      <c r="O54" s="332"/>
      <c r="P54" s="332"/>
      <c r="Q54" s="332"/>
      <c r="R54" s="332"/>
      <c r="S54" s="332"/>
      <c r="T54" s="332"/>
      <c r="U54" s="332"/>
      <c r="V54" s="454"/>
      <c r="W54" s="454"/>
      <c r="X54" s="332"/>
      <c r="Y54" s="332"/>
      <c r="Z54" s="332"/>
      <c r="AA54" s="332"/>
      <c r="AB54" s="332"/>
      <c r="AC54" s="105"/>
      <c r="AD54" s="32"/>
    </row>
    <row r="55" spans="1:30" ht="14.25" thickBot="1">
      <c r="A55" s="42"/>
      <c r="B55" s="335"/>
      <c r="C55" s="334" t="s">
        <v>110</v>
      </c>
      <c r="D55" s="34">
        <v>520</v>
      </c>
      <c r="E55" s="34">
        <f>SUM(F55:K55)</f>
        <v>690</v>
      </c>
      <c r="F55" s="34">
        <v>0</v>
      </c>
      <c r="G55" s="34">
        <v>0</v>
      </c>
      <c r="H55" s="34">
        <f>AC56/1000</f>
        <v>10</v>
      </c>
      <c r="I55" s="34">
        <f>AC57/1000</f>
        <v>10</v>
      </c>
      <c r="J55" s="34">
        <v>670</v>
      </c>
      <c r="K55" s="34">
        <v>0</v>
      </c>
      <c r="L55" s="35">
        <f>E55-D55</f>
        <v>170</v>
      </c>
      <c r="M55" s="36">
        <f>IF(D55=0,0,L55/D55)</f>
        <v>0.32692307692307693</v>
      </c>
      <c r="N55" s="278" t="s">
        <v>32</v>
      </c>
      <c r="O55" s="196"/>
      <c r="P55" s="193"/>
      <c r="Q55" s="193"/>
      <c r="R55" s="193"/>
      <c r="S55" s="193"/>
      <c r="T55" s="193"/>
      <c r="U55" s="193"/>
      <c r="V55" s="279" t="s">
        <v>108</v>
      </c>
      <c r="W55" s="279"/>
      <c r="X55" s="279"/>
      <c r="Y55" s="279"/>
      <c r="Z55" s="279"/>
      <c r="AA55" s="279"/>
      <c r="AB55" s="280"/>
      <c r="AC55" s="280">
        <f>AC56+AC57+AC58+AC59</f>
        <v>690650</v>
      </c>
      <c r="AD55" s="281" t="s">
        <v>25</v>
      </c>
    </row>
    <row r="56" spans="1:30">
      <c r="A56" s="42"/>
      <c r="B56" s="335"/>
      <c r="C56" s="335" t="s">
        <v>16</v>
      </c>
      <c r="D56" s="44"/>
      <c r="E56" s="44"/>
      <c r="F56" s="44"/>
      <c r="G56" s="44"/>
      <c r="H56" s="44"/>
      <c r="I56" s="44"/>
      <c r="J56" s="44"/>
      <c r="K56" s="44"/>
      <c r="L56" s="45"/>
      <c r="M56" s="31"/>
      <c r="N56" s="273" t="s">
        <v>316</v>
      </c>
      <c r="O56" s="194"/>
      <c r="P56" s="193"/>
      <c r="Q56" s="193"/>
      <c r="R56" s="193"/>
      <c r="S56" s="193"/>
      <c r="T56" s="193"/>
      <c r="U56" s="193"/>
      <c r="V56" s="193"/>
      <c r="W56" s="193"/>
      <c r="X56" s="193"/>
      <c r="Y56" s="193"/>
      <c r="Z56" s="193"/>
      <c r="AA56" s="193"/>
      <c r="AB56" s="46"/>
      <c r="AC56" s="46">
        <v>10000</v>
      </c>
      <c r="AD56" s="282" t="s">
        <v>25</v>
      </c>
    </row>
    <row r="57" spans="1:30">
      <c r="A57" s="42"/>
      <c r="B57" s="335"/>
      <c r="C57" s="335"/>
      <c r="D57" s="44"/>
      <c r="E57" s="44"/>
      <c r="F57" s="44"/>
      <c r="G57" s="44"/>
      <c r="H57" s="44"/>
      <c r="I57" s="44"/>
      <c r="J57" s="44"/>
      <c r="K57" s="44"/>
      <c r="L57" s="45"/>
      <c r="M57" s="31"/>
      <c r="N57" s="273" t="s">
        <v>317</v>
      </c>
      <c r="O57" s="194"/>
      <c r="P57" s="193"/>
      <c r="Q57" s="193"/>
      <c r="R57" s="193"/>
      <c r="S57" s="193"/>
      <c r="T57" s="193"/>
      <c r="U57" s="193"/>
      <c r="V57" s="193"/>
      <c r="W57" s="193"/>
      <c r="X57" s="193"/>
      <c r="Y57" s="193"/>
      <c r="Z57" s="193"/>
      <c r="AA57" s="193"/>
      <c r="AB57" s="46"/>
      <c r="AC57" s="46">
        <v>10000</v>
      </c>
      <c r="AD57" s="32" t="s">
        <v>25</v>
      </c>
    </row>
    <row r="58" spans="1:30">
      <c r="A58" s="42"/>
      <c r="B58" s="335"/>
      <c r="C58" s="335"/>
      <c r="D58" s="44"/>
      <c r="E58" s="44"/>
      <c r="F58" s="44"/>
      <c r="G58" s="44"/>
      <c r="H58" s="44"/>
      <c r="I58" s="44"/>
      <c r="J58" s="44"/>
      <c r="K58" s="44"/>
      <c r="L58" s="45"/>
      <c r="M58" s="31"/>
      <c r="N58" s="273" t="s">
        <v>318</v>
      </c>
      <c r="O58" s="194"/>
      <c r="P58" s="193"/>
      <c r="Q58" s="193"/>
      <c r="R58" s="193"/>
      <c r="S58" s="193"/>
      <c r="T58" s="193"/>
      <c r="U58" s="193"/>
      <c r="V58" s="193"/>
      <c r="W58" s="193"/>
      <c r="X58" s="193"/>
      <c r="Y58" s="193"/>
      <c r="Z58" s="193"/>
      <c r="AA58" s="193"/>
      <c r="AB58" s="46"/>
      <c r="AC58" s="46">
        <v>500000</v>
      </c>
      <c r="AD58" s="32" t="s">
        <v>25</v>
      </c>
    </row>
    <row r="59" spans="1:30" ht="14.25" thickBot="1">
      <c r="A59" s="267"/>
      <c r="B59" s="106"/>
      <c r="C59" s="107"/>
      <c r="D59" s="108"/>
      <c r="E59" s="108"/>
      <c r="F59" s="108"/>
      <c r="G59" s="108"/>
      <c r="H59" s="108"/>
      <c r="I59" s="108"/>
      <c r="J59" s="108"/>
      <c r="K59" s="108"/>
      <c r="L59" s="109"/>
      <c r="M59" s="110"/>
      <c r="N59" s="459" t="s">
        <v>385</v>
      </c>
      <c r="O59" s="460"/>
      <c r="P59" s="460"/>
      <c r="Q59" s="68"/>
      <c r="R59" s="68"/>
      <c r="S59" s="68"/>
      <c r="T59" s="67"/>
      <c r="U59" s="68"/>
      <c r="V59" s="67"/>
      <c r="W59" s="67"/>
      <c r="X59" s="68"/>
      <c r="Y59" s="68"/>
      <c r="Z59" s="111"/>
      <c r="AA59" s="111"/>
      <c r="AB59" s="67"/>
      <c r="AC59" s="344">
        <v>170650</v>
      </c>
      <c r="AD59" s="69" t="s">
        <v>382</v>
      </c>
    </row>
  </sheetData>
  <mergeCells count="13">
    <mergeCell ref="A1:C1"/>
    <mergeCell ref="A2:C2"/>
    <mergeCell ref="D2:D3"/>
    <mergeCell ref="E2:K2"/>
    <mergeCell ref="L2:M2"/>
    <mergeCell ref="V54:W54"/>
    <mergeCell ref="N2:AD3"/>
    <mergeCell ref="U9:X9"/>
    <mergeCell ref="A4:C4"/>
    <mergeCell ref="N59:P59"/>
    <mergeCell ref="B10:C10"/>
    <mergeCell ref="C12:C13"/>
    <mergeCell ref="C17:C18"/>
  </mergeCells>
  <phoneticPr fontId="6" type="noConversion"/>
  <pageMargins left="0.31496062992125984" right="0.23622047244094491" top="0.74803149606299213" bottom="1.1200000000000001" header="0.31496062992125984" footer="1.1100000000000001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4</vt:i4>
      </vt:variant>
    </vt:vector>
  </HeadingPairs>
  <TitlesOfParts>
    <vt:vector size="9" baseType="lpstr">
      <vt:lpstr>Sheet1</vt:lpstr>
      <vt:lpstr>세입세출총괄표</vt:lpstr>
      <vt:lpstr>세출(수정)</vt:lpstr>
      <vt:lpstr>증감사유 수정</vt:lpstr>
      <vt:lpstr>세입(수정)</vt:lpstr>
      <vt:lpstr>'세입(수정)'!Print_Area</vt:lpstr>
      <vt:lpstr>'세출(수정)'!Print_Titles</vt:lpstr>
      <vt:lpstr>'세출(수정)'!명절휴가비</vt:lpstr>
      <vt:lpstr>'세출(수정)'!연장근로수당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revision>65</cp:revision>
  <cp:lastPrinted>2014-12-26T06:55:36Z</cp:lastPrinted>
  <dcterms:created xsi:type="dcterms:W3CDTF">2003-12-18T04:11:57Z</dcterms:created>
  <dcterms:modified xsi:type="dcterms:W3CDTF">2014-12-26T08:34:19Z</dcterms:modified>
</cp:coreProperties>
</file>