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-105" windowWidth="12855" windowHeight="9825" tabRatio="487" activeTab="3"/>
  </bookViews>
  <sheets>
    <sheet name="세입세출총괄표" sheetId="16" r:id="rId1"/>
    <sheet name="세입" sheetId="4" r:id="rId2"/>
    <sheet name="세출" sheetId="5" r:id="rId3"/>
    <sheet name="증감사유" sheetId="18" r:id="rId4"/>
  </sheets>
  <definedNames>
    <definedName name="가계보조비" localSheetId="1">세입!#REF!</definedName>
    <definedName name="가계보조수당" localSheetId="1">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>세입!#REF!</definedName>
    <definedName name="급여총액" localSheetId="1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2">세출!#REF!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ㄴ">세입!$AD$12</definedName>
    <definedName name="ㅁㅁ">세입!$AD$12</definedName>
    <definedName name="명절휴가비" localSheetId="1">세입!$AD$12</definedName>
    <definedName name="명절휴가비" localSheetId="2">세출!$AD$13</definedName>
    <definedName name="명절휴가비1" localSheetId="1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>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직원급식비">세입!#REF!</definedName>
    <definedName name="직책보조비" localSheetId="1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>세입!#REF!</definedName>
    <definedName name="특수근무수당1" localSheetId="1">세입!#REF!</definedName>
    <definedName name="특수근무수당1">세입!#REF!</definedName>
    <definedName name="특수근무수당2" localSheetId="1">세입!#REF!</definedName>
    <definedName name="특수근무수당2">세입!#REF!</definedName>
    <definedName name="특수근무수당3" localSheetId="1">세입!#REF!</definedName>
    <definedName name="특수근무수당3">세입!#REF!</definedName>
    <definedName name="프로그램지원금" localSheetId="1">세입!#REF!</definedName>
    <definedName name="_xlnm.Print_Area" localSheetId="1">세입!$A$1:$AD$38</definedName>
    <definedName name="_xlnm.Print_Titles" localSheetId="1">세입!$2:$3</definedName>
    <definedName name="_xlnm.Print_Titles" localSheetId="2">세출!$2:$3</definedName>
  </definedNames>
  <calcPr calcId="125725"/>
</workbook>
</file>

<file path=xl/calcChain.xml><?xml version="1.0" encoding="utf-8"?>
<calcChain xmlns="http://schemas.openxmlformats.org/spreadsheetml/2006/main">
  <c r="K6" i="18"/>
  <c r="L22" i="16"/>
  <c r="F4" i="5"/>
  <c r="AD154"/>
  <c r="H4"/>
  <c r="H51"/>
  <c r="D4" l="1"/>
  <c r="D6"/>
  <c r="D5" s="1"/>
  <c r="E7" i="16"/>
  <c r="F10" l="1"/>
  <c r="F9"/>
  <c r="F8"/>
  <c r="AC4" i="4" l="1"/>
  <c r="AD103" i="5"/>
  <c r="G15" i="4"/>
  <c r="F15"/>
  <c r="G10"/>
  <c r="D16" i="18" l="1"/>
  <c r="D13"/>
  <c r="D11"/>
  <c r="D9"/>
  <c r="D8"/>
  <c r="D7"/>
  <c r="J21"/>
  <c r="K21" s="1"/>
  <c r="K22" i="16"/>
  <c r="G9"/>
  <c r="G10"/>
  <c r="G11"/>
  <c r="G12"/>
  <c r="F13"/>
  <c r="G13" s="1"/>
  <c r="G14"/>
  <c r="F15"/>
  <c r="G15" s="1"/>
  <c r="F16"/>
  <c r="G16" s="1"/>
  <c r="K23" i="4" l="1"/>
  <c r="K159" i="5"/>
  <c r="K158" s="1"/>
  <c r="AD84"/>
  <c r="AD59"/>
  <c r="G84"/>
  <c r="F4" i="4"/>
  <c r="F8"/>
  <c r="G9"/>
  <c r="G8" s="1"/>
  <c r="G23" l="1"/>
  <c r="G154" i="5"/>
  <c r="H84"/>
  <c r="AD41" l="1"/>
  <c r="AC15" i="4"/>
  <c r="AC31"/>
  <c r="AC35" l="1"/>
  <c r="AC10" l="1"/>
  <c r="I15" l="1"/>
  <c r="F31"/>
  <c r="F88" i="5" l="1"/>
  <c r="H88"/>
  <c r="AD151"/>
  <c r="AD148"/>
  <c r="AD146" s="1"/>
  <c r="AD147"/>
  <c r="AD144"/>
  <c r="AD143"/>
  <c r="AD142"/>
  <c r="AD141"/>
  <c r="AD137"/>
  <c r="AD134"/>
  <c r="AD133" s="1"/>
  <c r="AD139" l="1"/>
  <c r="R22"/>
  <c r="R21"/>
  <c r="AD21" s="1"/>
  <c r="AD22"/>
  <c r="R15"/>
  <c r="R14"/>
  <c r="AD9"/>
  <c r="D30" i="4"/>
  <c r="D8"/>
  <c r="D4" s="1"/>
  <c r="D55" i="5"/>
  <c r="D83"/>
  <c r="D82" s="1"/>
  <c r="D96"/>
  <c r="D120"/>
  <c r="D95" l="1"/>
  <c r="AD98"/>
  <c r="AD110"/>
  <c r="I108" s="1"/>
  <c r="F59"/>
  <c r="F154"/>
  <c r="K21" i="16"/>
  <c r="AD153" i="5" l="1"/>
  <c r="J20" i="18"/>
  <c r="H59" i="5"/>
  <c r="AD88" l="1"/>
  <c r="J12" i="18" l="1"/>
  <c r="K13" i="16"/>
  <c r="AD20" i="5"/>
  <c r="H103"/>
  <c r="K9" i="16"/>
  <c r="AD128" i="5"/>
  <c r="AD126"/>
  <c r="AD125"/>
  <c r="AD124"/>
  <c r="I121" l="1"/>
  <c r="AD123"/>
  <c r="H108"/>
  <c r="I83"/>
  <c r="J83"/>
  <c r="J82" s="1"/>
  <c r="K83"/>
  <c r="K82" s="1"/>
  <c r="AD65"/>
  <c r="H31" i="4" l="1"/>
  <c r="K31"/>
  <c r="AC6" l="1"/>
  <c r="AC5" s="1"/>
  <c r="J35"/>
  <c r="K30"/>
  <c r="AC30" l="1"/>
  <c r="E16" i="18"/>
  <c r="I97" i="5"/>
  <c r="J103"/>
  <c r="K103"/>
  <c r="H5" i="4" l="1"/>
  <c r="J153" i="5"/>
  <c r="J96"/>
  <c r="J95" s="1"/>
  <c r="K96"/>
  <c r="J55"/>
  <c r="J44"/>
  <c r="K44"/>
  <c r="J6"/>
  <c r="J120"/>
  <c r="AD117"/>
  <c r="F116" s="1"/>
  <c r="J4" l="1"/>
  <c r="I35" i="4"/>
  <c r="H35"/>
  <c r="K8" i="18"/>
  <c r="F79" i="5"/>
  <c r="H91"/>
  <c r="H83" s="1"/>
  <c r="H82" s="1"/>
  <c r="G30" i="4"/>
  <c r="F30"/>
  <c r="F10"/>
  <c r="H30" l="1"/>
  <c r="E35"/>
  <c r="E15"/>
  <c r="L15" s="1"/>
  <c r="M15" s="1"/>
  <c r="I30"/>
  <c r="J30"/>
  <c r="J4" s="1"/>
  <c r="L35"/>
  <c r="M35" s="1"/>
  <c r="AC9"/>
  <c r="C6" i="18" l="1"/>
  <c r="D6"/>
  <c r="E9"/>
  <c r="E8"/>
  <c r="E10"/>
  <c r="E11"/>
  <c r="E12"/>
  <c r="E13"/>
  <c r="E17"/>
  <c r="E7"/>
  <c r="AD118" i="5"/>
  <c r="K41"/>
  <c r="I41"/>
  <c r="H41"/>
  <c r="E41" l="1"/>
  <c r="H116"/>
  <c r="AD116"/>
  <c r="K12" i="18"/>
  <c r="J18" l="1"/>
  <c r="K19" i="16"/>
  <c r="G91" i="5"/>
  <c r="G83" s="1"/>
  <c r="G82" s="1"/>
  <c r="F91"/>
  <c r="E91" l="1"/>
  <c r="AD74"/>
  <c r="F103"/>
  <c r="AD18"/>
  <c r="I23" i="4"/>
  <c r="AC23"/>
  <c r="K20" i="18"/>
  <c r="K18"/>
  <c r="I6"/>
  <c r="E6"/>
  <c r="G8" i="16"/>
  <c r="F97" i="5"/>
  <c r="I5"/>
  <c r="I96"/>
  <c r="I95" s="1"/>
  <c r="AC20" i="4"/>
  <c r="E88" i="5"/>
  <c r="AD45"/>
  <c r="F45" s="1"/>
  <c r="D9" i="4"/>
  <c r="E31"/>
  <c r="I20" l="1"/>
  <c r="I4" s="1"/>
  <c r="F83" i="5"/>
  <c r="F82" s="1"/>
  <c r="E30" i="4"/>
  <c r="L30" s="1"/>
  <c r="E83" i="5"/>
  <c r="E82" s="1"/>
  <c r="L24" i="16"/>
  <c r="L23"/>
  <c r="L21"/>
  <c r="L19"/>
  <c r="L13"/>
  <c r="L9"/>
  <c r="E20" i="4" l="1"/>
  <c r="L20" s="1"/>
  <c r="M20" s="1"/>
  <c r="G7" i="16"/>
  <c r="F7"/>
  <c r="H112" i="5"/>
  <c r="AD66"/>
  <c r="AD64" s="1"/>
  <c r="I120"/>
  <c r="I4" s="1"/>
  <c r="E103"/>
  <c r="AD52"/>
  <c r="O15"/>
  <c r="O14"/>
  <c r="AD15"/>
  <c r="AD51" l="1"/>
  <c r="H44"/>
  <c r="F51"/>
  <c r="AD17"/>
  <c r="L41"/>
  <c r="L103"/>
  <c r="E116"/>
  <c r="AD99"/>
  <c r="H23" i="4"/>
  <c r="G96" i="5"/>
  <c r="G55"/>
  <c r="K55"/>
  <c r="G44"/>
  <c r="H6"/>
  <c r="AD131"/>
  <c r="AD109"/>
  <c r="AD79"/>
  <c r="AD77"/>
  <c r="AD71"/>
  <c r="AD72"/>
  <c r="AD73"/>
  <c r="AD70"/>
  <c r="AD69"/>
  <c r="AD56"/>
  <c r="AD68" l="1"/>
  <c r="E51"/>
  <c r="L51" s="1"/>
  <c r="H97"/>
  <c r="AD97"/>
  <c r="J14" i="18" s="1"/>
  <c r="F108" i="5"/>
  <c r="AD108"/>
  <c r="AD130"/>
  <c r="E97"/>
  <c r="F68"/>
  <c r="H68" s="1"/>
  <c r="H55" s="1"/>
  <c r="H5" s="1"/>
  <c r="F64"/>
  <c r="F44"/>
  <c r="AD27"/>
  <c r="AD26" s="1"/>
  <c r="G12" s="1"/>
  <c r="G6" s="1"/>
  <c r="K30"/>
  <c r="AD14"/>
  <c r="AD8"/>
  <c r="AD7" s="1"/>
  <c r="H121" l="1"/>
  <c r="AD121"/>
  <c r="J16" i="18"/>
  <c r="K16" s="1"/>
  <c r="K17" i="16"/>
  <c r="L17" s="1"/>
  <c r="E121" i="5"/>
  <c r="E120" s="1"/>
  <c r="K15" i="16"/>
  <c r="K14" i="18"/>
  <c r="L15" i="16"/>
  <c r="F55" i="5"/>
  <c r="H96"/>
  <c r="H120"/>
  <c r="G5"/>
  <c r="AD13"/>
  <c r="AD12" s="1"/>
  <c r="R31" l="1"/>
  <c r="F12"/>
  <c r="F7"/>
  <c r="E7" s="1"/>
  <c r="F23" i="4"/>
  <c r="R34" i="5" l="1"/>
  <c r="R35"/>
  <c r="R38"/>
  <c r="R37"/>
  <c r="R36"/>
  <c r="AD30"/>
  <c r="E23" i="4"/>
  <c r="L23" s="1"/>
  <c r="M23" s="1"/>
  <c r="H9"/>
  <c r="H8" s="1"/>
  <c r="H4" s="1"/>
  <c r="K9"/>
  <c r="K8" s="1"/>
  <c r="K4" s="1"/>
  <c r="H153" i="5"/>
  <c r="K153"/>
  <c r="G153"/>
  <c r="F153"/>
  <c r="D153"/>
  <c r="G120"/>
  <c r="G95" s="1"/>
  <c r="G4" s="1"/>
  <c r="K120"/>
  <c r="K95" s="1"/>
  <c r="M84"/>
  <c r="AD76"/>
  <c r="F30" l="1"/>
  <c r="AD33"/>
  <c r="AD6" s="1"/>
  <c r="J7" i="18" s="1"/>
  <c r="L84" i="5"/>
  <c r="K12" i="16"/>
  <c r="L12" s="1"/>
  <c r="K16"/>
  <c r="J15" i="18"/>
  <c r="K15" s="1"/>
  <c r="L16" i="16"/>
  <c r="E10" i="4"/>
  <c r="E9" s="1"/>
  <c r="E8" s="1"/>
  <c r="AD91" i="5"/>
  <c r="AD83" s="1"/>
  <c r="E64"/>
  <c r="AD82" l="1"/>
  <c r="J11" i="18"/>
  <c r="K11" s="1"/>
  <c r="G4" i="4"/>
  <c r="E4" s="1"/>
  <c r="J13" i="18"/>
  <c r="K13" s="1"/>
  <c r="K14" i="16"/>
  <c r="L14" s="1"/>
  <c r="AC8" i="4"/>
  <c r="F120" i="5" l="1"/>
  <c r="E108"/>
  <c r="L121" l="1"/>
  <c r="M121" s="1"/>
  <c r="H95"/>
  <c r="L31" i="4"/>
  <c r="M31" s="1"/>
  <c r="E5" l="1"/>
  <c r="L7" i="5"/>
  <c r="L5" i="4" l="1"/>
  <c r="M5" s="1"/>
  <c r="K12" i="5"/>
  <c r="E12" l="1"/>
  <c r="K6"/>
  <c r="K5" s="1"/>
  <c r="K4" s="1"/>
  <c r="E30" l="1"/>
  <c r="AD113"/>
  <c r="AD112" s="1"/>
  <c r="AD96" s="1"/>
  <c r="K7" i="18" l="1"/>
  <c r="K8" i="16"/>
  <c r="L8" s="1"/>
  <c r="F112" i="5"/>
  <c r="E112" s="1"/>
  <c r="AD44"/>
  <c r="J9" i="18" s="1"/>
  <c r="K9" s="1"/>
  <c r="M7" i="5"/>
  <c r="E45"/>
  <c r="E56"/>
  <c r="M103"/>
  <c r="E154"/>
  <c r="M51"/>
  <c r="K10" i="16" l="1"/>
  <c r="L10" s="1"/>
  <c r="J17" i="18"/>
  <c r="K17" s="1"/>
  <c r="K18" i="16"/>
  <c r="L18" s="1"/>
  <c r="E68" i="5"/>
  <c r="L68" s="1"/>
  <c r="M68" s="1"/>
  <c r="AD55"/>
  <c r="L112"/>
  <c r="M112" s="1"/>
  <c r="L30"/>
  <c r="M30" s="1"/>
  <c r="L56"/>
  <c r="M56" s="1"/>
  <c r="L108"/>
  <c r="M108" s="1"/>
  <c r="L91"/>
  <c r="M91" s="1"/>
  <c r="E79"/>
  <c r="L79" s="1"/>
  <c r="M79" s="1"/>
  <c r="E76"/>
  <c r="L76" s="1"/>
  <c r="M76" s="1"/>
  <c r="L45"/>
  <c r="M45" s="1"/>
  <c r="L116"/>
  <c r="M116" s="1"/>
  <c r="L154"/>
  <c r="M154" s="1"/>
  <c r="E153"/>
  <c r="L153" s="1"/>
  <c r="M153" s="1"/>
  <c r="L120"/>
  <c r="M120" s="1"/>
  <c r="E49"/>
  <c r="L49" s="1"/>
  <c r="M49" s="1"/>
  <c r="AD5" l="1"/>
  <c r="J10" i="18"/>
  <c r="K11" i="16"/>
  <c r="E44" i="5"/>
  <c r="L44" s="1"/>
  <c r="M44" s="1"/>
  <c r="L64"/>
  <c r="M64" s="1"/>
  <c r="L82"/>
  <c r="M82" s="1"/>
  <c r="L12"/>
  <c r="M12" s="1"/>
  <c r="E59"/>
  <c r="E55" s="1"/>
  <c r="K10" i="18" l="1"/>
  <c r="L11" i="16"/>
  <c r="L59" i="5"/>
  <c r="M59" s="1"/>
  <c r="L55"/>
  <c r="M55" s="1"/>
  <c r="M30" i="4"/>
  <c r="F9" l="1"/>
  <c r="L4" s="1"/>
  <c r="M4" s="1"/>
  <c r="L10" l="1"/>
  <c r="M10" s="1"/>
  <c r="L9"/>
  <c r="M9" s="1"/>
  <c r="L8" l="1"/>
  <c r="M8" s="1"/>
  <c r="L83" i="5"/>
  <c r="M83" s="1"/>
  <c r="L88"/>
  <c r="M88" s="1"/>
  <c r="L97" l="1"/>
  <c r="M97" s="1"/>
  <c r="E96"/>
  <c r="E95" s="1"/>
  <c r="F96"/>
  <c r="F95" s="1"/>
  <c r="L96" l="1"/>
  <c r="M96" l="1"/>
  <c r="L95"/>
  <c r="M95" s="1"/>
  <c r="F33"/>
  <c r="F6" s="1"/>
  <c r="F5" l="1"/>
  <c r="E4" s="1"/>
  <c r="E33"/>
  <c r="E6" s="1"/>
  <c r="L4" l="1"/>
  <c r="M4" s="1"/>
  <c r="L33"/>
  <c r="M33" s="1"/>
  <c r="L6" l="1"/>
  <c r="M6" s="1"/>
  <c r="E5"/>
  <c r="L5" s="1"/>
  <c r="M5" s="1"/>
  <c r="AD120" l="1"/>
  <c r="AD95" s="1"/>
  <c r="AD4" s="1"/>
  <c r="J19" i="18"/>
  <c r="J6" s="1"/>
  <c r="K20" i="16"/>
  <c r="L20" s="1"/>
  <c r="L7" l="1"/>
  <c r="K7"/>
  <c r="K19" i="18"/>
</calcChain>
</file>

<file path=xl/sharedStrings.xml><?xml version="1.0" encoding="utf-8"?>
<sst xmlns="http://schemas.openxmlformats.org/spreadsheetml/2006/main" count="809" uniqueCount="424">
  <si>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</si>
  <si>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</si>
  <si>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</si>
  <si>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</si>
  <si>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</si>
  <si>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</si>
  <si>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</si>
  <si>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</si>
  <si>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</si>
  <si>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</si>
  <si>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</si>
  <si>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</si>
  <si>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</si>
  <si>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</si>
  <si>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</si>
  <si>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</si>
  <si>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</si>
  <si>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</si>
  <si>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</si>
  <si>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</si>
  <si>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</si>
  <si>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</si>
  <si>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</si>
  <si>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</si>
  <si>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</si>
  <si>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</si>
  <si>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</si>
  <si>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</si>
  <si>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</si>
  <si>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</si>
  <si>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기타잡수입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</si>
  <si>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</si>
  <si>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</si>
  <si>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</si>
  <si>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</si>
  <si>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</si>
  <si>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</si>
  <si>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</si>
  <si>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</si>
  <si>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</si>
  <si>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</si>
  <si>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</si>
  <si>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</si>
  <si>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</si>
  <si>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</si>
  <si>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</si>
  <si>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</si>
  <si>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</si>
  <si>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</si>
  <si>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</si>
  <si>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</si>
  <si>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</si>
  <si>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</si>
  <si>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</si>
  <si>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</si>
  <si>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</si>
  <si>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</si>
  <si>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</si>
  <si>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</si>
  <si>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</si>
  <si>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</si>
  <si>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</si>
  <si>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</si>
  <si>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</si>
  <si>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</si>
  <si>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&lt;보조금수입 합계&gt;</t>
    <phoneticPr fontId="6" type="noConversion"/>
  </si>
  <si>
    <t>원</t>
    <phoneticPr fontId="6" type="noConversion"/>
  </si>
  <si>
    <t>계</t>
    <phoneticPr fontId="6" type="noConversion"/>
  </si>
  <si>
    <t>총  계 :</t>
    <phoneticPr fontId="6" type="noConversion"/>
  </si>
  <si>
    <t>보조금</t>
    <phoneticPr fontId="6" type="noConversion"/>
  </si>
  <si>
    <t>총  계 :</t>
    <phoneticPr fontId="6" type="noConversion"/>
  </si>
  <si>
    <t>합    계 :</t>
    <phoneticPr fontId="6" type="noConversion"/>
  </si>
  <si>
    <t>÷</t>
    <phoneticPr fontId="6" type="noConversion"/>
  </si>
  <si>
    <t>=</t>
    <phoneticPr fontId="6" type="noConversion"/>
  </si>
  <si>
    <t>회</t>
    <phoneticPr fontId="6" type="noConversion"/>
  </si>
  <si>
    <t>전년도</t>
    <phoneticPr fontId="6" type="noConversion"/>
  </si>
  <si>
    <t>잡수입</t>
    <phoneticPr fontId="6" type="noConversion"/>
  </si>
  <si>
    <t>소계</t>
    <phoneticPr fontId="6" type="noConversion"/>
  </si>
  <si>
    <t>&lt;잡수입 합계&gt;</t>
    <phoneticPr fontId="6" type="noConversion"/>
  </si>
  <si>
    <t>※ 예금이자수입</t>
    <phoneticPr fontId="6" type="noConversion"/>
  </si>
  <si>
    <t>※기본급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</si>
  <si>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</si>
  <si>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</si>
  <si>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</si>
  <si>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</si>
  <si>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</si>
  <si>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</si>
  <si>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</si>
  <si>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</si>
  <si>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</si>
  <si>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월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</si>
  <si>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</si>
  <si>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</si>
  <si>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</si>
  <si>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</si>
  <si>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</si>
  <si>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</si>
  <si>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</si>
  <si>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</si>
  <si>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</si>
  <si>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</si>
  <si>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</si>
  <si>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</si>
  <si>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</si>
  <si>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</si>
  <si>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</si>
  <si>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입소</t>
    <phoneticPr fontId="6" type="noConversion"/>
  </si>
  <si>
    <t>2.주부식비(보충액)</t>
    <phoneticPr fontId="6" type="noConversion"/>
  </si>
  <si>
    <t>원</t>
    <phoneticPr fontId="6" type="noConversion"/>
  </si>
  <si>
    <t>입소자
부담금</t>
    <phoneticPr fontId="6" type="noConversion"/>
  </si>
  <si>
    <t>비  용</t>
  </si>
  <si>
    <t>법인
전입금</t>
    <phoneticPr fontId="6" type="noConversion"/>
  </si>
  <si>
    <t xml:space="preserve">총  계 : </t>
    <phoneticPr fontId="6" type="noConversion"/>
  </si>
  <si>
    <t>합계:</t>
    <phoneticPr fontId="6" type="noConversion"/>
  </si>
  <si>
    <t>기타</t>
    <phoneticPr fontId="6" type="noConversion"/>
  </si>
  <si>
    <t>예금</t>
    <phoneticPr fontId="6" type="noConversion"/>
  </si>
  <si>
    <t>이자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</si>
  <si>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</si>
  <si>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</si>
  <si>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</si>
  <si>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</si>
  <si>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업   무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</si>
  <si>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</si>
  <si>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</si>
  <si>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</si>
  <si>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</si>
  <si>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</si>
  <si>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</si>
  <si>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</si>
  <si>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</si>
  <si>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</si>
  <si>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</si>
  <si>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운영비</t>
    <phoneticPr fontId="6" type="noConversion"/>
  </si>
  <si>
    <t xml:space="preserve"> * 교육 및 출장여비</t>
    <phoneticPr fontId="6" type="noConversion"/>
  </si>
  <si>
    <t>명</t>
  </si>
  <si>
    <t>회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</si>
  <si>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</si>
  <si>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</si>
  <si>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</si>
  <si>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</si>
  <si>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</si>
  <si>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</si>
  <si>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※ 보조금 반환금(수원시)</t>
    <phoneticPr fontId="6" type="noConversion"/>
  </si>
  <si>
    <t>유지비</t>
    <phoneticPr fontId="6" type="noConversion"/>
  </si>
  <si>
    <t>보조금</t>
    <phoneticPr fontId="6" type="noConversion"/>
  </si>
  <si>
    <t>원</t>
    <phoneticPr fontId="6" type="noConversion"/>
  </si>
  <si>
    <t>원</t>
    <phoneticPr fontId="6" type="noConversion"/>
  </si>
  <si>
    <t>×</t>
    <phoneticPr fontId="6" type="noConversion"/>
  </si>
  <si>
    <t>보조금
(7종)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</si>
  <si>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</si>
  <si>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</si>
  <si>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</si>
  <si>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</si>
  <si>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*사회재활교사</t>
    <phoneticPr fontId="6" type="noConversion"/>
  </si>
  <si>
    <t>월</t>
    <phoneticPr fontId="6" type="noConversion"/>
  </si>
  <si>
    <t>1.명절휴가비(보조금)</t>
    <phoneticPr fontId="6" type="noConversion"/>
  </si>
  <si>
    <t>* 회의관련 다과비등</t>
    <phoneticPr fontId="6" type="noConversion"/>
  </si>
  <si>
    <t>회</t>
    <phoneticPr fontId="6" type="noConversion"/>
  </si>
  <si>
    <t>소계:</t>
    <phoneticPr fontId="6" type="noConversion"/>
  </si>
  <si>
    <t>월</t>
    <phoneticPr fontId="6" type="noConversion"/>
  </si>
  <si>
    <t>원</t>
    <phoneticPr fontId="6" type="noConversion"/>
  </si>
  <si>
    <t>1. 화재보험료</t>
    <phoneticPr fontId="6" type="noConversion"/>
  </si>
  <si>
    <t>2. 상해보험료</t>
    <phoneticPr fontId="6" type="noConversion"/>
  </si>
  <si>
    <t>3. 소방안전점검</t>
    <phoneticPr fontId="6" type="noConversion"/>
  </si>
  <si>
    <t>4. 전기안전점검</t>
    <phoneticPr fontId="6" type="noConversion"/>
  </si>
  <si>
    <t>5. 가스안전점검</t>
    <phoneticPr fontId="6" type="noConversion"/>
  </si>
  <si>
    <t>* 차량유류대</t>
    <phoneticPr fontId="6" type="noConversion"/>
  </si>
  <si>
    <t>* 직원 외부교육비</t>
    <phoneticPr fontId="6" type="noConversion"/>
  </si>
  <si>
    <t>1.주부식비</t>
    <phoneticPr fontId="6" type="noConversion"/>
  </si>
  <si>
    <t>* 일상생활용품</t>
    <phoneticPr fontId="6" type="noConversion"/>
  </si>
  <si>
    <t>* 피복비</t>
    <phoneticPr fontId="6" type="noConversion"/>
  </si>
  <si>
    <t>명</t>
    <phoneticPr fontId="6" type="noConversion"/>
  </si>
  <si>
    <t>=</t>
    <phoneticPr fontId="6" type="noConversion"/>
  </si>
  <si>
    <t>* 입소자 건강진단비</t>
    <phoneticPr fontId="6" type="noConversion"/>
  </si>
  <si>
    <t>* 외래진료 및 의약품비 등</t>
    <phoneticPr fontId="6" type="noConversion"/>
  </si>
  <si>
    <t>* 취사용 연료비</t>
    <phoneticPr fontId="6" type="noConversion"/>
  </si>
  <si>
    <t>1.보조금 예금이자 이월금</t>
    <phoneticPr fontId="6" type="noConversion"/>
  </si>
  <si>
    <t>3. 김장비용</t>
    <phoneticPr fontId="6" type="noConversion"/>
  </si>
  <si>
    <t>원</t>
    <phoneticPr fontId="6" type="noConversion"/>
  </si>
  <si>
    <t>원</t>
    <phoneticPr fontId="6" type="noConversion"/>
  </si>
  <si>
    <t>세입총계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</si>
  <si>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</si>
  <si>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</si>
  <si>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</si>
  <si>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※ 기타후생경비</t>
    <phoneticPr fontId="6" type="noConversion"/>
  </si>
  <si>
    <t>기타        후생경비</t>
    <phoneticPr fontId="6" type="noConversion"/>
  </si>
  <si>
    <t>2. 가족수당(보조금)</t>
    <phoneticPr fontId="6" type="noConversion"/>
  </si>
  <si>
    <t>* 설 명절 휴가비</t>
    <phoneticPr fontId="6" type="noConversion"/>
  </si>
  <si>
    <t>* 추석 명절휴가비</t>
    <phoneticPr fontId="6" type="noConversion"/>
  </si>
  <si>
    <t>원</t>
    <phoneticPr fontId="6" type="noConversion"/>
  </si>
  <si>
    <t>월</t>
    <phoneticPr fontId="6" type="noConversion"/>
  </si>
  <si>
    <t>원</t>
    <phoneticPr fontId="6" type="noConversion"/>
  </si>
  <si>
    <t>* 퇴직적립금(보조금)</t>
    <phoneticPr fontId="6" type="noConversion"/>
  </si>
  <si>
    <t>□ 세 입 · 세 출 총  괄  표</t>
    <phoneticPr fontId="27" type="noConversion"/>
  </si>
  <si>
    <t>(단위:원)</t>
    <phoneticPr fontId="27" type="noConversion"/>
  </si>
  <si>
    <t>세       입</t>
    <phoneticPr fontId="27" type="noConversion"/>
  </si>
  <si>
    <t>세       출</t>
    <phoneticPr fontId="27" type="noConversion"/>
  </si>
  <si>
    <t>구        분</t>
    <phoneticPr fontId="27" type="noConversion"/>
  </si>
  <si>
    <t>증감</t>
    <phoneticPr fontId="27" type="noConversion"/>
  </si>
  <si>
    <t>합        계</t>
    <phoneticPr fontId="27" type="noConversion"/>
  </si>
  <si>
    <t>입소비용수입</t>
    <phoneticPr fontId="27" type="noConversion"/>
  </si>
  <si>
    <t>입소비용   수입</t>
    <phoneticPr fontId="27" type="noConversion"/>
  </si>
  <si>
    <t>사무비</t>
    <phoneticPr fontId="6" type="noConversion"/>
  </si>
  <si>
    <t>인      건      비</t>
    <phoneticPr fontId="27" type="noConversion"/>
  </si>
  <si>
    <t>보조금  수입</t>
    <phoneticPr fontId="27" type="noConversion"/>
  </si>
  <si>
    <t>기타후생경비</t>
    <phoneticPr fontId="6" type="noConversion"/>
  </si>
  <si>
    <t>업 무   추 진 비</t>
    <phoneticPr fontId="27" type="noConversion"/>
  </si>
  <si>
    <t>기타보조금수입</t>
    <phoneticPr fontId="27" type="noConversion"/>
  </si>
  <si>
    <t>운      영      비</t>
    <phoneticPr fontId="27" type="noConversion"/>
  </si>
  <si>
    <t>후원금  수입</t>
    <phoneticPr fontId="27" type="noConversion"/>
  </si>
  <si>
    <t>지정      후원금</t>
    <phoneticPr fontId="27" type="noConversion"/>
  </si>
  <si>
    <t>재산조성비</t>
    <phoneticPr fontId="27" type="noConversion"/>
  </si>
  <si>
    <t>시      설      비</t>
    <phoneticPr fontId="27" type="noConversion"/>
  </si>
  <si>
    <t>비지정   후원금</t>
    <phoneticPr fontId="27" type="noConversion"/>
  </si>
  <si>
    <t>자 산   취 득 비</t>
    <phoneticPr fontId="27" type="noConversion"/>
  </si>
  <si>
    <t>전    입    금</t>
    <phoneticPr fontId="27" type="noConversion"/>
  </si>
  <si>
    <t>법인      전입금</t>
    <phoneticPr fontId="27" type="noConversion"/>
  </si>
  <si>
    <t>시설장비유지비</t>
    <phoneticPr fontId="27" type="noConversion"/>
  </si>
  <si>
    <t>이    월    금</t>
    <phoneticPr fontId="27" type="noConversion"/>
  </si>
  <si>
    <t>전년도   이월금</t>
    <phoneticPr fontId="27" type="noConversion"/>
  </si>
  <si>
    <t>사   업   비</t>
    <phoneticPr fontId="27" type="noConversion"/>
  </si>
  <si>
    <t>생      계      비</t>
    <phoneticPr fontId="27" type="noConversion"/>
  </si>
  <si>
    <t>잡    수    입</t>
    <phoneticPr fontId="27" type="noConversion"/>
  </si>
  <si>
    <t>잡      수      입</t>
    <phoneticPr fontId="27" type="noConversion"/>
  </si>
  <si>
    <t>수용기관   경비</t>
    <phoneticPr fontId="27" type="noConversion"/>
  </si>
  <si>
    <t>피      복      비</t>
    <phoneticPr fontId="27" type="noConversion"/>
  </si>
  <si>
    <t>의      료      비</t>
    <phoneticPr fontId="27" type="noConversion"/>
  </si>
  <si>
    <t>연      료      비</t>
    <phoneticPr fontId="27" type="noConversion"/>
  </si>
  <si>
    <t>프로그램사업비</t>
    <phoneticPr fontId="27" type="noConversion"/>
  </si>
  <si>
    <t>보조금반환</t>
    <phoneticPr fontId="27" type="noConversion"/>
  </si>
  <si>
    <t>보조금   반납금</t>
    <phoneticPr fontId="27" type="noConversion"/>
  </si>
  <si>
    <t>잡   지   출</t>
    <phoneticPr fontId="27" type="noConversion"/>
  </si>
  <si>
    <t>잡      지      출</t>
    <phoneticPr fontId="27" type="noConversion"/>
  </si>
  <si>
    <t>예   비   비</t>
    <phoneticPr fontId="27" type="noConversion"/>
  </si>
  <si>
    <t>예      비      비</t>
    <phoneticPr fontId="27" type="noConversion"/>
  </si>
  <si>
    <t>* 종사자교육비용</t>
    <phoneticPr fontId="6" type="noConversion"/>
  </si>
  <si>
    <t>원</t>
    <phoneticPr fontId="6" type="noConversion"/>
  </si>
  <si>
    <t>※ 후원금</t>
    <phoneticPr fontId="6" type="noConversion"/>
  </si>
  <si>
    <t>※ 전년도 이월금</t>
    <phoneticPr fontId="6" type="noConversion"/>
  </si>
  <si>
    <t>* 비지정 후원금</t>
    <phoneticPr fontId="6" type="noConversion"/>
  </si>
  <si>
    <t>후원금</t>
    <phoneticPr fontId="6" type="noConversion"/>
  </si>
  <si>
    <t>비지정</t>
    <phoneticPr fontId="6" type="noConversion"/>
  </si>
  <si>
    <t>재산        조성비</t>
    <phoneticPr fontId="27" type="noConversion"/>
  </si>
  <si>
    <t>사 무 비</t>
    <phoneticPr fontId="27" type="noConversion"/>
  </si>
  <si>
    <t>사 업 비</t>
    <phoneticPr fontId="27" type="noConversion"/>
  </si>
  <si>
    <t>인 건 비</t>
    <phoneticPr fontId="27" type="noConversion"/>
  </si>
  <si>
    <t>업 무              추 진 비</t>
    <phoneticPr fontId="27" type="noConversion"/>
  </si>
  <si>
    <t>운 영 비</t>
    <phoneticPr fontId="27" type="noConversion"/>
  </si>
  <si>
    <t>시 설 비</t>
    <phoneticPr fontId="27" type="noConversion"/>
  </si>
  <si>
    <t>시설장비         유지비</t>
    <phoneticPr fontId="27" type="noConversion"/>
  </si>
  <si>
    <t>자 산              취 득 비</t>
    <phoneticPr fontId="27" type="noConversion"/>
  </si>
  <si>
    <t>생 계 비</t>
    <phoneticPr fontId="27" type="noConversion"/>
  </si>
  <si>
    <t>수용기관         경비</t>
    <phoneticPr fontId="27" type="noConversion"/>
  </si>
  <si>
    <t>피 복 비</t>
    <phoneticPr fontId="27" type="noConversion"/>
  </si>
  <si>
    <t>의 료 비</t>
    <phoneticPr fontId="27" type="noConversion"/>
  </si>
  <si>
    <t>연 료 비</t>
    <phoneticPr fontId="27" type="noConversion"/>
  </si>
  <si>
    <t>프로그램         사업비</t>
    <phoneticPr fontId="27" type="noConversion"/>
  </si>
  <si>
    <t>보조금            반납금</t>
    <phoneticPr fontId="27" type="noConversion"/>
  </si>
  <si>
    <t>입소비용     수입</t>
    <phoneticPr fontId="27" type="noConversion"/>
  </si>
  <si>
    <t>전 입 금</t>
    <phoneticPr fontId="27" type="noConversion"/>
  </si>
  <si>
    <t>이 월 금</t>
    <phoneticPr fontId="27" type="noConversion"/>
  </si>
  <si>
    <t>잡 수 입</t>
    <phoneticPr fontId="27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</si>
  <si>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6" type="noConversion"/>
  </si>
  <si>
    <t>6. 신용보증보험</t>
    <phoneticPr fontId="6" type="noConversion"/>
  </si>
  <si>
    <t>* 환경개선사업비(7종)시군구</t>
    <phoneticPr fontId="6" type="noConversion"/>
  </si>
  <si>
    <t>* 환경개선사업비(7종)시도</t>
    <phoneticPr fontId="6" type="noConversion"/>
  </si>
  <si>
    <t>* 종사자근무수당(시군구)</t>
    <phoneticPr fontId="6" type="noConversion"/>
  </si>
  <si>
    <t>* 종사자근무수당(시도)</t>
    <phoneticPr fontId="6" type="noConversion"/>
  </si>
  <si>
    <t>이월금</t>
    <phoneticPr fontId="6" type="noConversion"/>
  </si>
  <si>
    <t>2. 아파트관리비(보조)</t>
    <phoneticPr fontId="6" type="noConversion"/>
  </si>
  <si>
    <t>입소</t>
    <phoneticPr fontId="6" type="noConversion"/>
  </si>
  <si>
    <t>보조</t>
    <phoneticPr fontId="6" type="noConversion"/>
  </si>
  <si>
    <t>* 가족수당</t>
    <phoneticPr fontId="6" type="noConversion"/>
  </si>
  <si>
    <t>시도보조금</t>
    <phoneticPr fontId="27" type="noConversion"/>
  </si>
  <si>
    <t>시군구보조금</t>
    <phoneticPr fontId="27" type="noConversion"/>
  </si>
  <si>
    <t>구        분</t>
    <phoneticPr fontId="27" type="noConversion"/>
  </si>
  <si>
    <t>증감</t>
    <phoneticPr fontId="6" type="noConversion"/>
  </si>
  <si>
    <t>증감사유</t>
    <phoneticPr fontId="27" type="noConversion"/>
  </si>
  <si>
    <t>증감</t>
    <phoneticPr fontId="27" type="noConversion"/>
  </si>
  <si>
    <t>비지정후원금</t>
    <phoneticPr fontId="27" type="noConversion"/>
  </si>
  <si>
    <t>지정후원금</t>
    <phoneticPr fontId="27" type="noConversion"/>
  </si>
  <si>
    <t>법인전입금</t>
    <phoneticPr fontId="27" type="noConversion"/>
  </si>
  <si>
    <t>전년도이월금</t>
    <phoneticPr fontId="27" type="noConversion"/>
  </si>
  <si>
    <t>시도보조금</t>
    <phoneticPr fontId="6" type="noConversion"/>
  </si>
  <si>
    <t>※ 2014년 시도보조금</t>
    <phoneticPr fontId="6" type="noConversion"/>
  </si>
  <si>
    <t>시군구보조금</t>
    <phoneticPr fontId="6" type="noConversion"/>
  </si>
  <si>
    <t>※ 2014년 시군구보조금</t>
    <phoneticPr fontId="6" type="noConversion"/>
  </si>
  <si>
    <t>원</t>
    <phoneticPr fontId="6" type="noConversion"/>
  </si>
  <si>
    <t>보조금      운영비</t>
    <phoneticPr fontId="6" type="noConversion"/>
  </si>
  <si>
    <t>※ 입소자부담금수입</t>
    <phoneticPr fontId="6" type="noConversion"/>
  </si>
  <si>
    <t>* 입소자부담금수입</t>
    <phoneticPr fontId="6" type="noConversion"/>
  </si>
  <si>
    <t>보조금        수입</t>
    <phoneticPr fontId="27" type="noConversion"/>
  </si>
  <si>
    <t>후원금        수입</t>
    <phoneticPr fontId="27" type="noConversion"/>
  </si>
  <si>
    <t>원</t>
    <phoneticPr fontId="6" type="noConversion"/>
  </si>
  <si>
    <t>* 2014년 시도보조금</t>
    <phoneticPr fontId="6" type="noConversion"/>
  </si>
  <si>
    <t>* 2014년 시군구보조금</t>
    <phoneticPr fontId="6" type="noConversion"/>
  </si>
  <si>
    <t>원</t>
    <phoneticPr fontId="6" type="noConversion"/>
  </si>
  <si>
    <t>* 입소비용(체크카드환급금)</t>
    <phoneticPr fontId="6" type="noConversion"/>
  </si>
  <si>
    <t>잡수입</t>
    <phoneticPr fontId="6" type="noConversion"/>
  </si>
  <si>
    <t>이자수입</t>
    <phoneticPr fontId="27" type="noConversion"/>
  </si>
  <si>
    <t>기타잡수입</t>
    <phoneticPr fontId="27" type="noConversion"/>
  </si>
  <si>
    <t>수용           기관경비감액</t>
    <phoneticPr fontId="6" type="noConversion"/>
  </si>
  <si>
    <t>원</t>
    <phoneticPr fontId="6" type="noConversion"/>
  </si>
  <si>
    <t>×</t>
    <phoneticPr fontId="6" type="noConversion"/>
  </si>
  <si>
    <t>회</t>
    <phoneticPr fontId="6" type="noConversion"/>
  </si>
  <si>
    <t>명</t>
    <phoneticPr fontId="6" type="noConversion"/>
  </si>
  <si>
    <t>=</t>
    <phoneticPr fontId="6" type="noConversion"/>
  </si>
  <si>
    <t>입소</t>
    <phoneticPr fontId="6" type="noConversion"/>
  </si>
  <si>
    <t>종사자변경에 따른 호봉 반영 및 4대보험 부담금 감소</t>
    <phoneticPr fontId="6" type="noConversion"/>
  </si>
  <si>
    <t>공공요금   감액</t>
    <phoneticPr fontId="6" type="noConversion"/>
  </si>
  <si>
    <t>의료비 감액</t>
    <phoneticPr fontId="6" type="noConversion"/>
  </si>
  <si>
    <t>종사자건강검진비</t>
    <phoneticPr fontId="6" type="noConversion"/>
  </si>
  <si>
    <t>입소</t>
    <phoneticPr fontId="6" type="noConversion"/>
  </si>
  <si>
    <t>원</t>
    <phoneticPr fontId="6" type="noConversion"/>
  </si>
  <si>
    <t>5.종사자근무수당(7종)</t>
    <phoneticPr fontId="6" type="noConversion"/>
  </si>
  <si>
    <t>3.연장근로수당(보조금)</t>
    <phoneticPr fontId="6" type="noConversion"/>
  </si>
  <si>
    <t>1호</t>
    <phoneticPr fontId="6" type="noConversion"/>
  </si>
  <si>
    <t>보조</t>
    <phoneticPr fontId="6" type="noConversion"/>
  </si>
  <si>
    <t>원</t>
    <phoneticPr fontId="6" type="noConversion"/>
  </si>
  <si>
    <t>1. 주방용품 구입 및 소규모수선비</t>
    <phoneticPr fontId="6" type="noConversion"/>
  </si>
  <si>
    <t>* 일상생활용품(보충액)</t>
    <phoneticPr fontId="6" type="noConversion"/>
  </si>
  <si>
    <t>원</t>
    <phoneticPr fontId="6" type="noConversion"/>
  </si>
  <si>
    <t>후원</t>
    <phoneticPr fontId="6" type="noConversion"/>
  </si>
  <si>
    <t>* 피복비</t>
    <phoneticPr fontId="6" type="noConversion"/>
  </si>
  <si>
    <t>세출총계</t>
    <phoneticPr fontId="6" type="noConversion"/>
  </si>
  <si>
    <t>인건비</t>
    <phoneticPr fontId="6" type="noConversion"/>
  </si>
  <si>
    <t>2호</t>
    <phoneticPr fontId="6" type="noConversion"/>
  </si>
  <si>
    <t>1. 미용실이용</t>
    <phoneticPr fontId="6" type="noConversion"/>
  </si>
  <si>
    <t>2. 이용인 생일</t>
    <phoneticPr fontId="6" type="noConversion"/>
  </si>
  <si>
    <t>A. 일상생활 지원</t>
    <phoneticPr fontId="6" type="noConversion"/>
  </si>
  <si>
    <t>3. 대중목욕탕 이용</t>
    <phoneticPr fontId="6" type="noConversion"/>
  </si>
  <si>
    <t>4. 자전거활동</t>
    <phoneticPr fontId="6" type="noConversion"/>
  </si>
  <si>
    <t>5. 요리활동 및 외식</t>
    <phoneticPr fontId="6" type="noConversion"/>
  </si>
  <si>
    <t>* 국민연금부담금</t>
    <phoneticPr fontId="6" type="noConversion"/>
  </si>
  <si>
    <t>원</t>
    <phoneticPr fontId="6" type="noConversion"/>
  </si>
  <si>
    <t>÷</t>
    <phoneticPr fontId="6" type="noConversion"/>
  </si>
  <si>
    <t>=</t>
    <phoneticPr fontId="6" type="noConversion"/>
  </si>
  <si>
    <t>* 건강보험부담금</t>
    <phoneticPr fontId="6" type="noConversion"/>
  </si>
  <si>
    <t>* 장기요양보험부담금</t>
    <phoneticPr fontId="6" type="noConversion"/>
  </si>
  <si>
    <t>* 고용보험부담금</t>
    <phoneticPr fontId="6" type="noConversion"/>
  </si>
  <si>
    <t>* 산재보험부담금</t>
    <phoneticPr fontId="6" type="noConversion"/>
  </si>
  <si>
    <t>원</t>
    <phoneticPr fontId="6" type="noConversion"/>
  </si>
  <si>
    <t>B. 작업활동지원</t>
    <phoneticPr fontId="6" type="noConversion"/>
  </si>
  <si>
    <t>작업활동 지원비용</t>
    <phoneticPr fontId="6" type="noConversion"/>
  </si>
  <si>
    <t>C. 자치회의</t>
    <phoneticPr fontId="6" type="noConversion"/>
  </si>
  <si>
    <t>자치회의비</t>
    <phoneticPr fontId="6" type="noConversion"/>
  </si>
  <si>
    <t>D. 교육지원</t>
    <phoneticPr fontId="6" type="noConversion"/>
  </si>
  <si>
    <t>교육지원비</t>
    <phoneticPr fontId="6" type="noConversion"/>
  </si>
  <si>
    <t xml:space="preserve">원 </t>
    <phoneticPr fontId="6" type="noConversion"/>
  </si>
  <si>
    <t xml:space="preserve">회   </t>
    <phoneticPr fontId="6" type="noConversion"/>
  </si>
  <si>
    <t>명</t>
    <phoneticPr fontId="6" type="noConversion"/>
  </si>
  <si>
    <t>=</t>
    <phoneticPr fontId="6" type="noConversion"/>
  </si>
  <si>
    <t>E. 여가활동</t>
    <phoneticPr fontId="6" type="noConversion"/>
  </si>
  <si>
    <t>*계절별 나들이</t>
    <phoneticPr fontId="6" type="noConversion"/>
  </si>
  <si>
    <t>1. 봄</t>
    <phoneticPr fontId="6" type="noConversion"/>
  </si>
  <si>
    <t>2. 여름</t>
    <phoneticPr fontId="6" type="noConversion"/>
  </si>
  <si>
    <t>3. 가을</t>
    <phoneticPr fontId="6" type="noConversion"/>
  </si>
  <si>
    <t>4. 겨울</t>
    <phoneticPr fontId="6" type="noConversion"/>
  </si>
  <si>
    <t>F. 영화, 문화생활</t>
    <phoneticPr fontId="6" type="noConversion"/>
  </si>
  <si>
    <t>소  계:</t>
    <phoneticPr fontId="6" type="noConversion"/>
  </si>
  <si>
    <t xml:space="preserve">1. 문화누리카드 </t>
    <phoneticPr fontId="6" type="noConversion"/>
  </si>
  <si>
    <t>2. 입소비용</t>
    <phoneticPr fontId="6" type="noConversion"/>
  </si>
  <si>
    <t>G. 체육활동</t>
    <phoneticPr fontId="6" type="noConversion"/>
  </si>
  <si>
    <t>체육활동</t>
    <phoneticPr fontId="6" type="noConversion"/>
  </si>
  <si>
    <t>* led등 교체</t>
    <phoneticPr fontId="6" type="noConversion"/>
  </si>
  <si>
    <t>입소</t>
    <phoneticPr fontId="6" type="noConversion"/>
  </si>
  <si>
    <t>원</t>
    <phoneticPr fontId="6" type="noConversion"/>
  </si>
  <si>
    <t>* 입소비용</t>
    <phoneticPr fontId="6" type="noConversion"/>
  </si>
  <si>
    <t>입소</t>
    <phoneticPr fontId="6" type="noConversion"/>
  </si>
  <si>
    <t>2. 문구류 및 정수기대여료</t>
    <phoneticPr fontId="6" type="noConversion"/>
  </si>
  <si>
    <t>후원</t>
    <phoneticPr fontId="6" type="noConversion"/>
  </si>
  <si>
    <t>&lt;사무비&gt;</t>
    <phoneticPr fontId="6" type="noConversion"/>
  </si>
  <si>
    <t>&lt;재산조성비&gt;</t>
    <phoneticPr fontId="6" type="noConversion"/>
  </si>
  <si>
    <t>&lt;사업비&gt;</t>
    <phoneticPr fontId="6" type="noConversion"/>
  </si>
  <si>
    <t>&lt;보조금 반환금&gt;</t>
    <phoneticPr fontId="6" type="noConversion"/>
  </si>
  <si>
    <t>1. 보조금 이월금(예금이자)</t>
    <phoneticPr fontId="6" type="noConversion"/>
  </si>
  <si>
    <t>2. 종사자수당 반납금</t>
    <phoneticPr fontId="6" type="noConversion"/>
  </si>
  <si>
    <t>원</t>
    <phoneticPr fontId="6" type="noConversion"/>
  </si>
  <si>
    <t>법인전입금 반환금</t>
    <phoneticPr fontId="6" type="noConversion"/>
  </si>
  <si>
    <t>&lt;법인전입금 반환금&gt;</t>
    <phoneticPr fontId="6" type="noConversion"/>
  </si>
  <si>
    <t>※ 법인전입금 반환금(법인)</t>
    <phoneticPr fontId="6" type="noConversion"/>
  </si>
  <si>
    <t>소계:</t>
    <phoneticPr fontId="6" type="noConversion"/>
  </si>
  <si>
    <t>원</t>
    <phoneticPr fontId="6" type="noConversion"/>
  </si>
  <si>
    <t>법인전입금 반환</t>
    <phoneticPr fontId="6" type="noConversion"/>
  </si>
  <si>
    <t>보조금     반환</t>
    <phoneticPr fontId="27" type="noConversion"/>
  </si>
  <si>
    <t>법인전입금           반납금</t>
    <phoneticPr fontId="27" type="noConversion"/>
  </si>
  <si>
    <t>법인전입금         반환</t>
    <phoneticPr fontId="27" type="noConversion"/>
  </si>
  <si>
    <t>법인전입금 반납금</t>
    <phoneticPr fontId="6" type="noConversion"/>
  </si>
  <si>
    <t>시도보조금수입</t>
    <phoneticPr fontId="27" type="noConversion"/>
  </si>
  <si>
    <t>시군구보조금수입</t>
    <phoneticPr fontId="27" type="noConversion"/>
  </si>
  <si>
    <t>소    계</t>
    <phoneticPr fontId="6" type="noConversion"/>
  </si>
  <si>
    <t>2.종사자근무수당 반납금</t>
    <phoneticPr fontId="6" type="noConversion"/>
  </si>
  <si>
    <t>회의비 감액</t>
    <phoneticPr fontId="6" type="noConversion"/>
  </si>
  <si>
    <t>시설비 증액</t>
    <phoneticPr fontId="6" type="noConversion"/>
  </si>
  <si>
    <t>생계비 감액</t>
    <phoneticPr fontId="6" type="noConversion"/>
  </si>
  <si>
    <t>피복비 감액</t>
    <phoneticPr fontId="6" type="noConversion"/>
  </si>
  <si>
    <t>프로그램비 증액</t>
    <phoneticPr fontId="6" type="noConversion"/>
  </si>
  <si>
    <t>보조금 반납금</t>
    <phoneticPr fontId="6" type="noConversion"/>
  </si>
  <si>
    <t>3. 입소비용</t>
    <phoneticPr fontId="6" type="noConversion"/>
  </si>
  <si>
    <t>4. 법인전입금</t>
    <phoneticPr fontId="6" type="noConversion"/>
  </si>
  <si>
    <t>5. 후원금</t>
    <phoneticPr fontId="6" type="noConversion"/>
  </si>
  <si>
    <t xml:space="preserve">원 </t>
    <phoneticPr fontId="6" type="noConversion"/>
  </si>
  <si>
    <t>회</t>
    <phoneticPr fontId="6" type="noConversion"/>
  </si>
  <si>
    <t>보조</t>
    <phoneticPr fontId="6" type="noConversion"/>
  </si>
  <si>
    <t>입소</t>
    <phoneticPr fontId="6" type="noConversion"/>
  </si>
  <si>
    <t>=</t>
    <phoneticPr fontId="6" type="noConversion"/>
  </si>
  <si>
    <t>2014년
2차추가경정 예산</t>
    <phoneticPr fontId="27" type="noConversion"/>
  </si>
  <si>
    <t>2015년
본예산</t>
    <phoneticPr fontId="27" type="noConversion"/>
  </si>
  <si>
    <t>입소비용과 전년도 이월금 분리기재로 인한 감소</t>
    <phoneticPr fontId="6" type="noConversion"/>
  </si>
  <si>
    <t>보조금   반환금</t>
    <phoneticPr fontId="6" type="noConversion"/>
  </si>
  <si>
    <t>보조금     반환금</t>
    <phoneticPr fontId="6" type="noConversion"/>
  </si>
  <si>
    <t>법인      전입금   반환금</t>
    <phoneticPr fontId="6" type="noConversion"/>
  </si>
  <si>
    <t xml:space="preserve">법인        전입금        반환금 </t>
    <phoneticPr fontId="6" type="noConversion"/>
  </si>
  <si>
    <t xml:space="preserve">법인      전입금      반환금 </t>
    <phoneticPr fontId="6" type="noConversion"/>
  </si>
  <si>
    <t>2015년  본예산액(단위:천원)</t>
    <phoneticPr fontId="6" type="noConversion"/>
  </si>
  <si>
    <t>2014년
2차추경예산액(A)
(단위:천원)</t>
    <phoneticPr fontId="6" type="noConversion"/>
  </si>
  <si>
    <t>1. 전화 요금(보조)</t>
    <phoneticPr fontId="6" type="noConversion"/>
  </si>
  <si>
    <t>보조</t>
    <phoneticPr fontId="6" type="noConversion"/>
  </si>
  <si>
    <t>2014년
2차 추경예산액(A)
(단위:천원)</t>
    <phoneticPr fontId="6" type="noConversion"/>
  </si>
  <si>
    <t>2015년 본예산액(단위:천원)</t>
    <phoneticPr fontId="6" type="noConversion"/>
  </si>
  <si>
    <t>2014년
2차추가경정 예산</t>
    <phoneticPr fontId="27" type="noConversion"/>
  </si>
  <si>
    <t>□ 2015년도 본예산 세 입 · 세 출 총  괄  표</t>
    <phoneticPr fontId="27" type="noConversion"/>
  </si>
  <si>
    <t>&lt;2015도 세입내역&gt;</t>
    <phoneticPr fontId="6" type="noConversion"/>
  </si>
  <si>
    <t>&lt;2015년도 세출내역&gt;</t>
    <phoneticPr fontId="6" type="noConversion"/>
  </si>
</sst>
</file>

<file path=xl/styles.xml><?xml version="1.0" encoding="utf-8"?>
<styleSheet xmlns="http://schemas.openxmlformats.org/spreadsheetml/2006/main">
  <numFmts count="1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</numFmts>
  <fonts count="37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9"/>
      <color indexed="8"/>
      <name val="돋움"/>
      <family val="3"/>
      <charset val="129"/>
    </font>
    <font>
      <sz val="8"/>
      <color indexed="8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ajor"/>
    </font>
    <font>
      <b/>
      <sz val="8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523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41" fontId="7" fillId="0" borderId="0" xfId="2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2" fillId="0" borderId="15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178" fontId="12" fillId="0" borderId="22" xfId="3" applyNumberFormat="1" applyFont="1" applyFill="1" applyBorder="1" applyAlignment="1">
      <alignment vertical="center"/>
    </xf>
    <xf numFmtId="177" fontId="12" fillId="0" borderId="22" xfId="3" applyNumberFormat="1" applyFont="1" applyFill="1" applyBorder="1" applyAlignment="1">
      <alignment vertical="center"/>
    </xf>
    <xf numFmtId="0" fontId="15" fillId="0" borderId="21" xfId="3" applyFont="1" applyFill="1" applyBorder="1" applyAlignment="1">
      <alignment vertical="center"/>
    </xf>
    <xf numFmtId="176" fontId="15" fillId="0" borderId="21" xfId="3" applyNumberFormat="1" applyFont="1" applyFill="1" applyBorder="1" applyAlignment="1">
      <alignment horizontal="center" vertical="center"/>
    </xf>
    <xf numFmtId="176" fontId="15" fillId="0" borderId="21" xfId="3" applyNumberFormat="1" applyFont="1" applyFill="1" applyBorder="1" applyAlignment="1">
      <alignment vertical="center"/>
    </xf>
    <xf numFmtId="176" fontId="15" fillId="0" borderId="23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 wrapText="1"/>
    </xf>
    <xf numFmtId="9" fontId="16" fillId="0" borderId="26" xfId="3" applyNumberFormat="1" applyFont="1" applyFill="1" applyBorder="1" applyAlignment="1">
      <alignment horizontal="center" vertical="center"/>
    </xf>
    <xf numFmtId="9" fontId="12" fillId="0" borderId="26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178" fontId="12" fillId="0" borderId="26" xfId="3" applyNumberFormat="1" applyFont="1" applyFill="1" applyBorder="1" applyAlignment="1">
      <alignment vertical="center"/>
    </xf>
    <xf numFmtId="177" fontId="12" fillId="0" borderId="26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2" fillId="0" borderId="33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vertical="center"/>
    </xf>
    <xf numFmtId="0" fontId="15" fillId="0" borderId="30" xfId="3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8" fillId="0" borderId="28" xfId="3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horizontal="right" vertical="center"/>
    </xf>
    <xf numFmtId="176" fontId="18" fillId="0" borderId="35" xfId="3" applyNumberFormat="1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vertical="center"/>
    </xf>
    <xf numFmtId="177" fontId="12" fillId="0" borderId="10" xfId="3" applyNumberFormat="1" applyFont="1" applyFill="1" applyBorder="1" applyAlignment="1">
      <alignment vertical="center"/>
    </xf>
    <xf numFmtId="0" fontId="12" fillId="0" borderId="38" xfId="3" applyFont="1" applyFill="1" applyBorder="1" applyAlignment="1">
      <alignment vertical="center"/>
    </xf>
    <xf numFmtId="0" fontId="12" fillId="0" borderId="12" xfId="3" applyFont="1" applyFill="1" applyBorder="1" applyAlignment="1">
      <alignment vertical="center"/>
    </xf>
    <xf numFmtId="176" fontId="12" fillId="0" borderId="12" xfId="3" applyNumberFormat="1" applyFont="1" applyFill="1" applyBorder="1" applyAlignment="1">
      <alignment vertical="center"/>
    </xf>
    <xf numFmtId="176" fontId="12" fillId="0" borderId="39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6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180" fontId="12" fillId="0" borderId="0" xfId="1" applyNumberFormat="1" applyFont="1" applyFill="1" applyBorder="1" applyAlignment="1">
      <alignment vertical="center"/>
    </xf>
    <xf numFmtId="10" fontId="12" fillId="0" borderId="0" xfId="1" applyNumberFormat="1" applyFont="1" applyFill="1" applyBorder="1" applyAlignment="1">
      <alignment horizontal="center" vertical="center"/>
    </xf>
    <xf numFmtId="179" fontId="12" fillId="0" borderId="0" xfId="2" applyNumberFormat="1" applyFont="1" applyFill="1" applyBorder="1" applyAlignment="1">
      <alignment horizontal="center" vertical="center"/>
    </xf>
    <xf numFmtId="0" fontId="21" fillId="0" borderId="29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horizontal="right" vertical="center"/>
    </xf>
    <xf numFmtId="176" fontId="20" fillId="0" borderId="35" xfId="3" applyNumberFormat="1" applyFont="1" applyFill="1" applyBorder="1" applyAlignment="1">
      <alignment vertical="center"/>
    </xf>
    <xf numFmtId="9" fontId="12" fillId="0" borderId="10" xfId="1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0" fontId="15" fillId="0" borderId="29" xfId="3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horizontal="right" vertical="center"/>
    </xf>
    <xf numFmtId="176" fontId="15" fillId="0" borderId="35" xfId="3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0" fontId="14" fillId="0" borderId="36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178" fontId="12" fillId="0" borderId="6" xfId="3" applyNumberFormat="1" applyFont="1" applyFill="1" applyBorder="1" applyAlignment="1">
      <alignment vertical="center"/>
    </xf>
    <xf numFmtId="177" fontId="12" fillId="0" borderId="6" xfId="3" applyNumberFormat="1" applyFont="1" applyFill="1" applyBorder="1" applyAlignment="1">
      <alignment vertical="center"/>
    </xf>
    <xf numFmtId="9" fontId="12" fillId="0" borderId="6" xfId="3" applyNumberFormat="1" applyFont="1" applyFill="1" applyBorder="1" applyAlignment="1">
      <alignment horizontal="center" vertical="center"/>
    </xf>
    <xf numFmtId="176" fontId="12" fillId="0" borderId="12" xfId="3" applyNumberFormat="1" applyFont="1" applyFill="1" applyBorder="1" applyAlignment="1">
      <alignment horizontal="center" vertical="center"/>
    </xf>
    <xf numFmtId="9" fontId="12" fillId="0" borderId="3" xfId="1" applyFont="1" applyFill="1" applyBorder="1" applyAlignment="1">
      <alignment horizontal="center" vertical="center"/>
    </xf>
    <xf numFmtId="38" fontId="14" fillId="0" borderId="26" xfId="3" applyNumberFormat="1" applyFont="1" applyFill="1" applyBorder="1" applyAlignment="1">
      <alignment vertical="center"/>
    </xf>
    <xf numFmtId="38" fontId="12" fillId="0" borderId="26" xfId="3" applyNumberFormat="1" applyFont="1" applyFill="1" applyBorder="1" applyAlignment="1">
      <alignment vertical="center"/>
    </xf>
    <xf numFmtId="38" fontId="12" fillId="0" borderId="10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6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vertical="center"/>
    </xf>
    <xf numFmtId="9" fontId="12" fillId="0" borderId="0" xfId="3" applyNumberFormat="1" applyFont="1" applyFill="1" applyBorder="1" applyAlignment="1">
      <alignment vertical="center"/>
    </xf>
    <xf numFmtId="0" fontId="25" fillId="0" borderId="1" xfId="3" applyFont="1" applyFill="1" applyBorder="1" applyAlignment="1">
      <alignment horizontal="center" vertical="center" wrapText="1"/>
    </xf>
    <xf numFmtId="38" fontId="25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3" fontId="13" fillId="0" borderId="13" xfId="0" applyNumberFormat="1" applyFont="1" applyFill="1" applyBorder="1" applyAlignment="1">
      <alignment vertical="center"/>
    </xf>
    <xf numFmtId="176" fontId="13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38" fontId="12" fillId="0" borderId="13" xfId="3" applyNumberFormat="1" applyFont="1" applyFill="1" applyBorder="1" applyAlignment="1">
      <alignment vertical="center"/>
    </xf>
    <xf numFmtId="38" fontId="12" fillId="0" borderId="30" xfId="3" applyNumberFormat="1" applyFont="1" applyFill="1" applyBorder="1" applyAlignment="1">
      <alignment vertical="center"/>
    </xf>
    <xf numFmtId="38" fontId="12" fillId="0" borderId="0" xfId="3" applyNumberFormat="1" applyFont="1" applyFill="1" applyBorder="1" applyAlignment="1">
      <alignment vertical="center"/>
    </xf>
    <xf numFmtId="176" fontId="25" fillId="0" borderId="0" xfId="4" applyNumberFormat="1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38" fontId="25" fillId="0" borderId="10" xfId="4" applyNumberFormat="1" applyFont="1" applyFill="1" applyBorder="1" applyAlignment="1">
      <alignment vertical="center"/>
    </xf>
    <xf numFmtId="0" fontId="25" fillId="0" borderId="0" xfId="4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0" fontId="12" fillId="0" borderId="5" xfId="0" applyFont="1" applyFill="1" applyBorder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4" fillId="0" borderId="0" xfId="5">
      <alignment vertical="center"/>
    </xf>
    <xf numFmtId="0" fontId="26" fillId="0" borderId="0" xfId="5" applyFont="1">
      <alignment vertical="center"/>
    </xf>
    <xf numFmtId="0" fontId="28" fillId="0" borderId="0" xfId="5" applyFont="1" applyAlignment="1">
      <alignment horizontal="right"/>
    </xf>
    <xf numFmtId="41" fontId="0" fillId="0" borderId="10" xfId="6" applyFont="1" applyBorder="1" applyAlignment="1">
      <alignment vertical="center"/>
    </xf>
    <xf numFmtId="181" fontId="0" fillId="0" borderId="36" xfId="6" applyNumberFormat="1" applyFont="1" applyBorder="1" applyAlignment="1">
      <alignment vertical="center"/>
    </xf>
    <xf numFmtId="181" fontId="0" fillId="0" borderId="11" xfId="6" applyNumberFormat="1" applyFont="1" applyBorder="1" applyAlignment="1">
      <alignment vertical="center"/>
    </xf>
    <xf numFmtId="41" fontId="0" fillId="0" borderId="19" xfId="6" applyFont="1" applyBorder="1">
      <alignment vertical="center"/>
    </xf>
    <xf numFmtId="181" fontId="0" fillId="0" borderId="41" xfId="6" applyNumberFormat="1" applyFont="1" applyBorder="1">
      <alignment vertical="center"/>
    </xf>
    <xf numFmtId="181" fontId="0" fillId="0" borderId="17" xfId="6" applyNumberFormat="1" applyFont="1" applyBorder="1">
      <alignment vertical="center"/>
    </xf>
    <xf numFmtId="41" fontId="0" fillId="0" borderId="3" xfId="6" applyFont="1" applyBorder="1">
      <alignment vertical="center"/>
    </xf>
    <xf numFmtId="181" fontId="0" fillId="0" borderId="4" xfId="6" applyNumberFormat="1" applyFont="1" applyBorder="1">
      <alignment vertical="center"/>
    </xf>
    <xf numFmtId="0" fontId="17" fillId="0" borderId="3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20" fillId="0" borderId="28" xfId="3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2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38" fontId="12" fillId="0" borderId="33" xfId="3" applyNumberFormat="1" applyFont="1" applyFill="1" applyBorder="1" applyAlignment="1">
      <alignment vertical="center"/>
    </xf>
    <xf numFmtId="38" fontId="12" fillId="0" borderId="36" xfId="3" applyNumberFormat="1" applyFont="1" applyFill="1" applyBorder="1" applyAlignment="1">
      <alignment vertical="center"/>
    </xf>
    <xf numFmtId="38" fontId="12" fillId="0" borderId="34" xfId="3" applyNumberFormat="1" applyFont="1" applyFill="1" applyBorder="1" applyAlignment="1">
      <alignment vertical="center"/>
    </xf>
    <xf numFmtId="3" fontId="24" fillId="0" borderId="33" xfId="0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41" fontId="14" fillId="0" borderId="26" xfId="0" applyNumberFormat="1" applyFont="1" applyFill="1" applyBorder="1" applyAlignment="1">
      <alignment vertical="center"/>
    </xf>
    <xf numFmtId="38" fontId="25" fillId="0" borderId="10" xfId="4" applyNumberFormat="1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41" fontId="14" fillId="0" borderId="7" xfId="0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0" fontId="14" fillId="0" borderId="43" xfId="3" applyFont="1" applyFill="1" applyBorder="1" applyAlignment="1">
      <alignment vertical="center"/>
    </xf>
    <xf numFmtId="176" fontId="14" fillId="0" borderId="43" xfId="3" applyNumberFormat="1" applyFont="1" applyFill="1" applyBorder="1" applyAlignment="1">
      <alignment vertical="center"/>
    </xf>
    <xf numFmtId="176" fontId="14" fillId="0" borderId="44" xfId="3" applyNumberFormat="1" applyFont="1" applyFill="1" applyBorder="1" applyAlignment="1">
      <alignment vertical="center"/>
    </xf>
    <xf numFmtId="9" fontId="14" fillId="0" borderId="19" xfId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vertical="center"/>
    </xf>
    <xf numFmtId="0" fontId="12" fillId="0" borderId="19" xfId="3" applyFont="1" applyFill="1" applyBorder="1" applyAlignment="1">
      <alignment horizontal="center" vertical="center" wrapText="1"/>
    </xf>
    <xf numFmtId="38" fontId="12" fillId="0" borderId="41" xfId="3" applyNumberFormat="1" applyFont="1" applyFill="1" applyBorder="1" applyAlignment="1">
      <alignment vertical="center"/>
    </xf>
    <xf numFmtId="38" fontId="12" fillId="0" borderId="19" xfId="3" applyNumberFormat="1" applyFont="1" applyFill="1" applyBorder="1" applyAlignment="1">
      <alignment vertical="center"/>
    </xf>
    <xf numFmtId="9" fontId="12" fillId="0" borderId="19" xfId="1" applyFont="1" applyFill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center" vertical="center"/>
    </xf>
    <xf numFmtId="178" fontId="23" fillId="0" borderId="1" xfId="3" applyNumberFormat="1" applyFont="1" applyFill="1" applyBorder="1" applyAlignment="1">
      <alignment vertical="center"/>
    </xf>
    <xf numFmtId="177" fontId="23" fillId="0" borderId="1" xfId="3" applyNumberFormat="1" applyFont="1" applyFill="1" applyBorder="1" applyAlignment="1">
      <alignment vertical="center"/>
    </xf>
    <xf numFmtId="9" fontId="23" fillId="0" borderId="1" xfId="3" applyNumberFormat="1" applyFont="1" applyFill="1" applyBorder="1" applyAlignment="1">
      <alignment horizontal="center" vertical="center"/>
    </xf>
    <xf numFmtId="176" fontId="25" fillId="0" borderId="0" xfId="4" applyNumberFormat="1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4" fillId="0" borderId="52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19" xfId="3" applyNumberFormat="1" applyFont="1" applyFill="1" applyBorder="1" applyAlignment="1">
      <alignment vertical="center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vertical="center"/>
    </xf>
    <xf numFmtId="0" fontId="23" fillId="0" borderId="33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vertical="center"/>
    </xf>
    <xf numFmtId="182" fontId="12" fillId="0" borderId="0" xfId="3" applyNumberFormat="1" applyFont="1" applyFill="1" applyBorder="1" applyAlignment="1">
      <alignment horizontal="center" vertical="center"/>
    </xf>
    <xf numFmtId="183" fontId="12" fillId="0" borderId="0" xfId="2" applyNumberFormat="1" applyFont="1" applyFill="1" applyBorder="1" applyAlignment="1">
      <alignment horizontal="center" vertical="center"/>
    </xf>
    <xf numFmtId="184" fontId="12" fillId="0" borderId="0" xfId="2" applyNumberFormat="1" applyFont="1" applyFill="1" applyBorder="1" applyAlignment="1">
      <alignment horizontal="center" vertical="center"/>
    </xf>
    <xf numFmtId="176" fontId="12" fillId="0" borderId="26" xfId="0" applyNumberFormat="1" applyFont="1" applyFill="1" applyBorder="1" applyAlignment="1">
      <alignment vertical="center"/>
    </xf>
    <xf numFmtId="185" fontId="12" fillId="0" borderId="0" xfId="3" applyNumberFormat="1" applyFont="1" applyFill="1" applyBorder="1" applyAlignment="1">
      <alignment horizontal="right" vertical="center"/>
    </xf>
    <xf numFmtId="178" fontId="12" fillId="0" borderId="0" xfId="2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horizontal="center" vertical="center"/>
    </xf>
    <xf numFmtId="9" fontId="12" fillId="0" borderId="0" xfId="3" applyNumberFormat="1" applyFont="1" applyFill="1" applyBorder="1" applyAlignment="1">
      <alignment horizontal="center" vertical="center"/>
    </xf>
    <xf numFmtId="187" fontId="12" fillId="0" borderId="0" xfId="2" applyNumberFormat="1" applyFont="1" applyFill="1" applyBorder="1" applyAlignment="1">
      <alignment horizontal="center" vertical="center"/>
    </xf>
    <xf numFmtId="178" fontId="12" fillId="0" borderId="0" xfId="3" applyNumberFormat="1" applyFont="1" applyFill="1" applyBorder="1" applyAlignment="1">
      <alignment horizontal="left" vertical="center"/>
    </xf>
    <xf numFmtId="0" fontId="12" fillId="0" borderId="34" xfId="3" applyFont="1" applyFill="1" applyBorder="1" applyAlignment="1">
      <alignment vertical="center"/>
    </xf>
    <xf numFmtId="0" fontId="12" fillId="0" borderId="33" xfId="3" applyFont="1" applyFill="1" applyBorder="1" applyAlignment="1">
      <alignment vertical="center" wrapText="1"/>
    </xf>
    <xf numFmtId="176" fontId="12" fillId="0" borderId="30" xfId="3" applyNumberFormat="1" applyFont="1" applyFill="1" applyBorder="1" applyAlignment="1">
      <alignment horizontal="center" vertical="center"/>
    </xf>
    <xf numFmtId="42" fontId="12" fillId="0" borderId="30" xfId="3" applyNumberFormat="1" applyFont="1" applyFill="1" applyBorder="1" applyAlignment="1">
      <alignment horizontal="center" vertical="center"/>
    </xf>
    <xf numFmtId="10" fontId="12" fillId="0" borderId="30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0" fontId="3" fillId="0" borderId="0" xfId="5" applyFont="1">
      <alignment vertical="center"/>
    </xf>
    <xf numFmtId="0" fontId="3" fillId="0" borderId="14" xfId="5" applyFont="1" applyBorder="1" applyAlignment="1">
      <alignment horizontal="center" vertical="center"/>
    </xf>
    <xf numFmtId="0" fontId="3" fillId="0" borderId="19" xfId="5" applyFont="1" applyBorder="1" applyAlignment="1">
      <alignment horizontal="center" vertical="center"/>
    </xf>
    <xf numFmtId="0" fontId="3" fillId="0" borderId="15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41" fontId="3" fillId="0" borderId="19" xfId="2" applyFont="1" applyBorder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41" fontId="9" fillId="0" borderId="0" xfId="2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14" fillId="0" borderId="29" xfId="3" applyFont="1" applyFill="1" applyBorder="1" applyAlignment="1">
      <alignment vertical="center"/>
    </xf>
    <xf numFmtId="0" fontId="7" fillId="0" borderId="12" xfId="3" applyFont="1" applyFill="1" applyBorder="1" applyAlignment="1">
      <alignment vertical="center"/>
    </xf>
    <xf numFmtId="176" fontId="7" fillId="0" borderId="12" xfId="3" applyNumberFormat="1" applyFont="1" applyFill="1" applyBorder="1" applyAlignment="1">
      <alignment vertical="center"/>
    </xf>
    <xf numFmtId="38" fontId="7" fillId="0" borderId="6" xfId="3" applyNumberFormat="1" applyFont="1" applyFill="1" applyBorder="1" applyAlignment="1">
      <alignment vertical="center"/>
    </xf>
    <xf numFmtId="9" fontId="7" fillId="0" borderId="6" xfId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6" fillId="0" borderId="0" xfId="7" applyFont="1">
      <alignment vertical="center"/>
    </xf>
    <xf numFmtId="0" fontId="2" fillId="0" borderId="0" xfId="7">
      <alignment vertical="center"/>
    </xf>
    <xf numFmtId="0" fontId="28" fillId="0" borderId="0" xfId="7" applyFont="1" applyAlignment="1">
      <alignment horizontal="right"/>
    </xf>
    <xf numFmtId="41" fontId="12" fillId="0" borderId="0" xfId="2" applyNumberFormat="1" applyFont="1" applyFill="1" applyBorder="1" applyAlignment="1">
      <alignment horizontal="right" vertical="center"/>
    </xf>
    <xf numFmtId="0" fontId="25" fillId="0" borderId="26" xfId="3" applyFont="1" applyFill="1" applyBorder="1" applyAlignment="1">
      <alignment horizontal="center" vertical="center" wrapText="1"/>
    </xf>
    <xf numFmtId="38" fontId="25" fillId="0" borderId="26" xfId="3" applyNumberFormat="1" applyFont="1" applyFill="1" applyBorder="1" applyAlignment="1">
      <alignment vertical="center"/>
    </xf>
    <xf numFmtId="178" fontId="22" fillId="0" borderId="0" xfId="0" applyNumberFormat="1" applyFont="1" applyBorder="1" applyAlignment="1">
      <alignment horizontal="center" vertical="center"/>
    </xf>
    <xf numFmtId="178" fontId="23" fillId="0" borderId="26" xfId="3" applyNumberFormat="1" applyFont="1" applyFill="1" applyBorder="1" applyAlignment="1">
      <alignment vertical="center"/>
    </xf>
    <xf numFmtId="38" fontId="23" fillId="0" borderId="26" xfId="3" applyNumberFormat="1" applyFont="1" applyFill="1" applyBorder="1" applyAlignment="1">
      <alignment vertical="center"/>
    </xf>
    <xf numFmtId="41" fontId="31" fillId="0" borderId="10" xfId="9" applyFont="1" applyBorder="1" applyAlignment="1">
      <alignment vertical="center"/>
    </xf>
    <xf numFmtId="181" fontId="31" fillId="0" borderId="55" xfId="10" applyNumberFormat="1" applyFont="1" applyBorder="1" applyAlignment="1">
      <alignment vertical="center"/>
    </xf>
    <xf numFmtId="181" fontId="31" fillId="0" borderId="13" xfId="10" applyNumberFormat="1" applyFont="1" applyBorder="1" applyAlignment="1">
      <alignment vertical="center"/>
    </xf>
    <xf numFmtId="181" fontId="31" fillId="0" borderId="37" xfId="10" applyNumberFormat="1" applyFont="1" applyBorder="1" applyAlignment="1">
      <alignment vertical="center"/>
    </xf>
    <xf numFmtId="0" fontId="28" fillId="0" borderId="14" xfId="7" applyFont="1" applyBorder="1" applyAlignment="1">
      <alignment horizontal="center" vertical="center" wrapText="1"/>
    </xf>
    <xf numFmtId="0" fontId="28" fillId="0" borderId="19" xfId="7" applyFont="1" applyBorder="1" applyAlignment="1">
      <alignment horizontal="center" vertical="center" wrapText="1"/>
    </xf>
    <xf numFmtId="41" fontId="31" fillId="0" borderId="19" xfId="9" applyFont="1" applyBorder="1">
      <alignment vertical="center"/>
    </xf>
    <xf numFmtId="181" fontId="31" fillId="0" borderId="41" xfId="10" applyNumberFormat="1" applyFont="1" applyBorder="1">
      <alignment vertical="center"/>
    </xf>
    <xf numFmtId="181" fontId="31" fillId="0" borderId="19" xfId="10" applyNumberFormat="1" applyFont="1" applyBorder="1">
      <alignment vertical="center"/>
    </xf>
    <xf numFmtId="181" fontId="31" fillId="0" borderId="17" xfId="10" applyNumberFormat="1" applyFont="1" applyBorder="1" applyAlignment="1">
      <alignment horizontal="center" vertical="center" wrapText="1"/>
    </xf>
    <xf numFmtId="181" fontId="31" fillId="0" borderId="41" xfId="10" applyNumberFormat="1" applyFont="1" applyBorder="1" applyAlignment="1">
      <alignment vertical="center" wrapText="1"/>
    </xf>
    <xf numFmtId="181" fontId="31" fillId="0" borderId="53" xfId="10" applyNumberFormat="1" applyFont="1" applyBorder="1" applyAlignment="1">
      <alignment vertical="center" wrapText="1"/>
    </xf>
    <xf numFmtId="41" fontId="31" fillId="0" borderId="0" xfId="2" applyFont="1" applyFill="1" applyAlignment="1">
      <alignment vertical="center"/>
    </xf>
    <xf numFmtId="0" fontId="28" fillId="0" borderId="14" xfId="7" applyFont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81" fontId="32" fillId="0" borderId="41" xfId="10" applyNumberFormat="1" applyFont="1" applyBorder="1" applyAlignment="1">
      <alignment vertical="center" wrapText="1"/>
    </xf>
    <xf numFmtId="0" fontId="0" fillId="0" borderId="21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9" fontId="12" fillId="0" borderId="10" xfId="3" applyNumberFormat="1" applyFont="1" applyFill="1" applyBorder="1" applyAlignment="1">
      <alignment horizontal="center" vertical="center"/>
    </xf>
    <xf numFmtId="0" fontId="23" fillId="0" borderId="36" xfId="3" applyFont="1" applyFill="1" applyBorder="1" applyAlignment="1">
      <alignment vertical="center"/>
    </xf>
    <xf numFmtId="0" fontId="21" fillId="0" borderId="13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0" fontId="12" fillId="0" borderId="26" xfId="3" applyFont="1" applyFill="1" applyBorder="1" applyAlignment="1">
      <alignment vertical="center" wrapText="1"/>
    </xf>
    <xf numFmtId="0" fontId="12" fillId="0" borderId="10" xfId="3" applyFont="1" applyFill="1" applyBorder="1" applyAlignment="1">
      <alignment vertical="center" wrapText="1"/>
    </xf>
    <xf numFmtId="0" fontId="7" fillId="0" borderId="29" xfId="3" applyFont="1" applyFill="1" applyBorder="1" applyAlignment="1">
      <alignment vertical="center"/>
    </xf>
    <xf numFmtId="0" fontId="7" fillId="0" borderId="35" xfId="3" applyFont="1" applyFill="1" applyBorder="1" applyAlignment="1">
      <alignment vertical="center"/>
    </xf>
    <xf numFmtId="0" fontId="12" fillId="0" borderId="57" xfId="3" applyFont="1" applyFill="1" applyBorder="1" applyAlignment="1">
      <alignment vertical="center" wrapText="1"/>
    </xf>
    <xf numFmtId="176" fontId="7" fillId="0" borderId="5" xfId="3" applyNumberFormat="1" applyFont="1" applyFill="1" applyBorder="1" applyAlignment="1">
      <alignment vertical="center"/>
    </xf>
    <xf numFmtId="176" fontId="12" fillId="0" borderId="0" xfId="3" applyNumberFormat="1" applyFont="1" applyFill="1" applyAlignment="1">
      <alignment vertical="center"/>
    </xf>
    <xf numFmtId="0" fontId="7" fillId="0" borderId="36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57" xfId="3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14" fillId="0" borderId="52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81" fontId="31" fillId="0" borderId="59" xfId="10" applyNumberFormat="1" applyFont="1" applyBorder="1" applyAlignment="1">
      <alignment horizontal="center" vertical="center" wrapText="1"/>
    </xf>
    <xf numFmtId="181" fontId="31" fillId="0" borderId="53" xfId="10" applyNumberFormat="1" applyFont="1" applyBorder="1" applyAlignment="1">
      <alignment horizontal="center" vertical="center" wrapText="1"/>
    </xf>
    <xf numFmtId="0" fontId="28" fillId="0" borderId="21" xfId="7" applyFont="1" applyBorder="1" applyAlignment="1">
      <alignment horizontal="center" vertical="center"/>
    </xf>
    <xf numFmtId="0" fontId="14" fillId="0" borderId="33" xfId="3" applyFont="1" applyFill="1" applyBorder="1" applyAlignment="1">
      <alignment vertical="center"/>
    </xf>
    <xf numFmtId="0" fontId="14" fillId="0" borderId="40" xfId="3" applyFont="1" applyFill="1" applyBorder="1" applyAlignment="1">
      <alignment vertical="center"/>
    </xf>
    <xf numFmtId="177" fontId="12" fillId="0" borderId="19" xfId="3" applyNumberFormat="1" applyFont="1" applyFill="1" applyBorder="1" applyAlignment="1">
      <alignment vertical="center"/>
    </xf>
    <xf numFmtId="178" fontId="12" fillId="0" borderId="19" xfId="3" applyNumberFormat="1" applyFont="1" applyFill="1" applyBorder="1" applyAlignment="1">
      <alignment vertical="center"/>
    </xf>
    <xf numFmtId="0" fontId="12" fillId="0" borderId="19" xfId="3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horizontal="right" vertical="center"/>
    </xf>
    <xf numFmtId="176" fontId="14" fillId="0" borderId="35" xfId="3" applyNumberFormat="1" applyFont="1" applyFill="1" applyBorder="1" applyAlignment="1">
      <alignment vertical="center"/>
    </xf>
    <xf numFmtId="38" fontId="12" fillId="0" borderId="61" xfId="3" applyNumberFormat="1" applyFont="1" applyFill="1" applyBorder="1" applyAlignment="1">
      <alignment vertical="center"/>
    </xf>
    <xf numFmtId="9" fontId="12" fillId="0" borderId="61" xfId="1" applyFont="1" applyFill="1" applyBorder="1" applyAlignment="1">
      <alignment horizontal="center" vertical="center"/>
    </xf>
    <xf numFmtId="0" fontId="12" fillId="0" borderId="61" xfId="3" applyFont="1" applyFill="1" applyBorder="1" applyAlignment="1">
      <alignment vertical="center"/>
    </xf>
    <xf numFmtId="176" fontId="12" fillId="0" borderId="61" xfId="3" applyNumberFormat="1" applyFont="1" applyFill="1" applyBorder="1" applyAlignment="1">
      <alignment vertical="center"/>
    </xf>
    <xf numFmtId="176" fontId="12" fillId="0" borderId="62" xfId="3" applyNumberFormat="1" applyFont="1" applyFill="1" applyBorder="1" applyAlignment="1">
      <alignment vertical="center"/>
    </xf>
    <xf numFmtId="9" fontId="12" fillId="0" borderId="0" xfId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horizontal="right" vertical="center"/>
    </xf>
    <xf numFmtId="41" fontId="12" fillId="0" borderId="0" xfId="2" applyFont="1" applyFill="1" applyBorder="1">
      <alignment vertical="center"/>
    </xf>
    <xf numFmtId="181" fontId="31" fillId="0" borderId="4" xfId="10" applyNumberFormat="1" applyFont="1" applyBorder="1" applyAlignment="1">
      <alignment vertical="center" wrapText="1"/>
    </xf>
    <xf numFmtId="0" fontId="28" fillId="0" borderId="6" xfId="7" applyFont="1" applyBorder="1" applyAlignment="1">
      <alignment horizontal="center" vertical="center" wrapText="1"/>
    </xf>
    <xf numFmtId="41" fontId="31" fillId="0" borderId="6" xfId="9" applyFont="1" applyBorder="1">
      <alignment vertical="center"/>
    </xf>
    <xf numFmtId="181" fontId="31" fillId="0" borderId="6" xfId="10" applyNumberFormat="1" applyFont="1" applyBorder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41" fontId="30" fillId="0" borderId="1" xfId="2" applyFont="1" applyFill="1" applyBorder="1" applyAlignment="1">
      <alignment vertical="center"/>
    </xf>
    <xf numFmtId="41" fontId="4" fillId="0" borderId="0" xfId="5" applyNumberFormat="1">
      <alignment vertical="center"/>
    </xf>
    <xf numFmtId="0" fontId="35" fillId="0" borderId="9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5" fillId="0" borderId="52" xfId="3" applyFont="1" applyFill="1" applyBorder="1" applyAlignment="1">
      <alignment vertical="center"/>
    </xf>
    <xf numFmtId="41" fontId="31" fillId="0" borderId="19" xfId="2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9" fontId="12" fillId="0" borderId="0" xfId="1" applyFont="1" applyFill="1" applyAlignment="1">
      <alignment horizontal="center" vertical="center"/>
    </xf>
    <xf numFmtId="0" fontId="12" fillId="0" borderId="36" xfId="0" applyFont="1" applyFill="1" applyBorder="1">
      <alignment vertical="center"/>
    </xf>
    <xf numFmtId="0" fontId="12" fillId="0" borderId="13" xfId="0" applyFont="1" applyFill="1" applyBorder="1">
      <alignment vertical="center"/>
    </xf>
    <xf numFmtId="0" fontId="7" fillId="0" borderId="31" xfId="0" applyFont="1" applyFill="1" applyBorder="1">
      <alignment vertical="center"/>
    </xf>
    <xf numFmtId="0" fontId="12" fillId="0" borderId="37" xfId="0" applyFont="1" applyFill="1" applyBorder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14" fillId="0" borderId="52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9" fontId="12" fillId="0" borderId="33" xfId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43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33" xfId="3" applyFont="1" applyFill="1" applyBorder="1" applyAlignment="1">
      <alignment horizontal="left" vertical="center"/>
    </xf>
    <xf numFmtId="0" fontId="34" fillId="0" borderId="21" xfId="3" applyFont="1" applyFill="1" applyBorder="1" applyAlignment="1">
      <alignment horizontal="left" vertical="center"/>
    </xf>
    <xf numFmtId="0" fontId="7" fillId="0" borderId="12" xfId="0" applyFont="1" applyFill="1" applyBorder="1">
      <alignment vertical="center"/>
    </xf>
    <xf numFmtId="176" fontId="7" fillId="0" borderId="24" xfId="0" applyNumberFormat="1" applyFont="1" applyFill="1" applyBorder="1">
      <alignment vertical="center"/>
    </xf>
    <xf numFmtId="0" fontId="34" fillId="0" borderId="36" xfId="3" applyFont="1" applyFill="1" applyBorder="1" applyAlignment="1">
      <alignment horizontal="left" vertical="center"/>
    </xf>
    <xf numFmtId="176" fontId="34" fillId="0" borderId="13" xfId="3" applyNumberFormat="1" applyFont="1" applyFill="1" applyBorder="1" applyAlignment="1">
      <alignment vertical="center"/>
    </xf>
    <xf numFmtId="176" fontId="34" fillId="0" borderId="37" xfId="3" applyNumberFormat="1" applyFont="1" applyFill="1" applyBorder="1" applyAlignment="1">
      <alignment vertical="center"/>
    </xf>
    <xf numFmtId="0" fontId="12" fillId="0" borderId="24" xfId="3" applyFont="1" applyFill="1" applyBorder="1" applyAlignment="1">
      <alignment horizontal="center" vertical="center" wrapText="1"/>
    </xf>
    <xf numFmtId="9" fontId="12" fillId="0" borderId="41" xfId="1" applyFont="1" applyFill="1" applyBorder="1" applyAlignment="1">
      <alignment horizontal="center" vertical="center"/>
    </xf>
    <xf numFmtId="9" fontId="12" fillId="0" borderId="36" xfId="1" applyFont="1" applyFill="1" applyBorder="1" applyAlignment="1">
      <alignment horizontal="center" vertical="center"/>
    </xf>
    <xf numFmtId="176" fontId="34" fillId="0" borderId="5" xfId="3" applyNumberFormat="1" applyFont="1" applyFill="1" applyBorder="1" applyAlignment="1">
      <alignment vertical="center"/>
    </xf>
    <xf numFmtId="0" fontId="7" fillId="0" borderId="38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1" fillId="0" borderId="14" xfId="5" applyFont="1" applyBorder="1" applyAlignment="1">
      <alignment horizontal="center" vertical="center"/>
    </xf>
    <xf numFmtId="0" fontId="1" fillId="0" borderId="19" xfId="5" applyFont="1" applyBorder="1" applyAlignment="1">
      <alignment horizontal="center" vertical="center"/>
    </xf>
    <xf numFmtId="0" fontId="28" fillId="0" borderId="57" xfId="7" applyFont="1" applyBorder="1" applyAlignment="1">
      <alignment horizontal="center" vertical="center" wrapText="1"/>
    </xf>
    <xf numFmtId="41" fontId="31" fillId="0" borderId="39" xfId="6" applyFont="1" applyBorder="1" applyAlignment="1">
      <alignment vertical="center" wrapText="1"/>
    </xf>
    <xf numFmtId="0" fontId="12" fillId="0" borderId="0" xfId="3" applyFont="1" applyFill="1" applyBorder="1" applyAlignment="1">
      <alignment horizontal="left" vertical="center"/>
    </xf>
    <xf numFmtId="0" fontId="14" fillId="0" borderId="24" xfId="3" applyFont="1" applyFill="1" applyBorder="1" applyAlignment="1">
      <alignment horizontal="center" vertical="center" wrapText="1"/>
    </xf>
    <xf numFmtId="41" fontId="12" fillId="0" borderId="0" xfId="2" applyFont="1" applyFill="1">
      <alignment vertical="center"/>
    </xf>
    <xf numFmtId="0" fontId="3" fillId="0" borderId="51" xfId="5" applyFont="1" applyBorder="1" applyAlignment="1">
      <alignment horizontal="center" vertical="center"/>
    </xf>
    <xf numFmtId="0" fontId="3" fillId="0" borderId="30" xfId="5" applyFont="1" applyBorder="1" applyAlignment="1">
      <alignment horizontal="center" vertical="center"/>
    </xf>
    <xf numFmtId="0" fontId="3" fillId="0" borderId="31" xfId="5" applyFont="1" applyBorder="1" applyAlignment="1">
      <alignment horizontal="center" vertical="center"/>
    </xf>
    <xf numFmtId="0" fontId="3" fillId="0" borderId="24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45" xfId="5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0" fontId="3" fillId="0" borderId="39" xfId="5" applyFont="1" applyBorder="1" applyAlignment="1">
      <alignment horizontal="center" vertical="center"/>
    </xf>
    <xf numFmtId="0" fontId="3" fillId="0" borderId="16" xfId="5" applyFont="1" applyBorder="1" applyAlignment="1">
      <alignment horizontal="center" vertical="center"/>
    </xf>
    <xf numFmtId="0" fontId="3" fillId="0" borderId="10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3" fillId="0" borderId="32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29" fillId="0" borderId="19" xfId="5" applyFont="1" applyBorder="1" applyAlignment="1">
      <alignment horizontal="center" vertical="center" wrapText="1"/>
    </xf>
    <xf numFmtId="0" fontId="29" fillId="0" borderId="48" xfId="5" applyFont="1" applyBorder="1" applyAlignment="1">
      <alignment horizontal="center" vertical="center" wrapText="1"/>
    </xf>
    <xf numFmtId="0" fontId="29" fillId="0" borderId="42" xfId="5" applyFont="1" applyBorder="1" applyAlignment="1">
      <alignment horizontal="center" vertical="center"/>
    </xf>
    <xf numFmtId="0" fontId="29" fillId="0" borderId="7" xfId="5" applyFont="1" applyBorder="1" applyAlignment="1">
      <alignment horizontal="center" vertical="center"/>
    </xf>
    <xf numFmtId="0" fontId="29" fillId="0" borderId="9" xfId="5" applyFont="1" applyBorder="1" applyAlignment="1">
      <alignment horizontal="center" vertical="center"/>
    </xf>
    <xf numFmtId="0" fontId="29" fillId="0" borderId="8" xfId="5" applyFont="1" applyBorder="1" applyAlignment="1">
      <alignment horizontal="center" vertical="center"/>
    </xf>
    <xf numFmtId="0" fontId="29" fillId="0" borderId="14" xfId="5" applyFont="1" applyBorder="1" applyAlignment="1">
      <alignment horizontal="center" vertical="center"/>
    </xf>
    <xf numFmtId="0" fontId="29" fillId="0" borderId="19" xfId="5" applyFont="1" applyBorder="1" applyAlignment="1">
      <alignment horizontal="center" vertical="center"/>
    </xf>
    <xf numFmtId="0" fontId="29" fillId="0" borderId="47" xfId="5" applyFont="1" applyBorder="1" applyAlignment="1">
      <alignment horizontal="center" vertical="center"/>
    </xf>
    <xf numFmtId="0" fontId="29" fillId="0" borderId="48" xfId="5" applyFont="1" applyBorder="1" applyAlignment="1">
      <alignment horizontal="center" vertical="center"/>
    </xf>
    <xf numFmtId="0" fontId="29" fillId="0" borderId="41" xfId="5" applyFont="1" applyBorder="1" applyAlignment="1">
      <alignment horizontal="center" vertical="center"/>
    </xf>
    <xf numFmtId="0" fontId="29" fillId="0" borderId="49" xfId="5" applyFont="1" applyBorder="1" applyAlignment="1">
      <alignment horizontal="center" vertical="center"/>
    </xf>
    <xf numFmtId="0" fontId="29" fillId="0" borderId="17" xfId="5" applyFont="1" applyBorder="1" applyAlignment="1">
      <alignment horizontal="center" vertical="center"/>
    </xf>
    <xf numFmtId="0" fontId="29" fillId="0" borderId="50" xfId="5" applyFont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/>
    </xf>
    <xf numFmtId="0" fontId="12" fillId="0" borderId="40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left" vertical="center" wrapText="1"/>
    </xf>
    <xf numFmtId="0" fontId="12" fillId="0" borderId="42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8" fontId="13" fillId="0" borderId="9" xfId="3" applyNumberFormat="1" applyFont="1" applyFill="1" applyBorder="1" applyAlignment="1">
      <alignment horizontal="center" vertical="center" wrapText="1"/>
    </xf>
    <xf numFmtId="178" fontId="13" fillId="0" borderId="43" xfId="3" applyNumberFormat="1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46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14" fillId="0" borderId="52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60" xfId="3" applyFont="1" applyFill="1" applyBorder="1" applyAlignment="1">
      <alignment horizontal="left" vertical="center" wrapText="1"/>
    </xf>
    <xf numFmtId="0" fontId="12" fillId="0" borderId="61" xfId="3" applyFont="1" applyFill="1" applyBorder="1" applyAlignment="1">
      <alignment horizontal="left" vertical="center" wrapText="1"/>
    </xf>
    <xf numFmtId="0" fontId="14" fillId="0" borderId="33" xfId="3" applyFont="1" applyFill="1" applyBorder="1" applyAlignment="1">
      <alignment horizontal="center" vertical="center" wrapText="1"/>
    </xf>
    <xf numFmtId="0" fontId="14" fillId="0" borderId="25" xfId="3" applyFont="1" applyFill="1" applyBorder="1" applyAlignment="1">
      <alignment horizontal="center" vertical="center" wrapText="1"/>
    </xf>
    <xf numFmtId="0" fontId="14" fillId="0" borderId="42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29" fillId="0" borderId="42" xfId="7" applyFont="1" applyBorder="1" applyAlignment="1">
      <alignment horizontal="center" vertical="center"/>
    </xf>
    <xf numFmtId="0" fontId="29" fillId="0" borderId="7" xfId="7" applyFont="1" applyBorder="1" applyAlignment="1">
      <alignment horizontal="center" vertical="center"/>
    </xf>
    <xf numFmtId="0" fontId="29" fillId="0" borderId="9" xfId="7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33" fillId="0" borderId="14" xfId="7" applyFont="1" applyBorder="1" applyAlignment="1">
      <alignment horizontal="center" vertical="center"/>
    </xf>
    <xf numFmtId="0" fontId="33" fillId="0" borderId="19" xfId="7" applyFont="1" applyBorder="1" applyAlignment="1">
      <alignment horizontal="center" vertical="center"/>
    </xf>
    <xf numFmtId="0" fontId="33" fillId="0" borderId="47" xfId="7" applyFont="1" applyBorder="1" applyAlignment="1">
      <alignment horizontal="center" vertical="center"/>
    </xf>
    <xf numFmtId="0" fontId="33" fillId="0" borderId="48" xfId="7" applyFont="1" applyBorder="1" applyAlignment="1">
      <alignment horizontal="center" vertical="center"/>
    </xf>
    <xf numFmtId="0" fontId="36" fillId="0" borderId="19" xfId="5" applyFont="1" applyBorder="1" applyAlignment="1">
      <alignment horizontal="center" vertical="center" wrapText="1"/>
    </xf>
    <xf numFmtId="0" fontId="36" fillId="0" borderId="48" xfId="5" applyFont="1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0" borderId="54" xfId="7" applyFont="1" applyBorder="1" applyAlignment="1">
      <alignment horizontal="center" vertical="center" wrapText="1"/>
    </xf>
    <xf numFmtId="0" fontId="33" fillId="0" borderId="41" xfId="7" applyFont="1" applyBorder="1" applyAlignment="1">
      <alignment horizontal="center" vertical="center"/>
    </xf>
    <xf numFmtId="0" fontId="33" fillId="0" borderId="49" xfId="7" applyFont="1" applyBorder="1" applyAlignment="1">
      <alignment horizontal="center" vertical="center"/>
    </xf>
    <xf numFmtId="0" fontId="33" fillId="0" borderId="53" xfId="7" applyFont="1" applyBorder="1" applyAlignment="1">
      <alignment horizontal="center" vertical="center"/>
    </xf>
    <xf numFmtId="0" fontId="33" fillId="0" borderId="56" xfId="7" applyFont="1" applyBorder="1" applyAlignment="1">
      <alignment horizontal="center" vertical="center"/>
    </xf>
    <xf numFmtId="181" fontId="31" fillId="0" borderId="58" xfId="10" applyNumberFormat="1" applyFont="1" applyBorder="1" applyAlignment="1">
      <alignment horizontal="center" vertical="center" wrapText="1"/>
    </xf>
    <xf numFmtId="181" fontId="31" fillId="0" borderId="59" xfId="10" applyNumberFormat="1" applyFont="1" applyBorder="1" applyAlignment="1">
      <alignment horizontal="center" vertical="center" wrapText="1"/>
    </xf>
    <xf numFmtId="181" fontId="31" fillId="0" borderId="11" xfId="10" applyNumberFormat="1" applyFont="1" applyBorder="1" applyAlignment="1">
      <alignment horizontal="center" vertical="center" wrapText="1"/>
    </xf>
    <xf numFmtId="0" fontId="28" fillId="0" borderId="2" xfId="7" applyFont="1" applyBorder="1" applyAlignment="1">
      <alignment horizontal="center" vertical="center"/>
    </xf>
    <xf numFmtId="0" fontId="28" fillId="0" borderId="32" xfId="7" applyFont="1" applyBorder="1" applyAlignment="1">
      <alignment horizontal="center" vertical="center"/>
    </xf>
    <xf numFmtId="0" fontId="28" fillId="0" borderId="16" xfId="7" applyFont="1" applyBorder="1" applyAlignment="1">
      <alignment horizontal="center" vertical="center"/>
    </xf>
    <xf numFmtId="0" fontId="28" fillId="0" borderId="1" xfId="7" applyFont="1" applyBorder="1" applyAlignment="1">
      <alignment horizontal="center" vertical="center" wrapText="1"/>
    </xf>
    <xf numFmtId="0" fontId="28" fillId="0" borderId="26" xfId="7" applyFont="1" applyBorder="1" applyAlignment="1">
      <alignment horizontal="center" vertical="center" wrapText="1"/>
    </xf>
    <xf numFmtId="0" fontId="28" fillId="0" borderId="10" xfId="7" applyFont="1" applyBorder="1" applyAlignment="1">
      <alignment horizontal="center" vertical="center" wrapText="1"/>
    </xf>
    <xf numFmtId="0" fontId="28" fillId="0" borderId="10" xfId="7" applyFont="1" applyBorder="1" applyAlignment="1">
      <alignment horizontal="center" vertical="center"/>
    </xf>
    <xf numFmtId="0" fontId="28" fillId="0" borderId="2" xfId="7" applyFont="1" applyBorder="1" applyAlignment="1">
      <alignment horizontal="center" vertical="center" wrapText="1"/>
    </xf>
    <xf numFmtId="0" fontId="28" fillId="0" borderId="32" xfId="7" applyFont="1" applyBorder="1" applyAlignment="1">
      <alignment horizontal="center" vertical="center" wrapText="1"/>
    </xf>
    <xf numFmtId="0" fontId="28" fillId="0" borderId="16" xfId="7" applyFont="1" applyBorder="1" applyAlignment="1">
      <alignment horizontal="center" vertical="center" wrapText="1"/>
    </xf>
    <xf numFmtId="41" fontId="31" fillId="0" borderId="1" xfId="9" applyFont="1" applyBorder="1" applyAlignment="1">
      <alignment horizontal="center" vertical="center"/>
    </xf>
    <xf numFmtId="41" fontId="31" fillId="0" borderId="26" xfId="9" applyFont="1" applyBorder="1" applyAlignment="1">
      <alignment horizontal="center" vertical="center"/>
    </xf>
    <xf numFmtId="41" fontId="31" fillId="0" borderId="10" xfId="9" applyFont="1" applyBorder="1" applyAlignment="1">
      <alignment horizontal="center" vertical="center"/>
    </xf>
    <xf numFmtId="181" fontId="31" fillId="0" borderId="1" xfId="10" applyNumberFormat="1" applyFont="1" applyBorder="1" applyAlignment="1">
      <alignment horizontal="center" vertical="center"/>
    </xf>
    <xf numFmtId="181" fontId="31" fillId="0" borderId="26" xfId="10" applyNumberFormat="1" applyFont="1" applyBorder="1" applyAlignment="1">
      <alignment horizontal="center" vertical="center"/>
    </xf>
    <xf numFmtId="181" fontId="31" fillId="0" borderId="10" xfId="10" applyNumberFormat="1" applyFont="1" applyBorder="1" applyAlignment="1">
      <alignment horizontal="center" vertical="center"/>
    </xf>
    <xf numFmtId="0" fontId="28" fillId="0" borderId="57" xfId="7" applyFont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9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25"/>
  <sheetViews>
    <sheetView workbookViewId="0">
      <selection activeCell="L7" sqref="L7"/>
    </sheetView>
  </sheetViews>
  <sheetFormatPr defaultRowHeight="16.5"/>
  <cols>
    <col min="1" max="1" width="1.33203125" style="160" customWidth="1"/>
    <col min="2" max="2" width="11.5546875" style="160" hidden="1" customWidth="1"/>
    <col min="3" max="3" width="13.33203125" style="160" bestFit="1" customWidth="1"/>
    <col min="4" max="4" width="14.5546875" style="160" customWidth="1"/>
    <col min="5" max="5" width="12.88671875" style="160" customWidth="1"/>
    <col min="6" max="6" width="14.109375" style="160" customWidth="1"/>
    <col min="7" max="7" width="12.5546875" style="160" customWidth="1"/>
    <col min="8" max="8" width="11.33203125" style="160" customWidth="1"/>
    <col min="9" max="9" width="14" style="160" customWidth="1"/>
    <col min="10" max="10" width="13.33203125" style="160" customWidth="1"/>
    <col min="11" max="11" width="14.6640625" style="160" customWidth="1"/>
    <col min="12" max="12" width="13" style="160" customWidth="1"/>
    <col min="13" max="13" width="8.88671875" style="160"/>
    <col min="14" max="15" width="10.44140625" style="160" bestFit="1" customWidth="1"/>
    <col min="16" max="16384" width="8.88671875" style="160"/>
  </cols>
  <sheetData>
    <row r="1" spans="2:15" ht="9.9499999999999993" customHeight="1"/>
    <row r="2" spans="2:15" ht="26.25">
      <c r="B2" s="246"/>
      <c r="C2" s="161" t="s">
        <v>193</v>
      </c>
      <c r="D2" s="246"/>
      <c r="E2" s="246"/>
      <c r="F2" s="246"/>
      <c r="G2" s="246"/>
      <c r="H2" s="246"/>
      <c r="I2" s="246"/>
      <c r="J2" s="246"/>
      <c r="K2" s="246"/>
      <c r="L2" s="162" t="s">
        <v>194</v>
      </c>
      <c r="M2" s="246"/>
    </row>
    <row r="3" spans="2:15" ht="9.9499999999999993" customHeight="1" thickBot="1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2:15" ht="30" customHeight="1">
      <c r="B4" s="246"/>
      <c r="C4" s="439" t="s">
        <v>195</v>
      </c>
      <c r="D4" s="440"/>
      <c r="E4" s="440"/>
      <c r="F4" s="440"/>
      <c r="G4" s="441"/>
      <c r="H4" s="439" t="s">
        <v>196</v>
      </c>
      <c r="I4" s="440"/>
      <c r="J4" s="440"/>
      <c r="K4" s="440"/>
      <c r="L4" s="442"/>
      <c r="M4" s="246"/>
    </row>
    <row r="5" spans="2:15" ht="16.5" customHeight="1">
      <c r="B5" s="246"/>
      <c r="C5" s="443" t="s">
        <v>197</v>
      </c>
      <c r="D5" s="444"/>
      <c r="E5" s="437" t="s">
        <v>406</v>
      </c>
      <c r="F5" s="437" t="s">
        <v>407</v>
      </c>
      <c r="G5" s="447" t="s">
        <v>198</v>
      </c>
      <c r="H5" s="443" t="s">
        <v>197</v>
      </c>
      <c r="I5" s="444"/>
      <c r="J5" s="437" t="s">
        <v>406</v>
      </c>
      <c r="K5" s="437" t="s">
        <v>407</v>
      </c>
      <c r="L5" s="449" t="s">
        <v>198</v>
      </c>
      <c r="M5" s="246"/>
    </row>
    <row r="6" spans="2:15" ht="22.5" customHeight="1" thickBot="1">
      <c r="B6" s="246"/>
      <c r="C6" s="445"/>
      <c r="D6" s="446"/>
      <c r="E6" s="438"/>
      <c r="F6" s="438"/>
      <c r="G6" s="448"/>
      <c r="H6" s="445"/>
      <c r="I6" s="446"/>
      <c r="J6" s="438"/>
      <c r="K6" s="438"/>
      <c r="L6" s="450"/>
      <c r="M6" s="246"/>
    </row>
    <row r="7" spans="2:15" ht="24.95" customHeight="1" thickTop="1">
      <c r="B7" s="246"/>
      <c r="C7" s="432" t="s">
        <v>199</v>
      </c>
      <c r="D7" s="433"/>
      <c r="E7" s="163">
        <f>SUM(E8:E16)</f>
        <v>64342919</v>
      </c>
      <c r="F7" s="163">
        <f>SUM(F8:F16)</f>
        <v>62749841</v>
      </c>
      <c r="G7" s="164">
        <f>SUM(G8:G16)</f>
        <v>-1593078</v>
      </c>
      <c r="H7" s="432" t="s">
        <v>199</v>
      </c>
      <c r="I7" s="433"/>
      <c r="J7" s="163">
        <v>64342919</v>
      </c>
      <c r="K7" s="163">
        <f>SUM(K8:K24)</f>
        <v>62749841</v>
      </c>
      <c r="L7" s="165">
        <f>SUM(L8:L24)</f>
        <v>-1593078</v>
      </c>
      <c r="M7" s="246"/>
    </row>
    <row r="8" spans="2:15" ht="24.95" customHeight="1">
      <c r="B8" s="246"/>
      <c r="C8" s="247" t="s">
        <v>200</v>
      </c>
      <c r="D8" s="248" t="s">
        <v>201</v>
      </c>
      <c r="E8" s="166">
        <v>11998637</v>
      </c>
      <c r="F8" s="166">
        <f>세입!AC5</f>
        <v>7200000</v>
      </c>
      <c r="G8" s="167">
        <f>F8-E8</f>
        <v>-4798637</v>
      </c>
      <c r="H8" s="434" t="s">
        <v>202</v>
      </c>
      <c r="I8" s="248" t="s">
        <v>203</v>
      </c>
      <c r="J8" s="166">
        <v>33542640</v>
      </c>
      <c r="K8" s="166">
        <f>세출!AD6</f>
        <v>32763280</v>
      </c>
      <c r="L8" s="168">
        <f>K8-J8</f>
        <v>-779360</v>
      </c>
      <c r="M8" s="246"/>
      <c r="N8" s="372"/>
    </row>
    <row r="9" spans="2:15" ht="24.95" customHeight="1">
      <c r="B9" s="246"/>
      <c r="C9" s="436" t="s">
        <v>204</v>
      </c>
      <c r="D9" s="417" t="s">
        <v>388</v>
      </c>
      <c r="E9" s="166">
        <v>3325000</v>
      </c>
      <c r="F9" s="166">
        <f>세입!AC10</f>
        <v>3554000</v>
      </c>
      <c r="G9" s="167">
        <f t="shared" ref="G9:G16" si="0">F9-E9</f>
        <v>229000</v>
      </c>
      <c r="H9" s="435"/>
      <c r="I9" s="248" t="s">
        <v>205</v>
      </c>
      <c r="J9" s="166">
        <v>215580</v>
      </c>
      <c r="K9" s="166">
        <f>세출!AD41</f>
        <v>0</v>
      </c>
      <c r="L9" s="168">
        <f>K9-J9</f>
        <v>-215580</v>
      </c>
      <c r="M9" s="246"/>
      <c r="N9" s="372"/>
      <c r="O9" s="372"/>
    </row>
    <row r="10" spans="2:15" ht="24.95" customHeight="1">
      <c r="B10" s="246"/>
      <c r="C10" s="436"/>
      <c r="D10" s="417" t="s">
        <v>389</v>
      </c>
      <c r="E10" s="166">
        <v>46200000</v>
      </c>
      <c r="F10" s="166">
        <f>세입!AC15</f>
        <v>46771000</v>
      </c>
      <c r="G10" s="167">
        <f t="shared" si="0"/>
        <v>571000</v>
      </c>
      <c r="H10" s="435"/>
      <c r="I10" s="248" t="s">
        <v>206</v>
      </c>
      <c r="J10" s="166">
        <v>148510</v>
      </c>
      <c r="K10" s="166">
        <f>세출!AD44</f>
        <v>22000</v>
      </c>
      <c r="L10" s="168">
        <f t="shared" ref="L10:L23" si="1">K10-J10</f>
        <v>-126510</v>
      </c>
      <c r="M10" s="246"/>
    </row>
    <row r="11" spans="2:15" ht="24.95" customHeight="1">
      <c r="B11" s="246"/>
      <c r="C11" s="436"/>
      <c r="D11" s="248" t="s">
        <v>207</v>
      </c>
      <c r="E11" s="166">
        <v>0</v>
      </c>
      <c r="F11" s="166">
        <v>0</v>
      </c>
      <c r="G11" s="167">
        <f t="shared" si="0"/>
        <v>0</v>
      </c>
      <c r="H11" s="432"/>
      <c r="I11" s="248" t="s">
        <v>208</v>
      </c>
      <c r="J11" s="166">
        <v>7803260</v>
      </c>
      <c r="K11" s="166">
        <f>세출!AD55</f>
        <v>5424720</v>
      </c>
      <c r="L11" s="168">
        <f t="shared" si="1"/>
        <v>-2378540</v>
      </c>
      <c r="M11" s="246"/>
    </row>
    <row r="12" spans="2:15" ht="24.95" customHeight="1">
      <c r="B12" s="246"/>
      <c r="C12" s="436" t="s">
        <v>209</v>
      </c>
      <c r="D12" s="248" t="s">
        <v>210</v>
      </c>
      <c r="E12" s="166">
        <v>0</v>
      </c>
      <c r="F12" s="166">
        <v>0</v>
      </c>
      <c r="G12" s="167">
        <f>F12-E12</f>
        <v>0</v>
      </c>
      <c r="H12" s="434" t="s">
        <v>211</v>
      </c>
      <c r="I12" s="248" t="s">
        <v>212</v>
      </c>
      <c r="J12" s="166">
        <v>0</v>
      </c>
      <c r="K12" s="166">
        <f>세출!AD84</f>
        <v>1250000</v>
      </c>
      <c r="L12" s="168">
        <f t="shared" si="1"/>
        <v>1250000</v>
      </c>
      <c r="M12" s="246"/>
    </row>
    <row r="13" spans="2:15" ht="24.95" customHeight="1">
      <c r="B13" s="246"/>
      <c r="C13" s="436"/>
      <c r="D13" s="248" t="s">
        <v>213</v>
      </c>
      <c r="E13" s="166">
        <v>600155</v>
      </c>
      <c r="F13" s="166">
        <f>세입!AC20</f>
        <v>300000</v>
      </c>
      <c r="G13" s="167">
        <f t="shared" si="0"/>
        <v>-300155</v>
      </c>
      <c r="H13" s="435"/>
      <c r="I13" s="248" t="s">
        <v>214</v>
      </c>
      <c r="J13" s="166">
        <v>4079000</v>
      </c>
      <c r="K13" s="166">
        <f>세출!AD88</f>
        <v>0</v>
      </c>
      <c r="L13" s="168">
        <f t="shared" si="1"/>
        <v>-4079000</v>
      </c>
      <c r="M13" s="246"/>
      <c r="N13" s="372"/>
    </row>
    <row r="14" spans="2:15" ht="24.95" customHeight="1">
      <c r="B14" s="246"/>
      <c r="C14" s="247" t="s">
        <v>215</v>
      </c>
      <c r="D14" s="248" t="s">
        <v>216</v>
      </c>
      <c r="E14" s="251">
        <v>2158561</v>
      </c>
      <c r="F14" s="251">
        <v>0</v>
      </c>
      <c r="G14" s="167">
        <f t="shared" si="0"/>
        <v>-2158561</v>
      </c>
      <c r="H14" s="432"/>
      <c r="I14" s="248" t="s">
        <v>217</v>
      </c>
      <c r="J14" s="166">
        <v>0</v>
      </c>
      <c r="K14" s="166">
        <f>세출!AD91</f>
        <v>0</v>
      </c>
      <c r="L14" s="168">
        <f t="shared" si="1"/>
        <v>0</v>
      </c>
      <c r="M14" s="246"/>
    </row>
    <row r="15" spans="2:15" ht="24.95" customHeight="1">
      <c r="B15" s="246"/>
      <c r="C15" s="247" t="s">
        <v>218</v>
      </c>
      <c r="D15" s="248" t="s">
        <v>219</v>
      </c>
      <c r="E15" s="166">
        <v>0</v>
      </c>
      <c r="F15" s="166">
        <f>세입!AC23</f>
        <v>4884841</v>
      </c>
      <c r="G15" s="167">
        <f t="shared" si="0"/>
        <v>4884841</v>
      </c>
      <c r="H15" s="434" t="s">
        <v>220</v>
      </c>
      <c r="I15" s="248" t="s">
        <v>221</v>
      </c>
      <c r="J15" s="166">
        <v>12461060</v>
      </c>
      <c r="K15" s="166">
        <f>세출!AD97</f>
        <v>11920000</v>
      </c>
      <c r="L15" s="168">
        <f t="shared" si="1"/>
        <v>-541060</v>
      </c>
      <c r="M15" s="246"/>
    </row>
    <row r="16" spans="2:15" ht="24.95" customHeight="1">
      <c r="B16" s="246"/>
      <c r="C16" s="247" t="s">
        <v>222</v>
      </c>
      <c r="D16" s="248" t="s">
        <v>223</v>
      </c>
      <c r="E16" s="166">
        <v>60566</v>
      </c>
      <c r="F16" s="166">
        <f>세입!AC30</f>
        <v>40000</v>
      </c>
      <c r="G16" s="167">
        <f t="shared" si="0"/>
        <v>-20566</v>
      </c>
      <c r="H16" s="435"/>
      <c r="I16" s="248" t="s">
        <v>224</v>
      </c>
      <c r="J16" s="166">
        <v>1272793</v>
      </c>
      <c r="K16" s="166">
        <f>세출!AD103</f>
        <v>1000000</v>
      </c>
      <c r="L16" s="168">
        <f t="shared" si="1"/>
        <v>-272793</v>
      </c>
      <c r="M16" s="246"/>
    </row>
    <row r="17" spans="2:13" ht="24.95" customHeight="1">
      <c r="B17" s="246"/>
      <c r="C17" s="423"/>
      <c r="D17" s="424"/>
      <c r="E17" s="424"/>
      <c r="F17" s="424"/>
      <c r="G17" s="425"/>
      <c r="H17" s="435"/>
      <c r="I17" s="248" t="s">
        <v>225</v>
      </c>
      <c r="J17" s="166">
        <v>892000</v>
      </c>
      <c r="K17" s="166">
        <f>세출!AD108</f>
        <v>800000</v>
      </c>
      <c r="L17" s="168">
        <f t="shared" si="1"/>
        <v>-92000</v>
      </c>
      <c r="M17" s="246"/>
    </row>
    <row r="18" spans="2:13" ht="24.95" customHeight="1">
      <c r="B18" s="246"/>
      <c r="C18" s="426"/>
      <c r="D18" s="427"/>
      <c r="E18" s="427"/>
      <c r="F18" s="427"/>
      <c r="G18" s="428"/>
      <c r="H18" s="435"/>
      <c r="I18" s="248" t="s">
        <v>226</v>
      </c>
      <c r="J18" s="166">
        <v>310000</v>
      </c>
      <c r="K18" s="166">
        <f>세출!AD112</f>
        <v>270000</v>
      </c>
      <c r="L18" s="168">
        <f t="shared" si="1"/>
        <v>-40000</v>
      </c>
      <c r="M18" s="246"/>
    </row>
    <row r="19" spans="2:13" ht="24.95" customHeight="1">
      <c r="B19" s="246"/>
      <c r="C19" s="426"/>
      <c r="D19" s="427"/>
      <c r="E19" s="427"/>
      <c r="F19" s="427"/>
      <c r="G19" s="428"/>
      <c r="H19" s="435"/>
      <c r="I19" s="248" t="s">
        <v>227</v>
      </c>
      <c r="J19" s="166">
        <v>105000</v>
      </c>
      <c r="K19" s="166">
        <f>세출!AD116</f>
        <v>105000</v>
      </c>
      <c r="L19" s="168">
        <f t="shared" si="1"/>
        <v>0</v>
      </c>
      <c r="M19" s="246"/>
    </row>
    <row r="20" spans="2:13" ht="24.95" customHeight="1">
      <c r="B20" s="246"/>
      <c r="C20" s="426"/>
      <c r="D20" s="427"/>
      <c r="E20" s="427"/>
      <c r="F20" s="427"/>
      <c r="G20" s="428"/>
      <c r="H20" s="432"/>
      <c r="I20" s="248" t="s">
        <v>228</v>
      </c>
      <c r="J20" s="166">
        <v>3496350</v>
      </c>
      <c r="K20" s="166">
        <f>세출!AD121</f>
        <v>8810000</v>
      </c>
      <c r="L20" s="168">
        <f>K20-J20</f>
        <v>5313650</v>
      </c>
      <c r="M20" s="246"/>
    </row>
    <row r="21" spans="2:13" ht="24.95" customHeight="1">
      <c r="B21" s="246"/>
      <c r="C21" s="426"/>
      <c r="D21" s="427"/>
      <c r="E21" s="427"/>
      <c r="F21" s="427"/>
      <c r="G21" s="428"/>
      <c r="H21" s="416" t="s">
        <v>229</v>
      </c>
      <c r="I21" s="248" t="s">
        <v>230</v>
      </c>
      <c r="J21" s="166">
        <v>16726</v>
      </c>
      <c r="K21" s="166">
        <f>세출!AD154</f>
        <v>21231</v>
      </c>
      <c r="L21" s="168">
        <f t="shared" si="1"/>
        <v>4505</v>
      </c>
      <c r="M21" s="246"/>
    </row>
    <row r="22" spans="2:13" ht="24.95" customHeight="1">
      <c r="B22" s="246"/>
      <c r="C22" s="426"/>
      <c r="D22" s="427"/>
      <c r="E22" s="427"/>
      <c r="F22" s="427"/>
      <c r="G22" s="428"/>
      <c r="H22" s="416" t="s">
        <v>383</v>
      </c>
      <c r="I22" s="417" t="s">
        <v>378</v>
      </c>
      <c r="J22" s="166">
        <v>0</v>
      </c>
      <c r="K22" s="166">
        <f>세출!AD159</f>
        <v>363610</v>
      </c>
      <c r="L22" s="168">
        <f>K22-J22</f>
        <v>363610</v>
      </c>
      <c r="M22" s="246"/>
    </row>
    <row r="23" spans="2:13" ht="17.25" thickBot="1">
      <c r="B23" s="246"/>
      <c r="C23" s="429"/>
      <c r="D23" s="430"/>
      <c r="E23" s="430"/>
      <c r="F23" s="430"/>
      <c r="G23" s="431"/>
      <c r="H23" s="247" t="s">
        <v>231</v>
      </c>
      <c r="I23" s="248" t="s">
        <v>232</v>
      </c>
      <c r="J23" s="166">
        <v>0</v>
      </c>
      <c r="K23" s="166">
        <v>0</v>
      </c>
      <c r="L23" s="168">
        <f t="shared" si="1"/>
        <v>0</v>
      </c>
      <c r="M23" s="246"/>
    </row>
    <row r="24" spans="2:13" ht="17.25" thickBot="1">
      <c r="B24" s="246"/>
      <c r="C24" s="246"/>
      <c r="D24" s="246"/>
      <c r="E24" s="246"/>
      <c r="F24" s="246"/>
      <c r="G24" s="246"/>
      <c r="H24" s="249" t="s">
        <v>233</v>
      </c>
      <c r="I24" s="250" t="s">
        <v>234</v>
      </c>
      <c r="J24" s="169">
        <v>0</v>
      </c>
      <c r="K24" s="169">
        <v>0</v>
      </c>
      <c r="L24" s="170">
        <f>K24-J24</f>
        <v>0</v>
      </c>
      <c r="M24" s="246"/>
    </row>
    <row r="25" spans="2:13">
      <c r="H25" s="246"/>
      <c r="I25" s="246"/>
      <c r="J25" s="246"/>
      <c r="K25" s="246"/>
      <c r="L25" s="246"/>
    </row>
  </sheetData>
  <mergeCells count="18">
    <mergeCell ref="E5:E6"/>
    <mergeCell ref="F5:F6"/>
    <mergeCell ref="J5:J6"/>
    <mergeCell ref="K5:K6"/>
    <mergeCell ref="C4:G4"/>
    <mergeCell ref="H4:L4"/>
    <mergeCell ref="C5:D6"/>
    <mergeCell ref="G5:G6"/>
    <mergeCell ref="H5:I6"/>
    <mergeCell ref="L5:L6"/>
    <mergeCell ref="C17:G23"/>
    <mergeCell ref="C7:D7"/>
    <mergeCell ref="H7:I7"/>
    <mergeCell ref="H8:H11"/>
    <mergeCell ref="C9:C11"/>
    <mergeCell ref="C12:C13"/>
    <mergeCell ref="H12:H14"/>
    <mergeCell ref="H15:H20"/>
  </mergeCells>
  <phoneticPr fontId="6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64"/>
  <sheetViews>
    <sheetView showRuler="0" zoomScale="85" zoomScaleNormal="85" zoomScaleSheetLayoutView="85" workbookViewId="0">
      <selection activeCell="N4" sqref="N4"/>
    </sheetView>
  </sheetViews>
  <sheetFormatPr defaultColWidth="13.77734375" defaultRowHeight="19.5" customHeight="1"/>
  <cols>
    <col min="1" max="2" width="5.6640625" style="8" bestFit="1" customWidth="1"/>
    <col min="3" max="3" width="5.88671875" style="8" bestFit="1" customWidth="1"/>
    <col min="4" max="4" width="7.88671875" style="10" customWidth="1"/>
    <col min="5" max="7" width="8" style="10" bestFit="1" customWidth="1"/>
    <col min="8" max="8" width="6.21875" style="10" bestFit="1" customWidth="1"/>
    <col min="9" max="10" width="6.109375" style="10" customWidth="1"/>
    <col min="11" max="11" width="6.88671875" style="10" bestFit="1" customWidth="1"/>
    <col min="12" max="12" width="7.44140625" style="11" customWidth="1"/>
    <col min="13" max="13" width="6" style="13" customWidth="1"/>
    <col min="14" max="14" width="19.77734375" style="1" customWidth="1"/>
    <col min="15" max="15" width="3.88671875" style="2" customWidth="1"/>
    <col min="16" max="16" width="2.77734375" style="2" customWidth="1"/>
    <col min="17" max="17" width="8.6640625" style="2" customWidth="1"/>
    <col min="18" max="18" width="8.88671875" style="2" customWidth="1"/>
    <col min="19" max="19" width="3.109375" style="2" hidden="1" customWidth="1"/>
    <col min="20" max="20" width="4.44140625" style="2" customWidth="1"/>
    <col min="21" max="21" width="3.44140625" style="2" customWidth="1"/>
    <col min="22" max="22" width="6.21875" style="2" customWidth="1"/>
    <col min="23" max="23" width="4.77734375" style="2" bestFit="1" customWidth="1"/>
    <col min="24" max="24" width="5.109375" style="2" customWidth="1"/>
    <col min="25" max="25" width="3.88671875" style="2" bestFit="1" customWidth="1"/>
    <col min="26" max="26" width="4.6640625" style="2" bestFit="1" customWidth="1"/>
    <col min="27" max="27" width="3.44140625" style="2" customWidth="1"/>
    <col min="28" max="28" width="1.109375" style="2" customWidth="1"/>
    <col min="29" max="29" width="12.33203125" style="2" customWidth="1"/>
    <col min="30" max="30" width="6.5546875" style="2" customWidth="1"/>
    <col min="31" max="31" width="13.77734375" style="6"/>
    <col min="32" max="16384" width="13.77734375" style="1"/>
  </cols>
  <sheetData>
    <row r="1" spans="1:31" s="12" customFormat="1" ht="19.5" customHeight="1" thickBot="1">
      <c r="A1" s="462" t="s">
        <v>422</v>
      </c>
      <c r="B1" s="462"/>
      <c r="C1" s="462"/>
      <c r="D1" s="10"/>
      <c r="E1" s="10"/>
      <c r="F1" s="10"/>
      <c r="G1" s="10"/>
      <c r="H1" s="10"/>
      <c r="I1" s="10"/>
      <c r="J1" s="10"/>
      <c r="K1" s="10"/>
      <c r="L1" s="11"/>
      <c r="M1" s="13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6"/>
    </row>
    <row r="2" spans="1:31" s="3" customFormat="1" ht="27" customHeight="1">
      <c r="A2" s="463" t="s">
        <v>64</v>
      </c>
      <c r="B2" s="464"/>
      <c r="C2" s="464"/>
      <c r="D2" s="465" t="s">
        <v>418</v>
      </c>
      <c r="E2" s="467" t="s">
        <v>419</v>
      </c>
      <c r="F2" s="468"/>
      <c r="G2" s="468"/>
      <c r="H2" s="468"/>
      <c r="I2" s="468"/>
      <c r="J2" s="468"/>
      <c r="K2" s="468"/>
      <c r="L2" s="455" t="s">
        <v>22</v>
      </c>
      <c r="M2" s="455"/>
      <c r="N2" s="456" t="s">
        <v>54</v>
      </c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  <c r="AD2" s="458"/>
      <c r="AE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466"/>
      <c r="E3" s="173" t="s">
        <v>118</v>
      </c>
      <c r="F3" s="289" t="s">
        <v>288</v>
      </c>
      <c r="G3" s="221" t="s">
        <v>148</v>
      </c>
      <c r="H3" s="173" t="s">
        <v>109</v>
      </c>
      <c r="I3" s="252" t="s">
        <v>240</v>
      </c>
      <c r="J3" s="313" t="s">
        <v>298</v>
      </c>
      <c r="K3" s="173" t="s">
        <v>111</v>
      </c>
      <c r="L3" s="181" t="s">
        <v>119</v>
      </c>
      <c r="M3" s="27" t="s">
        <v>4</v>
      </c>
      <c r="N3" s="459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1"/>
      <c r="AE3" s="9"/>
    </row>
    <row r="4" spans="1:31" s="3" customFormat="1" ht="29.25" customHeight="1">
      <c r="A4" s="469" t="s">
        <v>23</v>
      </c>
      <c r="B4" s="470"/>
      <c r="C4" s="471"/>
      <c r="D4" s="28">
        <f>SUM(D5,D8,D20,D23,D30)</f>
        <v>62184</v>
      </c>
      <c r="E4" s="81">
        <f>(F4+G4+H4+I4+K4+J4)</f>
        <v>62749.61</v>
      </c>
      <c r="F4" s="28">
        <f>SUM(F5,F8,F20,F23,F30)</f>
        <v>48136</v>
      </c>
      <c r="G4" s="28">
        <f>SUM(G8,G5,G20,G23,G30,)</f>
        <v>2210</v>
      </c>
      <c r="H4" s="28">
        <f>H5+H8+H23+H30</f>
        <v>11240</v>
      </c>
      <c r="I4" s="28">
        <f>I5+I8+I20+I23+I30</f>
        <v>800</v>
      </c>
      <c r="J4" s="28">
        <f>J5+J8+J21+J23+J30</f>
        <v>0</v>
      </c>
      <c r="K4" s="28">
        <f>K5+K8+K23+K30</f>
        <v>363.61</v>
      </c>
      <c r="L4" s="29">
        <f>E4-D4</f>
        <v>565.61000000000058</v>
      </c>
      <c r="M4" s="44">
        <f>IF(D4=0,0,L4/D4)</f>
        <v>9.0957481024057721E-3</v>
      </c>
      <c r="N4" s="30" t="s">
        <v>180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2">
        <f>SUM(AC5,AC8,AC23,AC30,AC20)</f>
        <v>62749841</v>
      </c>
      <c r="AD4" s="33" t="s">
        <v>179</v>
      </c>
      <c r="AE4" s="9"/>
    </row>
    <row r="5" spans="1:31" ht="21" customHeight="1" thickBot="1">
      <c r="A5" s="40" t="s">
        <v>59</v>
      </c>
      <c r="B5" s="41" t="s">
        <v>59</v>
      </c>
      <c r="C5" s="174" t="s">
        <v>117</v>
      </c>
      <c r="D5" s="42">
        <v>11998</v>
      </c>
      <c r="E5" s="42">
        <f>SUM(F5:K5)</f>
        <v>7200</v>
      </c>
      <c r="F5" s="42">
        <v>0</v>
      </c>
      <c r="G5" s="42">
        <v>0</v>
      </c>
      <c r="H5" s="42">
        <f>AC5/1000</f>
        <v>7200</v>
      </c>
      <c r="I5" s="42"/>
      <c r="J5" s="42"/>
      <c r="K5" s="42">
        <v>0</v>
      </c>
      <c r="L5" s="43">
        <f>E5-D5</f>
        <v>-4798</v>
      </c>
      <c r="M5" s="44">
        <f>IF(D5=0,0,L5/D5)</f>
        <v>-0.3998999833305551</v>
      </c>
      <c r="N5" s="45" t="s">
        <v>289</v>
      </c>
      <c r="O5" s="171"/>
      <c r="P5" s="46"/>
      <c r="Q5" s="46"/>
      <c r="R5" s="46"/>
      <c r="S5" s="46"/>
      <c r="T5" s="46"/>
      <c r="U5" s="47"/>
      <c r="V5" s="47" t="s">
        <v>62</v>
      </c>
      <c r="W5" s="47"/>
      <c r="X5" s="47"/>
      <c r="Y5" s="47"/>
      <c r="Z5" s="47"/>
      <c r="AA5" s="47"/>
      <c r="AB5" s="48"/>
      <c r="AC5" s="48">
        <f>AC6</f>
        <v>7200000</v>
      </c>
      <c r="AD5" s="49" t="s">
        <v>24</v>
      </c>
    </row>
    <row r="6" spans="1:31" ht="21" customHeight="1">
      <c r="A6" s="50" t="s">
        <v>60</v>
      </c>
      <c r="B6" s="315" t="s">
        <v>110</v>
      </c>
      <c r="C6" s="52" t="s">
        <v>110</v>
      </c>
      <c r="D6" s="53"/>
      <c r="E6" s="53"/>
      <c r="F6" s="53"/>
      <c r="G6" s="53"/>
      <c r="H6" s="53"/>
      <c r="I6" s="53"/>
      <c r="J6" s="53"/>
      <c r="K6" s="53"/>
      <c r="L6" s="54"/>
      <c r="M6" s="36"/>
      <c r="N6" s="57" t="s">
        <v>290</v>
      </c>
      <c r="O6" s="58"/>
      <c r="P6" s="59"/>
      <c r="Q6" s="59"/>
      <c r="R6" s="320">
        <v>150000</v>
      </c>
      <c r="S6" s="320" t="s">
        <v>56</v>
      </c>
      <c r="T6" s="321" t="s">
        <v>57</v>
      </c>
      <c r="U6" s="320">
        <v>4</v>
      </c>
      <c r="V6" s="320" t="s">
        <v>55</v>
      </c>
      <c r="W6" s="321" t="s">
        <v>57</v>
      </c>
      <c r="X6" s="60">
        <v>12</v>
      </c>
      <c r="Y6" s="220" t="s">
        <v>0</v>
      </c>
      <c r="Z6" s="220" t="s">
        <v>52</v>
      </c>
      <c r="AA6" s="220"/>
      <c r="AB6" s="320"/>
      <c r="AC6" s="320">
        <f>R6*U6*X6</f>
        <v>7200000</v>
      </c>
      <c r="AD6" s="61" t="s">
        <v>56</v>
      </c>
    </row>
    <row r="7" spans="1:31" ht="21" customHeight="1">
      <c r="A7" s="50"/>
      <c r="B7" s="51"/>
      <c r="C7" s="52"/>
      <c r="D7" s="53"/>
      <c r="E7" s="53"/>
      <c r="F7" s="53"/>
      <c r="G7" s="53"/>
      <c r="H7" s="53"/>
      <c r="I7" s="53"/>
      <c r="J7" s="53"/>
      <c r="K7" s="53"/>
      <c r="L7" s="54"/>
      <c r="M7" s="36"/>
      <c r="N7" s="57"/>
      <c r="O7" s="58"/>
      <c r="P7" s="59"/>
      <c r="Q7" s="59"/>
      <c r="R7" s="175"/>
      <c r="S7" s="175"/>
      <c r="T7" s="176"/>
      <c r="U7" s="175"/>
      <c r="V7" s="175"/>
      <c r="W7" s="176"/>
      <c r="X7" s="60"/>
      <c r="Y7" s="172"/>
      <c r="Z7" s="172"/>
      <c r="AA7" s="172"/>
      <c r="AB7" s="175"/>
      <c r="AC7" s="175"/>
      <c r="AD7" s="61"/>
    </row>
    <row r="8" spans="1:31" ht="21" customHeight="1">
      <c r="A8" s="40" t="s">
        <v>29</v>
      </c>
      <c r="B8" s="453" t="s">
        <v>16</v>
      </c>
      <c r="C8" s="454"/>
      <c r="D8" s="204">
        <f>SUM(D10,D15)</f>
        <v>49525</v>
      </c>
      <c r="E8" s="204">
        <f>E9+E15</f>
        <v>50325</v>
      </c>
      <c r="F8" s="204">
        <f>F9+F15</f>
        <v>48125</v>
      </c>
      <c r="G8" s="204">
        <f>G9+G15</f>
        <v>2200</v>
      </c>
      <c r="H8" s="204">
        <f t="shared" ref="H8:K8" si="0">H9</f>
        <v>0</v>
      </c>
      <c r="I8" s="204">
        <v>0</v>
      </c>
      <c r="J8" s="204"/>
      <c r="K8" s="204">
        <f t="shared" si="0"/>
        <v>0</v>
      </c>
      <c r="L8" s="205">
        <f>E8-D8</f>
        <v>800</v>
      </c>
      <c r="M8" s="206">
        <f>IF(D8=0,0,L8/D8)</f>
        <v>1.6153457849570924E-2</v>
      </c>
      <c r="N8" s="64" t="s">
        <v>65</v>
      </c>
      <c r="O8" s="47"/>
      <c r="P8" s="65"/>
      <c r="Q8" s="65"/>
      <c r="R8" s="47"/>
      <c r="S8" s="47"/>
      <c r="T8" s="47"/>
      <c r="U8" s="47"/>
      <c r="V8" s="47"/>
      <c r="W8" s="66"/>
      <c r="X8" s="66"/>
      <c r="Y8" s="66"/>
      <c r="Z8" s="66"/>
      <c r="AA8" s="66"/>
      <c r="AB8" s="66"/>
      <c r="AC8" s="47">
        <f>AC9</f>
        <v>50325000</v>
      </c>
      <c r="AD8" s="49" t="s">
        <v>24</v>
      </c>
    </row>
    <row r="9" spans="1:31" s="12" customFormat="1" ht="19.5" customHeight="1" thickBot="1">
      <c r="A9" s="50"/>
      <c r="B9" s="51" t="s">
        <v>69</v>
      </c>
      <c r="C9" s="51" t="s">
        <v>67</v>
      </c>
      <c r="D9" s="42">
        <f>D10</f>
        <v>3325</v>
      </c>
      <c r="E9" s="42">
        <f t="shared" ref="E9:K9" si="1">E10</f>
        <v>3554</v>
      </c>
      <c r="F9" s="42">
        <f t="shared" si="1"/>
        <v>3224</v>
      </c>
      <c r="G9" s="42">
        <f>G10</f>
        <v>330</v>
      </c>
      <c r="H9" s="42">
        <f t="shared" si="1"/>
        <v>0</v>
      </c>
      <c r="I9" s="204">
        <v>0</v>
      </c>
      <c r="J9" s="204"/>
      <c r="K9" s="42">
        <f t="shared" si="1"/>
        <v>0</v>
      </c>
      <c r="L9" s="43">
        <f>E9-D9</f>
        <v>229</v>
      </c>
      <c r="M9" s="44">
        <f>IF(D9=0,0,L9/D9)</f>
        <v>6.8872180451127821E-2</v>
      </c>
      <c r="N9" s="67" t="s">
        <v>65</v>
      </c>
      <c r="O9" s="68"/>
      <c r="P9" s="69"/>
      <c r="Q9" s="69"/>
      <c r="R9" s="69"/>
      <c r="S9" s="69"/>
      <c r="T9" s="69"/>
      <c r="U9" s="70"/>
      <c r="V9" s="71" t="s">
        <v>68</v>
      </c>
      <c r="W9" s="71"/>
      <c r="X9" s="71"/>
      <c r="Y9" s="71"/>
      <c r="Z9" s="71"/>
      <c r="AA9" s="71"/>
      <c r="AB9" s="72"/>
      <c r="AC9" s="72">
        <f>SUM(AC10,AC15)</f>
        <v>50325000</v>
      </c>
      <c r="AD9" s="73" t="s">
        <v>66</v>
      </c>
      <c r="AE9" s="6"/>
    </row>
    <row r="10" spans="1:31" ht="21" customHeight="1" thickBot="1">
      <c r="A10" s="50"/>
      <c r="B10" s="51"/>
      <c r="C10" s="451" t="s">
        <v>283</v>
      </c>
      <c r="D10" s="42">
        <v>3325</v>
      </c>
      <c r="E10" s="42">
        <f>AC10/1000</f>
        <v>3554</v>
      </c>
      <c r="F10" s="42">
        <f>(AC11)/1000</f>
        <v>3224</v>
      </c>
      <c r="G10" s="42">
        <f>SUM(AC12:AC13)/1000</f>
        <v>330</v>
      </c>
      <c r="H10" s="42">
        <v>0</v>
      </c>
      <c r="I10" s="204">
        <v>0</v>
      </c>
      <c r="J10" s="204"/>
      <c r="K10" s="42">
        <v>0</v>
      </c>
      <c r="L10" s="43">
        <f>E10-D10</f>
        <v>229</v>
      </c>
      <c r="M10" s="44">
        <f>IF(D10=0,0,L10/D10)</f>
        <v>6.8872180451127821E-2</v>
      </c>
      <c r="N10" s="178" t="s">
        <v>284</v>
      </c>
      <c r="O10" s="94"/>
      <c r="P10" s="95"/>
      <c r="Q10" s="95"/>
      <c r="R10" s="95"/>
      <c r="S10" s="95"/>
      <c r="T10" s="95"/>
      <c r="U10" s="96"/>
      <c r="V10" s="97" t="s">
        <v>70</v>
      </c>
      <c r="W10" s="97"/>
      <c r="X10" s="97"/>
      <c r="Y10" s="97"/>
      <c r="Z10" s="97"/>
      <c r="AA10" s="97"/>
      <c r="AB10" s="98"/>
      <c r="AC10" s="98">
        <f>SUM(AC11:AC13)</f>
        <v>3554000</v>
      </c>
      <c r="AD10" s="99" t="s">
        <v>24</v>
      </c>
    </row>
    <row r="11" spans="1:31" ht="21" customHeight="1">
      <c r="A11" s="50"/>
      <c r="B11" s="51"/>
      <c r="C11" s="452"/>
      <c r="D11" s="53"/>
      <c r="E11" s="53"/>
      <c r="F11" s="53"/>
      <c r="G11" s="53"/>
      <c r="H11" s="53"/>
      <c r="I11" s="273"/>
      <c r="J11" s="273"/>
      <c r="K11" s="53"/>
      <c r="L11" s="54"/>
      <c r="M11" s="36"/>
      <c r="N11" s="224" t="s">
        <v>294</v>
      </c>
      <c r="O11" s="222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5"/>
      <c r="AC11" s="226">
        <v>3224000</v>
      </c>
      <c r="AD11" s="227" t="s">
        <v>56</v>
      </c>
    </row>
    <row r="12" spans="1:31" ht="21" customHeight="1">
      <c r="A12" s="50"/>
      <c r="B12" s="51"/>
      <c r="C12" s="303"/>
      <c r="D12" s="53"/>
      <c r="E12" s="53"/>
      <c r="F12" s="53"/>
      <c r="G12" s="53"/>
      <c r="H12" s="53"/>
      <c r="I12" s="53"/>
      <c r="J12" s="53"/>
      <c r="K12" s="53"/>
      <c r="L12" s="54"/>
      <c r="M12" s="36"/>
      <c r="N12" s="224" t="s">
        <v>267</v>
      </c>
      <c r="O12" s="222"/>
      <c r="P12" s="223"/>
      <c r="Q12" s="223"/>
      <c r="R12" s="292"/>
      <c r="S12" s="292"/>
      <c r="T12" s="293"/>
      <c r="U12" s="292"/>
      <c r="V12" s="292"/>
      <c r="W12" s="293"/>
      <c r="X12" s="292"/>
      <c r="Y12" s="292"/>
      <c r="Z12" s="292"/>
      <c r="AA12" s="292"/>
      <c r="AB12" s="81"/>
      <c r="AC12" s="81">
        <v>180000</v>
      </c>
      <c r="AD12" s="61" t="s">
        <v>56</v>
      </c>
    </row>
    <row r="13" spans="1:31" ht="21" customHeight="1">
      <c r="A13" s="50"/>
      <c r="B13" s="51"/>
      <c r="C13" s="303"/>
      <c r="D13" s="53"/>
      <c r="E13" s="53"/>
      <c r="F13" s="53"/>
      <c r="G13" s="53"/>
      <c r="H13" s="53"/>
      <c r="I13" s="53"/>
      <c r="J13" s="53"/>
      <c r="K13" s="53"/>
      <c r="L13" s="54"/>
      <c r="M13" s="36"/>
      <c r="N13" s="224" t="s">
        <v>265</v>
      </c>
      <c r="O13" s="222"/>
      <c r="P13" s="223"/>
      <c r="Q13" s="223"/>
      <c r="AC13" s="309">
        <v>150000</v>
      </c>
      <c r="AD13" s="308" t="s">
        <v>293</v>
      </c>
    </row>
    <row r="14" spans="1:31" ht="21" customHeight="1">
      <c r="A14" s="50"/>
      <c r="B14" s="63"/>
      <c r="C14" s="304"/>
      <c r="D14" s="74"/>
      <c r="E14" s="74"/>
      <c r="F14" s="74"/>
      <c r="G14" s="74"/>
      <c r="H14" s="74"/>
      <c r="I14" s="74"/>
      <c r="J14" s="74"/>
      <c r="K14" s="74"/>
      <c r="L14" s="75"/>
      <c r="M14" s="299"/>
      <c r="N14" s="300"/>
      <c r="O14" s="301"/>
      <c r="P14" s="302"/>
      <c r="Q14" s="302"/>
      <c r="R14" s="290"/>
      <c r="S14" s="290"/>
      <c r="T14" s="291"/>
      <c r="U14" s="290"/>
      <c r="V14" s="290"/>
      <c r="W14" s="291"/>
      <c r="X14" s="290"/>
      <c r="Y14" s="290"/>
      <c r="Z14" s="290"/>
      <c r="AA14" s="290"/>
      <c r="AB14" s="86"/>
      <c r="AC14" s="86"/>
      <c r="AD14" s="87"/>
    </row>
    <row r="15" spans="1:31" ht="21" customHeight="1" thickBot="1">
      <c r="A15" s="50"/>
      <c r="B15" s="51"/>
      <c r="C15" s="451" t="s">
        <v>285</v>
      </c>
      <c r="D15" s="53">
        <v>46200</v>
      </c>
      <c r="E15" s="53">
        <f>SUM(F15:K15)</f>
        <v>46771</v>
      </c>
      <c r="F15" s="53">
        <f>AC16/1000</f>
        <v>44901</v>
      </c>
      <c r="G15" s="42">
        <f>SUM(AC17:AC18)/1000</f>
        <v>1870</v>
      </c>
      <c r="H15" s="53">
        <v>0</v>
      </c>
      <c r="I15" s="53">
        <f>0</f>
        <v>0</v>
      </c>
      <c r="J15" s="53"/>
      <c r="K15" s="53">
        <v>0</v>
      </c>
      <c r="L15" s="43">
        <f>E15-D15</f>
        <v>571</v>
      </c>
      <c r="M15" s="44">
        <f>IF(D15=0,0,L15/D15)</f>
        <v>1.235930735930736E-2</v>
      </c>
      <c r="N15" s="178" t="s">
        <v>286</v>
      </c>
      <c r="O15" s="94"/>
      <c r="P15" s="223"/>
      <c r="Q15" s="223"/>
      <c r="R15" s="1"/>
      <c r="S15" s="1"/>
      <c r="T15" s="1"/>
      <c r="U15" s="1"/>
      <c r="V15" s="97" t="s">
        <v>68</v>
      </c>
      <c r="W15" s="97"/>
      <c r="X15" s="305"/>
      <c r="Y15" s="305"/>
      <c r="Z15" s="305"/>
      <c r="AA15" s="305"/>
      <c r="AB15" s="305"/>
      <c r="AC15" s="98">
        <f>SUM(AC16:AC18)</f>
        <v>46771000</v>
      </c>
      <c r="AD15" s="306" t="s">
        <v>287</v>
      </c>
    </row>
    <row r="16" spans="1:31" ht="21" customHeight="1">
      <c r="A16" s="50"/>
      <c r="B16" s="51"/>
      <c r="C16" s="452"/>
      <c r="D16" s="53"/>
      <c r="E16" s="53"/>
      <c r="F16" s="53"/>
      <c r="G16" s="53"/>
      <c r="H16" s="53"/>
      <c r="I16" s="53"/>
      <c r="J16" s="53"/>
      <c r="K16" s="53"/>
      <c r="L16" s="54"/>
      <c r="M16" s="36"/>
      <c r="N16" s="224" t="s">
        <v>295</v>
      </c>
      <c r="O16" s="222"/>
      <c r="P16" s="223"/>
      <c r="Q16" s="22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226">
        <v>44901000</v>
      </c>
      <c r="AD16" s="227" t="s">
        <v>146</v>
      </c>
    </row>
    <row r="17" spans="1:32" ht="21" customHeight="1">
      <c r="A17" s="50"/>
      <c r="B17" s="51"/>
      <c r="C17" s="303"/>
      <c r="D17" s="53"/>
      <c r="E17" s="53"/>
      <c r="F17" s="53"/>
      <c r="G17" s="53"/>
      <c r="H17" s="53"/>
      <c r="I17" s="53"/>
      <c r="J17" s="53"/>
      <c r="K17" s="53"/>
      <c r="L17" s="54"/>
      <c r="M17" s="36"/>
      <c r="N17" s="224" t="s">
        <v>266</v>
      </c>
      <c r="O17" s="228"/>
      <c r="P17" s="229"/>
      <c r="Q17" s="229"/>
      <c r="R17" s="292"/>
      <c r="S17" s="292"/>
      <c r="T17" s="293"/>
      <c r="U17" s="292"/>
      <c r="V17" s="292"/>
      <c r="W17" s="293"/>
      <c r="X17" s="292"/>
      <c r="Y17" s="292"/>
      <c r="Z17" s="292"/>
      <c r="AA17" s="292"/>
      <c r="AB17" s="81"/>
      <c r="AC17" s="81">
        <v>1020000</v>
      </c>
      <c r="AD17" s="61" t="s">
        <v>56</v>
      </c>
    </row>
    <row r="18" spans="1:32" ht="21" customHeight="1">
      <c r="A18" s="50"/>
      <c r="B18" s="51"/>
      <c r="C18" s="303"/>
      <c r="D18" s="53"/>
      <c r="E18" s="53"/>
      <c r="F18" s="53"/>
      <c r="G18" s="53"/>
      <c r="H18" s="53"/>
      <c r="I18" s="53"/>
      <c r="J18" s="53"/>
      <c r="K18" s="53"/>
      <c r="L18" s="54"/>
      <c r="M18" s="36"/>
      <c r="N18" s="224" t="s">
        <v>264</v>
      </c>
      <c r="O18" s="228"/>
      <c r="P18" s="229"/>
      <c r="Q18" s="229"/>
      <c r="R18" s="292"/>
      <c r="S18" s="292"/>
      <c r="T18" s="293"/>
      <c r="U18" s="292"/>
      <c r="V18" s="292"/>
      <c r="W18" s="293"/>
      <c r="X18" s="292"/>
      <c r="Y18" s="292"/>
      <c r="Z18" s="292"/>
      <c r="AA18" s="292"/>
      <c r="AB18" s="81"/>
      <c r="AC18" s="81">
        <v>850000</v>
      </c>
      <c r="AD18" s="61" t="s">
        <v>56</v>
      </c>
    </row>
    <row r="19" spans="1:32" ht="21" customHeight="1">
      <c r="A19" s="62"/>
      <c r="B19" s="63"/>
      <c r="C19" s="63"/>
      <c r="D19" s="74"/>
      <c r="E19" s="74"/>
      <c r="F19" s="74"/>
      <c r="G19" s="74"/>
      <c r="H19" s="74"/>
      <c r="I19" s="74"/>
      <c r="J19" s="74"/>
      <c r="K19" s="74"/>
      <c r="L19" s="54"/>
      <c r="M19" s="35"/>
      <c r="N19" s="384"/>
      <c r="O19" s="209"/>
      <c r="P19" s="208"/>
      <c r="Q19" s="208"/>
      <c r="R19" s="82"/>
      <c r="S19" s="83"/>
      <c r="T19" s="230"/>
      <c r="U19" s="88"/>
      <c r="V19" s="231"/>
      <c r="W19" s="232"/>
      <c r="X19" s="220"/>
      <c r="Y19" s="220"/>
      <c r="Z19" s="220"/>
      <c r="AA19" s="383"/>
      <c r="AB19" s="81"/>
      <c r="AC19" s="81"/>
      <c r="AD19" s="61"/>
    </row>
    <row r="20" spans="1:32" ht="21" customHeight="1" thickBot="1">
      <c r="A20" s="50" t="s">
        <v>240</v>
      </c>
      <c r="B20" s="51" t="s">
        <v>240</v>
      </c>
      <c r="C20" s="51" t="s">
        <v>241</v>
      </c>
      <c r="D20" s="53">
        <v>600</v>
      </c>
      <c r="E20" s="53">
        <f>I20</f>
        <v>300</v>
      </c>
      <c r="F20" s="53"/>
      <c r="G20" s="53"/>
      <c r="H20" s="53"/>
      <c r="I20" s="53">
        <f>AC20/1000</f>
        <v>300</v>
      </c>
      <c r="J20" s="53"/>
      <c r="K20" s="53"/>
      <c r="L20" s="43">
        <f>E20-D20</f>
        <v>-300</v>
      </c>
      <c r="M20" s="44">
        <f>IF(D20=0,0,L20/D20)</f>
        <v>-0.5</v>
      </c>
      <c r="N20" s="45" t="s">
        <v>237</v>
      </c>
      <c r="O20" s="259"/>
      <c r="P20" s="208"/>
      <c r="Q20" s="208"/>
      <c r="R20" s="82"/>
      <c r="S20" s="83"/>
      <c r="T20" s="230"/>
      <c r="U20" s="88"/>
      <c r="V20" s="106" t="s">
        <v>68</v>
      </c>
      <c r="W20" s="106"/>
      <c r="X20" s="106"/>
      <c r="Y20" s="106"/>
      <c r="Z20" s="106"/>
      <c r="AA20" s="106"/>
      <c r="AB20" s="107"/>
      <c r="AC20" s="107">
        <f>SUM(AC21:AC22)</f>
        <v>300000</v>
      </c>
      <c r="AD20" s="108" t="s">
        <v>24</v>
      </c>
    </row>
    <row r="21" spans="1:32" s="12" customFormat="1" ht="19.5" customHeight="1">
      <c r="A21" s="50"/>
      <c r="B21" s="51"/>
      <c r="C21" s="51" t="s">
        <v>240</v>
      </c>
      <c r="D21" s="53"/>
      <c r="E21" s="53"/>
      <c r="F21" s="53"/>
      <c r="G21" s="53"/>
      <c r="H21" s="53"/>
      <c r="I21" s="53"/>
      <c r="J21" s="53"/>
      <c r="K21" s="53"/>
      <c r="L21" s="54"/>
      <c r="M21" s="35"/>
      <c r="N21" s="254" t="s">
        <v>239</v>
      </c>
      <c r="O21" s="209"/>
      <c r="P21" s="208"/>
      <c r="Q21" s="208"/>
      <c r="R21" s="82"/>
      <c r="S21" s="83"/>
      <c r="T21" s="230"/>
      <c r="U21" s="88"/>
      <c r="V21" s="231"/>
      <c r="W21" s="232"/>
      <c r="X21" s="220"/>
      <c r="Y21" s="220"/>
      <c r="Z21" s="220"/>
      <c r="AA21" s="253"/>
      <c r="AB21" s="81"/>
      <c r="AC21" s="81">
        <v>300000</v>
      </c>
      <c r="AD21" s="61" t="s">
        <v>236</v>
      </c>
    </row>
    <row r="22" spans="1:32" ht="21" customHeight="1">
      <c r="A22" s="50"/>
      <c r="B22" s="51"/>
      <c r="C22" s="51"/>
      <c r="D22" s="53"/>
      <c r="E22" s="53"/>
      <c r="F22" s="53"/>
      <c r="G22" s="53"/>
      <c r="H22" s="53"/>
      <c r="I22" s="53"/>
      <c r="J22" s="53"/>
      <c r="K22" s="53"/>
      <c r="L22" s="54"/>
      <c r="M22" s="84"/>
      <c r="N22" s="212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212"/>
      <c r="AB22" s="55"/>
      <c r="AC22" s="109"/>
      <c r="AD22" s="61"/>
      <c r="AE22" s="24"/>
    </row>
    <row r="23" spans="1:32" ht="21" customHeight="1" thickBot="1">
      <c r="A23" s="40" t="s">
        <v>13</v>
      </c>
      <c r="B23" s="41" t="s">
        <v>13</v>
      </c>
      <c r="C23" s="41" t="s">
        <v>75</v>
      </c>
      <c r="D23" s="42">
        <v>0</v>
      </c>
      <c r="E23" s="42">
        <f>SUM(F23:K23)</f>
        <v>4884.6099999999997</v>
      </c>
      <c r="F23" s="42">
        <f>ROUND(SUM(AC24),-3)/1000</f>
        <v>11</v>
      </c>
      <c r="G23" s="42">
        <f>AC25/1000</f>
        <v>10</v>
      </c>
      <c r="H23" s="42">
        <f>AC26/1000</f>
        <v>4000</v>
      </c>
      <c r="I23" s="42">
        <f>AC28/1000</f>
        <v>500</v>
      </c>
      <c r="J23" s="42"/>
      <c r="K23" s="42">
        <f>AC27/1000</f>
        <v>363.61</v>
      </c>
      <c r="L23" s="43">
        <f>E23-D23</f>
        <v>4884.6099999999997</v>
      </c>
      <c r="M23" s="44">
        <f>IF(D23=0,0,L23/D23)</f>
        <v>0</v>
      </c>
      <c r="N23" s="45" t="s">
        <v>238</v>
      </c>
      <c r="O23" s="105"/>
      <c r="P23" s="47"/>
      <c r="Q23" s="47"/>
      <c r="R23" s="47"/>
      <c r="S23" s="47"/>
      <c r="T23" s="47"/>
      <c r="U23" s="47"/>
      <c r="V23" s="106" t="s">
        <v>68</v>
      </c>
      <c r="W23" s="106"/>
      <c r="X23" s="106"/>
      <c r="Y23" s="106"/>
      <c r="Z23" s="106"/>
      <c r="AA23" s="106"/>
      <c r="AB23" s="107"/>
      <c r="AC23" s="107">
        <f>SUM(AC24:AC28)</f>
        <v>4884841</v>
      </c>
      <c r="AD23" s="108" t="s">
        <v>24</v>
      </c>
      <c r="AE23" s="23"/>
      <c r="AF23" s="24"/>
    </row>
    <row r="24" spans="1:32" ht="21" customHeight="1">
      <c r="A24" s="50"/>
      <c r="B24" s="51"/>
      <c r="C24" s="51" t="s">
        <v>268</v>
      </c>
      <c r="D24" s="53"/>
      <c r="E24" s="53"/>
      <c r="F24" s="53"/>
      <c r="G24" s="53"/>
      <c r="H24" s="53"/>
      <c r="I24" s="53"/>
      <c r="J24" s="53"/>
      <c r="K24" s="53"/>
      <c r="L24" s="54"/>
      <c r="M24" s="84"/>
      <c r="N24" s="80" t="s">
        <v>375</v>
      </c>
      <c r="O24" s="159"/>
      <c r="P24" s="158"/>
      <c r="Q24" s="158"/>
      <c r="R24" s="158"/>
      <c r="S24" s="158"/>
      <c r="T24" s="158"/>
      <c r="U24" s="158"/>
      <c r="V24" s="58"/>
      <c r="W24" s="58"/>
      <c r="X24" s="58"/>
      <c r="Y24" s="158"/>
      <c r="Z24" s="158"/>
      <c r="AA24" s="158"/>
      <c r="AB24" s="81"/>
      <c r="AC24" s="81">
        <v>11231</v>
      </c>
      <c r="AD24" s="61" t="s">
        <v>145</v>
      </c>
      <c r="AE24" s="23"/>
      <c r="AF24" s="24"/>
    </row>
    <row r="25" spans="1:32" ht="21" customHeight="1">
      <c r="A25" s="50"/>
      <c r="B25" s="391"/>
      <c r="C25" s="391"/>
      <c r="D25" s="53"/>
      <c r="E25" s="53"/>
      <c r="F25" s="53"/>
      <c r="G25" s="53"/>
      <c r="H25" s="53"/>
      <c r="I25" s="53"/>
      <c r="J25" s="53"/>
      <c r="K25" s="53"/>
      <c r="L25" s="54"/>
      <c r="M25" s="84"/>
      <c r="N25" s="80" t="s">
        <v>376</v>
      </c>
      <c r="O25" s="397"/>
      <c r="P25" s="396"/>
      <c r="Q25" s="396"/>
      <c r="R25" s="396"/>
      <c r="S25" s="396"/>
      <c r="T25" s="396"/>
      <c r="U25" s="396"/>
      <c r="V25" s="58"/>
      <c r="W25" s="58"/>
      <c r="X25" s="58"/>
      <c r="Y25" s="396"/>
      <c r="Z25" s="396"/>
      <c r="AA25" s="396"/>
      <c r="AB25" s="81"/>
      <c r="AC25" s="81">
        <v>10000</v>
      </c>
      <c r="AD25" s="61" t="s">
        <v>377</v>
      </c>
      <c r="AE25" s="23"/>
      <c r="AF25" s="24"/>
    </row>
    <row r="26" spans="1:32" ht="21" customHeight="1">
      <c r="A26" s="50"/>
      <c r="B26" s="51"/>
      <c r="C26" s="51"/>
      <c r="D26" s="53"/>
      <c r="E26" s="53"/>
      <c r="F26" s="53"/>
      <c r="G26" s="53"/>
      <c r="H26" s="53"/>
      <c r="I26" s="53"/>
      <c r="J26" s="53"/>
      <c r="K26" s="53"/>
      <c r="L26" s="54"/>
      <c r="M26" s="84"/>
      <c r="N26" s="80" t="s">
        <v>398</v>
      </c>
      <c r="O26" s="159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>
        <v>4000000</v>
      </c>
      <c r="AD26" s="61" t="s">
        <v>145</v>
      </c>
      <c r="AE26" s="23"/>
      <c r="AF26" s="24"/>
    </row>
    <row r="27" spans="1:32" ht="21" customHeight="1">
      <c r="A27" s="50"/>
      <c r="B27" s="51"/>
      <c r="C27" s="51"/>
      <c r="D27" s="53"/>
      <c r="E27" s="53"/>
      <c r="F27" s="53"/>
      <c r="G27" s="53"/>
      <c r="H27" s="53"/>
      <c r="I27" s="53"/>
      <c r="J27" s="53"/>
      <c r="K27" s="53"/>
      <c r="L27" s="54"/>
      <c r="M27" s="84"/>
      <c r="N27" s="80" t="s">
        <v>399</v>
      </c>
      <c r="O27" s="159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>
        <v>363610</v>
      </c>
      <c r="AD27" s="61" t="s">
        <v>145</v>
      </c>
      <c r="AE27" s="23"/>
      <c r="AF27" s="24"/>
    </row>
    <row r="28" spans="1:32" ht="21" customHeight="1">
      <c r="A28" s="50"/>
      <c r="B28" s="51"/>
      <c r="C28" s="51"/>
      <c r="D28" s="53"/>
      <c r="E28" s="53"/>
      <c r="F28" s="53"/>
      <c r="G28" s="53"/>
      <c r="H28" s="53"/>
      <c r="I28" s="53"/>
      <c r="J28" s="53"/>
      <c r="K28" s="53"/>
      <c r="L28" s="54"/>
      <c r="M28" s="84"/>
      <c r="N28" s="80" t="s">
        <v>400</v>
      </c>
      <c r="O28" s="265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>
        <v>500000</v>
      </c>
      <c r="AD28" s="61" t="s">
        <v>56</v>
      </c>
      <c r="AE28" s="23"/>
      <c r="AF28" s="24"/>
    </row>
    <row r="29" spans="1:32" s="4" customFormat="1" ht="21" customHeight="1">
      <c r="A29" s="62"/>
      <c r="B29" s="51"/>
      <c r="C29" s="51"/>
      <c r="D29" s="53"/>
      <c r="E29" s="53"/>
      <c r="F29" s="53"/>
      <c r="G29" s="53"/>
      <c r="H29" s="53"/>
      <c r="I29" s="53"/>
      <c r="J29" s="53"/>
      <c r="K29" s="53"/>
      <c r="L29" s="54"/>
      <c r="M29" s="84"/>
      <c r="N29" s="80"/>
      <c r="O29" s="159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61"/>
      <c r="AE29" s="257"/>
      <c r="AF29" s="258"/>
    </row>
    <row r="30" spans="1:32" ht="21" customHeight="1" thickBot="1">
      <c r="A30" s="50" t="s">
        <v>76</v>
      </c>
      <c r="B30" s="103" t="s">
        <v>15</v>
      </c>
      <c r="C30" s="329" t="s">
        <v>77</v>
      </c>
      <c r="D30" s="328">
        <f>D31+D35</f>
        <v>61</v>
      </c>
      <c r="E30" s="42">
        <f>SUM(E31,E35)</f>
        <v>40</v>
      </c>
      <c r="F30" s="42">
        <f>SUM(F31,F35)</f>
        <v>0</v>
      </c>
      <c r="G30" s="42">
        <f>SUM(G31,G35)</f>
        <v>0</v>
      </c>
      <c r="H30" s="42">
        <f>SUM(H31,H35)</f>
        <v>40</v>
      </c>
      <c r="I30" s="42">
        <f>I31+I35</f>
        <v>0</v>
      </c>
      <c r="J30" s="42">
        <f>J31+J35</f>
        <v>0</v>
      </c>
      <c r="K30" s="42">
        <f>SUM(K31,K35)</f>
        <v>0</v>
      </c>
      <c r="L30" s="327">
        <f>E30-D30</f>
        <v>-21</v>
      </c>
      <c r="M30" s="44">
        <f>IF(D30=0,0,L30/D30)</f>
        <v>-0.34426229508196721</v>
      </c>
      <c r="N30" s="45" t="s">
        <v>78</v>
      </c>
      <c r="O30" s="105"/>
      <c r="P30" s="47"/>
      <c r="Q30" s="47"/>
      <c r="R30" s="47"/>
      <c r="S30" s="47"/>
      <c r="T30" s="47"/>
      <c r="U30" s="47"/>
      <c r="V30" s="106" t="s">
        <v>112</v>
      </c>
      <c r="W30" s="106"/>
      <c r="X30" s="106"/>
      <c r="Y30" s="106"/>
      <c r="Z30" s="106"/>
      <c r="AA30" s="106"/>
      <c r="AB30" s="107"/>
      <c r="AC30" s="107">
        <f>AC31+AC35</f>
        <v>40000</v>
      </c>
      <c r="AD30" s="108" t="s">
        <v>24</v>
      </c>
      <c r="AE30" s="23"/>
      <c r="AF30" s="24"/>
    </row>
    <row r="31" spans="1:32" ht="21" customHeight="1">
      <c r="A31" s="50"/>
      <c r="B31" s="51"/>
      <c r="C31" s="51" t="s">
        <v>115</v>
      </c>
      <c r="D31" s="53">
        <v>41</v>
      </c>
      <c r="E31" s="42">
        <f>SUM(F31:K31)</f>
        <v>20</v>
      </c>
      <c r="F31" s="42">
        <f>0/1000</f>
        <v>0</v>
      </c>
      <c r="G31" s="42">
        <v>0</v>
      </c>
      <c r="H31" s="42">
        <f>(AC32+AC33)/1000</f>
        <v>20</v>
      </c>
      <c r="I31" s="42">
        <v>0</v>
      </c>
      <c r="J31" s="42">
        <v>0</v>
      </c>
      <c r="K31" s="42">
        <f>(AC34)/1000</f>
        <v>0</v>
      </c>
      <c r="L31" s="54">
        <f>E31-D31</f>
        <v>-21</v>
      </c>
      <c r="M31" s="44">
        <f>IF(D31=0,0,L31/D31)</f>
        <v>-0.51219512195121952</v>
      </c>
      <c r="N31" s="326" t="s">
        <v>79</v>
      </c>
      <c r="O31" s="37"/>
      <c r="P31" s="38"/>
      <c r="Q31" s="38"/>
      <c r="R31" s="38"/>
      <c r="S31" s="38"/>
      <c r="T31" s="38"/>
      <c r="U31" s="38"/>
      <c r="V31" s="177" t="s">
        <v>113</v>
      </c>
      <c r="W31" s="193"/>
      <c r="X31" s="193"/>
      <c r="Y31" s="193"/>
      <c r="Z31" s="193"/>
      <c r="AA31" s="193"/>
      <c r="AB31" s="401"/>
      <c r="AC31" s="401">
        <f>AC32+AC33+AC34</f>
        <v>20000</v>
      </c>
      <c r="AD31" s="194" t="s">
        <v>24</v>
      </c>
      <c r="AE31" s="23"/>
      <c r="AF31" s="24"/>
    </row>
    <row r="32" spans="1:32" s="4" customFormat="1" ht="21" customHeight="1">
      <c r="A32" s="50"/>
      <c r="B32" s="315"/>
      <c r="C32" s="315" t="s">
        <v>116</v>
      </c>
      <c r="D32" s="53"/>
      <c r="E32" s="53"/>
      <c r="F32" s="53"/>
      <c r="G32" s="53"/>
      <c r="H32" s="53"/>
      <c r="I32" s="53"/>
      <c r="J32" s="53"/>
      <c r="K32" s="53"/>
      <c r="L32" s="54"/>
      <c r="M32" s="36"/>
      <c r="N32" s="80" t="s">
        <v>367</v>
      </c>
      <c r="O32" s="209"/>
      <c r="P32" s="208"/>
      <c r="Q32" s="208"/>
      <c r="R32" s="208"/>
      <c r="S32" s="208"/>
      <c r="T32" s="208"/>
      <c r="U32" s="208"/>
      <c r="V32" s="210"/>
      <c r="W32" s="208"/>
      <c r="X32" s="208"/>
      <c r="Y32" s="208"/>
      <c r="Z32" s="208"/>
      <c r="AA32" s="208"/>
      <c r="AB32" s="56"/>
      <c r="AC32" s="56">
        <v>20000</v>
      </c>
      <c r="AD32" s="39" t="s">
        <v>296</v>
      </c>
      <c r="AE32" s="7"/>
    </row>
    <row r="33" spans="1:31" ht="21" customHeight="1">
      <c r="A33" s="50"/>
      <c r="B33" s="315"/>
      <c r="C33" s="315"/>
      <c r="D33" s="53"/>
      <c r="E33" s="53"/>
      <c r="F33" s="53"/>
      <c r="G33" s="53"/>
      <c r="H33" s="53"/>
      <c r="I33" s="53"/>
      <c r="J33" s="53"/>
      <c r="K33" s="53"/>
      <c r="L33" s="54"/>
      <c r="M33" s="36"/>
      <c r="N33" s="80"/>
      <c r="O33" s="209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56"/>
      <c r="AC33" s="56"/>
      <c r="AD33" s="39"/>
    </row>
    <row r="34" spans="1:31" ht="21" customHeight="1">
      <c r="A34" s="50"/>
      <c r="B34" s="315"/>
      <c r="C34" s="315"/>
      <c r="D34" s="53"/>
      <c r="E34" s="53"/>
      <c r="F34" s="53"/>
      <c r="G34" s="74"/>
      <c r="H34" s="53"/>
      <c r="I34" s="53"/>
      <c r="J34" s="53"/>
      <c r="K34" s="53"/>
      <c r="L34" s="54"/>
      <c r="M34" s="36"/>
      <c r="N34" s="80"/>
      <c r="O34" s="209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56"/>
      <c r="AC34" s="56"/>
      <c r="AD34" s="39"/>
    </row>
    <row r="35" spans="1:31" ht="21" customHeight="1" thickBot="1">
      <c r="A35" s="50"/>
      <c r="B35" s="51"/>
      <c r="C35" s="41" t="s">
        <v>114</v>
      </c>
      <c r="D35" s="42">
        <v>20</v>
      </c>
      <c r="E35" s="42">
        <f>SUM(F35:K35)</f>
        <v>20</v>
      </c>
      <c r="F35" s="42">
        <v>0</v>
      </c>
      <c r="G35" s="42">
        <v>0</v>
      </c>
      <c r="H35" s="42">
        <f>AC36/1000</f>
        <v>20</v>
      </c>
      <c r="I35" s="42">
        <f>AC37/1000</f>
        <v>0</v>
      </c>
      <c r="J35" s="42">
        <f>AC38/1000</f>
        <v>0</v>
      </c>
      <c r="K35" s="42">
        <v>0</v>
      </c>
      <c r="L35" s="43">
        <f>E35-D35</f>
        <v>0</v>
      </c>
      <c r="M35" s="44">
        <f>IF(D35=0,0,L35/D35)</f>
        <v>0</v>
      </c>
      <c r="N35" s="330" t="s">
        <v>30</v>
      </c>
      <c r="O35" s="110"/>
      <c r="P35" s="38"/>
      <c r="Q35" s="38"/>
      <c r="R35" s="38"/>
      <c r="S35" s="38"/>
      <c r="T35" s="38"/>
      <c r="U35" s="38"/>
      <c r="V35" s="331" t="s">
        <v>113</v>
      </c>
      <c r="W35" s="331"/>
      <c r="X35" s="331"/>
      <c r="Y35" s="331"/>
      <c r="Z35" s="331"/>
      <c r="AA35" s="331"/>
      <c r="AB35" s="332"/>
      <c r="AC35" s="332">
        <f>AC36+AC37+AC38</f>
        <v>20000</v>
      </c>
      <c r="AD35" s="333" t="s">
        <v>24</v>
      </c>
    </row>
    <row r="36" spans="1:31" ht="21" customHeight="1">
      <c r="A36" s="50"/>
      <c r="B36" s="315"/>
      <c r="C36" s="315" t="s">
        <v>15</v>
      </c>
      <c r="D36" s="53"/>
      <c r="E36" s="53"/>
      <c r="F36" s="53"/>
      <c r="G36" s="53"/>
      <c r="H36" s="53"/>
      <c r="I36" s="53"/>
      <c r="J36" s="53"/>
      <c r="K36" s="53"/>
      <c r="L36" s="54"/>
      <c r="M36" s="36"/>
      <c r="N36" s="325" t="s">
        <v>297</v>
      </c>
      <c r="O36" s="209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56"/>
      <c r="AC36" s="56">
        <v>20000</v>
      </c>
      <c r="AD36" s="39" t="s">
        <v>24</v>
      </c>
    </row>
    <row r="37" spans="1:31" ht="21" customHeight="1">
      <c r="A37" s="50"/>
      <c r="B37" s="315"/>
      <c r="C37" s="315"/>
      <c r="D37" s="53"/>
      <c r="E37" s="53"/>
      <c r="F37" s="53"/>
      <c r="G37" s="53"/>
      <c r="H37" s="53"/>
      <c r="I37" s="53"/>
      <c r="J37" s="53"/>
      <c r="K37" s="53"/>
      <c r="L37" s="54"/>
      <c r="M37" s="36"/>
      <c r="N37" s="325"/>
      <c r="O37" s="209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56"/>
      <c r="AC37" s="56"/>
      <c r="AD37" s="39"/>
    </row>
    <row r="38" spans="1:31" ht="21" customHeight="1">
      <c r="A38" s="50"/>
      <c r="B38" s="315"/>
      <c r="C38" s="315"/>
      <c r="D38" s="53"/>
      <c r="E38" s="53"/>
      <c r="F38" s="53"/>
      <c r="G38" s="53"/>
      <c r="H38" s="53"/>
      <c r="I38" s="53"/>
      <c r="J38" s="53"/>
      <c r="K38" s="53"/>
      <c r="L38" s="54"/>
      <c r="M38" s="36"/>
      <c r="N38" s="325"/>
      <c r="O38" s="209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56"/>
      <c r="AC38" s="56"/>
      <c r="AD38" s="39"/>
    </row>
    <row r="39" spans="1:31" ht="21" customHeight="1" thickBot="1">
      <c r="A39" s="307"/>
      <c r="B39" s="116"/>
      <c r="C39" s="117"/>
      <c r="D39" s="118"/>
      <c r="E39" s="118"/>
      <c r="F39" s="118"/>
      <c r="G39" s="118"/>
      <c r="H39" s="118"/>
      <c r="I39" s="118"/>
      <c r="J39" s="118"/>
      <c r="K39" s="118"/>
      <c r="L39" s="119"/>
      <c r="M39" s="120"/>
      <c r="N39" s="76"/>
      <c r="O39" s="78"/>
      <c r="P39" s="78"/>
      <c r="Q39" s="78"/>
      <c r="R39" s="78"/>
      <c r="S39" s="78"/>
      <c r="T39" s="77"/>
      <c r="U39" s="78"/>
      <c r="V39" s="77"/>
      <c r="W39" s="77"/>
      <c r="X39" s="78"/>
      <c r="Y39" s="78"/>
      <c r="Z39" s="121"/>
      <c r="AA39" s="121"/>
      <c r="AB39" s="77"/>
      <c r="AC39" s="78"/>
      <c r="AD39" s="79"/>
    </row>
    <row r="40" spans="1:31" ht="21" customHeight="1"/>
    <row r="41" spans="1:31" ht="21" customHeight="1"/>
    <row r="42" spans="1:31" ht="21" customHeight="1"/>
    <row r="43" spans="1:31" ht="21" customHeight="1"/>
    <row r="44" spans="1:31" ht="21" customHeight="1"/>
    <row r="45" spans="1:31" ht="21" customHeight="1"/>
    <row r="46" spans="1:31" ht="21" customHeight="1"/>
    <row r="47" spans="1:31" ht="21" customHeight="1"/>
    <row r="48" spans="1:31" s="12" customFormat="1" ht="19.5" customHeight="1">
      <c r="A48" s="8"/>
      <c r="B48" s="8"/>
      <c r="C48" s="8"/>
      <c r="D48" s="10"/>
      <c r="E48" s="10"/>
      <c r="F48" s="10"/>
      <c r="G48" s="10"/>
      <c r="H48" s="10"/>
      <c r="I48" s="10"/>
      <c r="J48" s="10"/>
      <c r="K48" s="10"/>
      <c r="L48" s="11"/>
      <c r="M48" s="13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6"/>
    </row>
    <row r="49" spans="1:31" ht="21" customHeight="1"/>
    <row r="50" spans="1:31" ht="21" customHeight="1"/>
    <row r="51" spans="1:31" ht="21" customHeight="1"/>
    <row r="52" spans="1:31" ht="21" customHeight="1"/>
    <row r="53" spans="1:31" s="12" customFormat="1" ht="19.5" customHeight="1">
      <c r="A53" s="8"/>
      <c r="B53" s="8"/>
      <c r="C53" s="8"/>
      <c r="D53" s="10"/>
      <c r="E53" s="10"/>
      <c r="F53" s="10"/>
      <c r="G53" s="10"/>
      <c r="H53" s="10"/>
      <c r="I53" s="10"/>
      <c r="J53" s="10"/>
      <c r="K53" s="10"/>
      <c r="L53" s="11"/>
      <c r="M53" s="13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6"/>
    </row>
    <row r="64" spans="1:31" ht="19.5" customHeight="1">
      <c r="AE64" s="6" t="s">
        <v>63</v>
      </c>
    </row>
  </sheetData>
  <mergeCells count="10">
    <mergeCell ref="A1:C1"/>
    <mergeCell ref="A2:C2"/>
    <mergeCell ref="D2:D3"/>
    <mergeCell ref="E2:K2"/>
    <mergeCell ref="A4:C4"/>
    <mergeCell ref="C10:C11"/>
    <mergeCell ref="C15:C16"/>
    <mergeCell ref="B8:C8"/>
    <mergeCell ref="L2:M2"/>
    <mergeCell ref="N2:AD3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175"/>
  <sheetViews>
    <sheetView zoomScale="85" zoomScaleNormal="85" zoomScaleSheetLayoutView="100" workbookViewId="0">
      <selection activeCell="N127" sqref="N127"/>
    </sheetView>
  </sheetViews>
  <sheetFormatPr defaultColWidth="13.77734375" defaultRowHeight="21" customHeight="1"/>
  <cols>
    <col min="1" max="1" width="6.33203125" style="22" customWidth="1"/>
    <col min="2" max="2" width="7.109375" style="22" bestFit="1" customWidth="1"/>
    <col min="3" max="3" width="8.33203125" style="22" customWidth="1"/>
    <col min="4" max="4" width="9.44140625" style="19" bestFit="1" customWidth="1"/>
    <col min="5" max="5" width="8.33203125" style="19" customWidth="1"/>
    <col min="6" max="6" width="8.109375" style="19" customWidth="1"/>
    <col min="7" max="7" width="7" style="19" customWidth="1"/>
    <col min="8" max="8" width="7.33203125" style="19" customWidth="1"/>
    <col min="9" max="9" width="7.44140625" style="19" customWidth="1"/>
    <col min="10" max="10" width="6.77734375" style="19" customWidth="1"/>
    <col min="11" max="11" width="7.21875" style="19" customWidth="1"/>
    <col min="12" max="12" width="6.109375" style="19" customWidth="1"/>
    <col min="13" max="13" width="6.5546875" style="203" customWidth="1"/>
    <col min="14" max="14" width="14.5546875" style="4" customWidth="1"/>
    <col min="15" max="15" width="3.44140625" style="4" customWidth="1"/>
    <col min="16" max="16" width="1.33203125" style="4" customWidth="1"/>
    <col min="17" max="17" width="1.44140625" style="4" hidden="1" customWidth="1"/>
    <col min="18" max="18" width="10.44140625" style="5" customWidth="1"/>
    <col min="19" max="19" width="3.44140625" style="5" customWidth="1"/>
    <col min="20" max="20" width="3.21875" style="5" customWidth="1"/>
    <col min="21" max="21" width="3.109375" style="5" customWidth="1"/>
    <col min="22" max="22" width="5" style="5" customWidth="1"/>
    <col min="23" max="23" width="4.33203125" style="5" customWidth="1"/>
    <col min="24" max="24" width="5.33203125" style="5" customWidth="1"/>
    <col min="25" max="25" width="3.44140625" style="5" customWidth="1"/>
    <col min="26" max="26" width="4.109375" style="5" customWidth="1"/>
    <col min="27" max="27" width="3.77734375" style="5" customWidth="1"/>
    <col min="28" max="28" width="1.33203125" style="5" customWidth="1"/>
    <col min="29" max="29" width="2.5546875" style="5" customWidth="1"/>
    <col min="30" max="30" width="8.77734375" style="5" customWidth="1"/>
    <col min="31" max="31" width="3.5546875" style="5" customWidth="1"/>
    <col min="32" max="32" width="11.5546875" style="4" bestFit="1" customWidth="1"/>
    <col min="33" max="118" width="13.77734375" style="4"/>
    <col min="119" max="128" width="13.77734375" style="4" customWidth="1"/>
    <col min="129" max="16384" width="13.77734375" style="4"/>
  </cols>
  <sheetData>
    <row r="1" spans="1:32" s="12" customFormat="1" ht="21" customHeight="1" thickBot="1">
      <c r="A1" s="481" t="s">
        <v>423</v>
      </c>
      <c r="B1" s="482"/>
      <c r="C1" s="482"/>
      <c r="D1" s="334"/>
      <c r="E1" s="334"/>
      <c r="F1" s="334"/>
      <c r="G1" s="334"/>
      <c r="H1" s="334"/>
      <c r="I1" s="334"/>
      <c r="J1" s="334"/>
      <c r="K1" s="334"/>
      <c r="L1" s="334"/>
      <c r="M1" s="335"/>
      <c r="N1" s="336"/>
      <c r="O1" s="336"/>
      <c r="P1" s="336"/>
      <c r="Q1" s="336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8"/>
      <c r="AF1" s="1"/>
    </row>
    <row r="2" spans="1:32" s="3" customFormat="1" ht="21" customHeight="1">
      <c r="A2" s="463" t="s">
        <v>21</v>
      </c>
      <c r="B2" s="464"/>
      <c r="C2" s="464"/>
      <c r="D2" s="465" t="s">
        <v>415</v>
      </c>
      <c r="E2" s="467" t="s">
        <v>414</v>
      </c>
      <c r="F2" s="468"/>
      <c r="G2" s="468"/>
      <c r="H2" s="468"/>
      <c r="I2" s="468"/>
      <c r="J2" s="468"/>
      <c r="K2" s="468"/>
      <c r="L2" s="455" t="s">
        <v>22</v>
      </c>
      <c r="M2" s="455"/>
      <c r="N2" s="456" t="s">
        <v>53</v>
      </c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  <c r="AD2" s="457"/>
      <c r="AE2" s="458"/>
    </row>
    <row r="3" spans="1:32" s="3" customFormat="1" ht="30.75" customHeight="1" thickBot="1">
      <c r="A3" s="25" t="s">
        <v>1</v>
      </c>
      <c r="B3" s="26" t="s">
        <v>2</v>
      </c>
      <c r="C3" s="26" t="s">
        <v>3</v>
      </c>
      <c r="D3" s="466"/>
      <c r="E3" s="313" t="s">
        <v>118</v>
      </c>
      <c r="F3" s="313" t="s">
        <v>144</v>
      </c>
      <c r="G3" s="313" t="s">
        <v>148</v>
      </c>
      <c r="H3" s="313" t="s">
        <v>109</v>
      </c>
      <c r="I3" s="313" t="s">
        <v>240</v>
      </c>
      <c r="J3" s="313" t="s">
        <v>298</v>
      </c>
      <c r="K3" s="313" t="s">
        <v>111</v>
      </c>
      <c r="L3" s="181" t="s">
        <v>119</v>
      </c>
      <c r="M3" s="122" t="s">
        <v>4</v>
      </c>
      <c r="N3" s="459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1"/>
    </row>
    <row r="4" spans="1:32" s="12" customFormat="1" ht="21" customHeight="1">
      <c r="A4" s="485" t="s">
        <v>31</v>
      </c>
      <c r="B4" s="486"/>
      <c r="C4" s="486"/>
      <c r="D4" s="190">
        <f>SUM(D5,D82,D95,D153)-2</f>
        <v>64342</v>
      </c>
      <c r="E4" s="190">
        <f>SUM(F4:K4)</f>
        <v>62750.18576</v>
      </c>
      <c r="F4" s="190">
        <f>SUM(F5,F82,F95,F153)+1</f>
        <v>48136.231</v>
      </c>
      <c r="G4" s="190">
        <f>SUM(G5,G82,G95,G153)</f>
        <v>2210</v>
      </c>
      <c r="H4" s="190">
        <f>SUM(H5,H82,H95,H153)</f>
        <v>11240.34476</v>
      </c>
      <c r="I4" s="190">
        <f>SUM(I5,I82,I95,I153,I120,I108)</f>
        <v>800</v>
      </c>
      <c r="J4" s="190">
        <f>SUM(J5,J82,J95,J153,J120)</f>
        <v>0</v>
      </c>
      <c r="K4" s="190">
        <f>SUM(K5,K82,K95,K158)</f>
        <v>363.61</v>
      </c>
      <c r="L4" s="189">
        <f>E4-D4</f>
        <v>-1591.8142399999997</v>
      </c>
      <c r="M4" s="191">
        <f>IF(D4=0,0,L4/D4)</f>
        <v>-2.4739893693077612E-2</v>
      </c>
      <c r="N4" s="373" t="s">
        <v>324</v>
      </c>
      <c r="O4" s="192"/>
      <c r="P4" s="192"/>
      <c r="Q4" s="192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>
        <f>SUM(AD5,AD82,AD95,AD153,AD158)</f>
        <v>62749841</v>
      </c>
      <c r="AE4" s="194" t="s">
        <v>24</v>
      </c>
      <c r="AF4" s="2"/>
    </row>
    <row r="5" spans="1:32" s="12" customFormat="1" ht="21" customHeight="1">
      <c r="A5" s="126" t="s">
        <v>6</v>
      </c>
      <c r="B5" s="483" t="s">
        <v>7</v>
      </c>
      <c r="C5" s="484"/>
      <c r="D5" s="187">
        <f>SUM(D6,D44,D55)</f>
        <v>41711</v>
      </c>
      <c r="E5" s="187">
        <f t="shared" ref="E5:I5" si="0">SUM(E6,E44,E55)</f>
        <v>38210.28</v>
      </c>
      <c r="F5" s="187">
        <f t="shared" si="0"/>
        <v>36998</v>
      </c>
      <c r="G5" s="187">
        <f t="shared" si="0"/>
        <v>1200</v>
      </c>
      <c r="H5" s="187">
        <f t="shared" si="0"/>
        <v>12.344760000000001</v>
      </c>
      <c r="I5" s="187">
        <f t="shared" si="0"/>
        <v>0</v>
      </c>
      <c r="J5" s="187"/>
      <c r="K5" s="187">
        <f>SUM(K6,K44,K55)</f>
        <v>0</v>
      </c>
      <c r="L5" s="123">
        <f>E5-D5</f>
        <v>-3500.7200000000012</v>
      </c>
      <c r="M5" s="195">
        <f>IF(D5=0,0,L5/D5)</f>
        <v>-8.392798062861119E-2</v>
      </c>
      <c r="N5" s="374" t="s">
        <v>371</v>
      </c>
      <c r="O5" s="209"/>
      <c r="P5" s="209"/>
      <c r="Q5" s="209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>
        <f>SUM(AD6,AD44,AD55)</f>
        <v>38210000</v>
      </c>
      <c r="AE5" s="39" t="s">
        <v>24</v>
      </c>
      <c r="AF5" s="2"/>
    </row>
    <row r="6" spans="1:32" s="12" customFormat="1" ht="21" customHeight="1">
      <c r="A6" s="50"/>
      <c r="B6" s="314" t="s">
        <v>8</v>
      </c>
      <c r="C6" s="197" t="s">
        <v>5</v>
      </c>
      <c r="D6" s="198">
        <f>SUM(D7:D43)-1</f>
        <v>33758</v>
      </c>
      <c r="E6" s="196">
        <f>SUM(E7,E12,E30,E33,E41)</f>
        <v>32763.279999999999</v>
      </c>
      <c r="F6" s="196">
        <f>F7+F12+F30+F33+F41</f>
        <v>31563.279999999999</v>
      </c>
      <c r="G6" s="196">
        <f>SUM(G7,G12,G30,G33,G41)</f>
        <v>1200</v>
      </c>
      <c r="H6" s="196">
        <f>SUM(H7,H12,H30,H33)</f>
        <v>0</v>
      </c>
      <c r="I6" s="196">
        <v>0</v>
      </c>
      <c r="J6" s="196">
        <f>SUM(J7,J12,J30,J33)</f>
        <v>0</v>
      </c>
      <c r="K6" s="196">
        <f>SUM(K7,K12,K30,K33)</f>
        <v>0</v>
      </c>
      <c r="L6" s="199">
        <f>E6-D6</f>
        <v>-994.72000000000116</v>
      </c>
      <c r="M6" s="200">
        <f>IF(D6=0,0,L6/D6)</f>
        <v>-2.9466200604301235E-2</v>
      </c>
      <c r="N6" s="375" t="s">
        <v>325</v>
      </c>
      <c r="O6" s="319"/>
      <c r="P6" s="319"/>
      <c r="Q6" s="319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>
        <f>SUM(AD7,AD12,AD30,AD33)</f>
        <v>32763280</v>
      </c>
      <c r="AE6" s="201" t="s">
        <v>24</v>
      </c>
      <c r="AF6" s="2"/>
    </row>
    <row r="7" spans="1:32" s="12" customFormat="1" ht="21" customHeight="1">
      <c r="A7" s="50"/>
      <c r="B7" s="315"/>
      <c r="C7" s="314" t="s">
        <v>32</v>
      </c>
      <c r="D7" s="184">
        <v>21370</v>
      </c>
      <c r="E7" s="128">
        <f>F7</f>
        <v>20820</v>
      </c>
      <c r="F7" s="128">
        <f>AD7/1000</f>
        <v>20820</v>
      </c>
      <c r="G7" s="128">
        <v>0</v>
      </c>
      <c r="H7" s="128">
        <v>0</v>
      </c>
      <c r="I7" s="128">
        <v>0</v>
      </c>
      <c r="J7" s="128">
        <v>0</v>
      </c>
      <c r="K7" s="128">
        <v>0</v>
      </c>
      <c r="L7" s="127">
        <f>E7-D7</f>
        <v>-550</v>
      </c>
      <c r="M7" s="133">
        <f>IF(D7=0,0,L7/D7)</f>
        <v>-2.5737014506317268E-2</v>
      </c>
      <c r="N7" s="319" t="s">
        <v>80</v>
      </c>
      <c r="O7" s="319"/>
      <c r="P7" s="211"/>
      <c r="Q7" s="211"/>
      <c r="R7" s="211"/>
      <c r="S7" s="211"/>
      <c r="T7" s="210"/>
      <c r="U7" s="210"/>
      <c r="V7" s="210"/>
      <c r="W7" s="318" t="s">
        <v>120</v>
      </c>
      <c r="X7" s="318"/>
      <c r="Y7" s="318"/>
      <c r="Z7" s="318"/>
      <c r="AA7" s="318"/>
      <c r="AB7" s="318"/>
      <c r="AC7" s="202"/>
      <c r="AD7" s="202">
        <f>SUM(AD8:AD9)</f>
        <v>20820000</v>
      </c>
      <c r="AE7" s="201" t="s">
        <v>56</v>
      </c>
      <c r="AF7" s="1"/>
    </row>
    <row r="8" spans="1:32" s="12" customFormat="1" ht="21" customHeight="1">
      <c r="A8" s="50"/>
      <c r="B8" s="315"/>
      <c r="C8" s="315"/>
      <c r="D8" s="182"/>
      <c r="E8" s="233"/>
      <c r="F8" s="233"/>
      <c r="G8" s="233"/>
      <c r="H8" s="233"/>
      <c r="I8" s="233"/>
      <c r="J8" s="233"/>
      <c r="K8" s="233"/>
      <c r="L8" s="124"/>
      <c r="M8" s="84"/>
      <c r="N8" s="82" t="s">
        <v>153</v>
      </c>
      <c r="O8" s="234">
        <v>1</v>
      </c>
      <c r="P8" s="320"/>
      <c r="Q8" s="320"/>
      <c r="R8" s="82">
        <v>1712000</v>
      </c>
      <c r="S8" s="82"/>
      <c r="T8" s="83" t="s">
        <v>149</v>
      </c>
      <c r="U8" s="83" t="s">
        <v>150</v>
      </c>
      <c r="V8" s="83">
        <v>1</v>
      </c>
      <c r="W8" s="83" t="s">
        <v>151</v>
      </c>
      <c r="X8" s="83" t="s">
        <v>150</v>
      </c>
      <c r="Y8" s="235">
        <v>6</v>
      </c>
      <c r="Z8" s="83" t="s">
        <v>28</v>
      </c>
      <c r="AA8" s="83" t="s">
        <v>152</v>
      </c>
      <c r="AB8" s="320"/>
      <c r="AC8" s="81"/>
      <c r="AD8" s="81">
        <f t="shared" ref="AD8" si="1">R8*V8*Y8</f>
        <v>10272000</v>
      </c>
      <c r="AE8" s="61" t="s">
        <v>24</v>
      </c>
      <c r="AF8" s="1"/>
    </row>
    <row r="9" spans="1:32" s="12" customFormat="1" ht="21" customHeight="1">
      <c r="A9" s="50"/>
      <c r="B9" s="358"/>
      <c r="C9" s="358"/>
      <c r="D9" s="182"/>
      <c r="E9" s="233"/>
      <c r="F9" s="233"/>
      <c r="G9" s="233"/>
      <c r="H9" s="233"/>
      <c r="I9" s="233"/>
      <c r="J9" s="233"/>
      <c r="K9" s="233"/>
      <c r="L9" s="124"/>
      <c r="M9" s="84"/>
      <c r="N9" s="82"/>
      <c r="O9" s="234">
        <v>2</v>
      </c>
      <c r="P9" s="380"/>
      <c r="Q9" s="380"/>
      <c r="R9" s="82">
        <v>1758000</v>
      </c>
      <c r="S9" s="82"/>
      <c r="T9" s="83" t="s">
        <v>87</v>
      </c>
      <c r="U9" s="83" t="s">
        <v>147</v>
      </c>
      <c r="V9" s="83">
        <v>1</v>
      </c>
      <c r="W9" s="83" t="s">
        <v>55</v>
      </c>
      <c r="X9" s="83" t="s">
        <v>147</v>
      </c>
      <c r="Y9" s="235">
        <v>6</v>
      </c>
      <c r="Z9" s="83" t="s">
        <v>28</v>
      </c>
      <c r="AA9" s="83" t="s">
        <v>73</v>
      </c>
      <c r="AB9" s="380"/>
      <c r="AC9" s="81"/>
      <c r="AD9" s="81">
        <f t="shared" ref="AD9" si="2">R9*V9*Y9</f>
        <v>10548000</v>
      </c>
      <c r="AE9" s="61" t="s">
        <v>24</v>
      </c>
      <c r="AF9" s="1"/>
    </row>
    <row r="10" spans="1:32" s="12" customFormat="1" ht="21" customHeight="1">
      <c r="A10" s="50"/>
      <c r="B10" s="358"/>
      <c r="C10" s="358"/>
      <c r="D10" s="182"/>
      <c r="E10" s="233"/>
      <c r="F10" s="233"/>
      <c r="G10" s="233"/>
      <c r="H10" s="233"/>
      <c r="I10" s="233"/>
      <c r="J10" s="233"/>
      <c r="K10" s="233"/>
      <c r="L10" s="124"/>
      <c r="M10" s="84"/>
      <c r="N10" s="82"/>
      <c r="O10" s="234"/>
      <c r="P10" s="361"/>
      <c r="Q10" s="361"/>
      <c r="R10" s="82"/>
      <c r="S10" s="82"/>
      <c r="T10" s="83"/>
      <c r="U10" s="220"/>
      <c r="V10" s="83"/>
      <c r="W10" s="83"/>
      <c r="X10" s="83"/>
      <c r="Y10" s="235"/>
      <c r="Z10" s="83"/>
      <c r="AA10" s="83"/>
      <c r="AB10" s="361"/>
      <c r="AC10" s="81"/>
      <c r="AD10" s="81"/>
      <c r="AE10" s="61"/>
      <c r="AF10" s="1"/>
    </row>
    <row r="11" spans="1:32" s="12" customFormat="1" ht="21" customHeight="1">
      <c r="A11" s="50"/>
      <c r="B11" s="315"/>
      <c r="C11" s="63"/>
      <c r="D11" s="183"/>
      <c r="E11" s="125"/>
      <c r="F11" s="125"/>
      <c r="G11" s="125"/>
      <c r="H11" s="125"/>
      <c r="I11" s="125"/>
      <c r="J11" s="125"/>
      <c r="K11" s="125"/>
      <c r="L11" s="125"/>
      <c r="M11" s="100"/>
      <c r="AE11" s="256"/>
      <c r="AF11" s="1"/>
    </row>
    <row r="12" spans="1:32" s="12" customFormat="1" ht="21" customHeight="1">
      <c r="A12" s="50"/>
      <c r="B12" s="315"/>
      <c r="C12" s="314" t="s">
        <v>33</v>
      </c>
      <c r="D12" s="184">
        <v>7066</v>
      </c>
      <c r="E12" s="128">
        <f>F12+G12+H12+K12</f>
        <v>7015.5</v>
      </c>
      <c r="F12" s="128">
        <f>SUM(명절휴가비,AD17,AD20)/1000</f>
        <v>5815.5</v>
      </c>
      <c r="G12" s="128">
        <f>SUM(AD26)/1000</f>
        <v>1200</v>
      </c>
      <c r="H12" s="128">
        <v>0</v>
      </c>
      <c r="I12" s="128">
        <v>0</v>
      </c>
      <c r="J12" s="128">
        <v>0</v>
      </c>
      <c r="K12" s="128">
        <f>SUM(연장근로수당)/1000</f>
        <v>0</v>
      </c>
      <c r="L12" s="127">
        <f>E12-D12</f>
        <v>-50.5</v>
      </c>
      <c r="M12" s="133">
        <f>IF(D12=0,0,L12/D12)</f>
        <v>-7.146900651004812E-3</v>
      </c>
      <c r="N12" s="113" t="s">
        <v>34</v>
      </c>
      <c r="O12" s="319"/>
      <c r="P12" s="211"/>
      <c r="Q12" s="211"/>
      <c r="R12" s="211"/>
      <c r="S12" s="211"/>
      <c r="T12" s="210"/>
      <c r="U12" s="210"/>
      <c r="V12" s="210"/>
      <c r="W12" s="318" t="s">
        <v>120</v>
      </c>
      <c r="X12" s="318"/>
      <c r="Y12" s="318"/>
      <c r="Z12" s="318"/>
      <c r="AA12" s="318"/>
      <c r="AB12" s="318"/>
      <c r="AC12" s="202"/>
      <c r="AD12" s="202">
        <f>SUM(AD13,AD17,AD26,AD20)</f>
        <v>7015500</v>
      </c>
      <c r="AE12" s="201" t="s">
        <v>56</v>
      </c>
      <c r="AF12" s="1"/>
    </row>
    <row r="13" spans="1:32" s="12" customFormat="1" ht="21" customHeight="1">
      <c r="A13" s="50"/>
      <c r="B13" s="315"/>
      <c r="C13" s="315"/>
      <c r="D13" s="182"/>
      <c r="E13" s="124"/>
      <c r="F13" s="124"/>
      <c r="G13" s="124"/>
      <c r="H13" s="124"/>
      <c r="I13" s="124"/>
      <c r="J13" s="124"/>
      <c r="K13" s="124"/>
      <c r="L13" s="124"/>
      <c r="M13" s="84"/>
      <c r="N13" s="317" t="s">
        <v>155</v>
      </c>
      <c r="O13" s="321"/>
      <c r="P13" s="321"/>
      <c r="Q13" s="321"/>
      <c r="R13" s="321"/>
      <c r="S13" s="321"/>
      <c r="T13" s="320"/>
      <c r="U13" s="320"/>
      <c r="V13" s="320"/>
      <c r="W13" s="316" t="s">
        <v>71</v>
      </c>
      <c r="X13" s="316"/>
      <c r="Y13" s="316"/>
      <c r="Z13" s="316"/>
      <c r="AA13" s="316"/>
      <c r="AB13" s="316"/>
      <c r="AC13" s="86" t="s">
        <v>85</v>
      </c>
      <c r="AD13" s="86">
        <f>SUM(AD14:AD15)</f>
        <v>2082000</v>
      </c>
      <c r="AE13" s="87" t="s">
        <v>56</v>
      </c>
      <c r="AF13" s="18"/>
    </row>
    <row r="14" spans="1:32" s="12" customFormat="1" ht="21" customHeight="1">
      <c r="A14" s="50"/>
      <c r="B14" s="315"/>
      <c r="C14" s="315"/>
      <c r="D14" s="182"/>
      <c r="E14" s="124"/>
      <c r="F14" s="124"/>
      <c r="G14" s="124"/>
      <c r="H14" s="124"/>
      <c r="I14" s="124"/>
      <c r="J14" s="124"/>
      <c r="K14" s="124"/>
      <c r="L14" s="124"/>
      <c r="M14" s="84"/>
      <c r="N14" s="240" t="s">
        <v>187</v>
      </c>
      <c r="O14" s="245">
        <f>O8</f>
        <v>1</v>
      </c>
      <c r="P14" s="321"/>
      <c r="Q14" s="321"/>
      <c r="R14" s="82">
        <f>R8</f>
        <v>1712000</v>
      </c>
      <c r="S14" s="82"/>
      <c r="T14" s="83" t="s">
        <v>149</v>
      </c>
      <c r="U14" s="83" t="s">
        <v>150</v>
      </c>
      <c r="V14" s="236">
        <v>1</v>
      </c>
      <c r="W14" s="83" t="s">
        <v>150</v>
      </c>
      <c r="X14" s="237">
        <v>0.6</v>
      </c>
      <c r="Y14" s="238">
        <v>1</v>
      </c>
      <c r="Z14" s="239" t="s">
        <v>154</v>
      </c>
      <c r="AA14" s="83" t="s">
        <v>152</v>
      </c>
      <c r="AB14" s="320"/>
      <c r="AC14" s="81"/>
      <c r="AD14" s="81">
        <f t="shared" ref="AD14" si="3">R14*V14*X14*Y14</f>
        <v>1027200</v>
      </c>
      <c r="AE14" s="61" t="s">
        <v>149</v>
      </c>
      <c r="AF14" s="18"/>
    </row>
    <row r="15" spans="1:32" s="12" customFormat="1" ht="21" customHeight="1">
      <c r="A15" s="50"/>
      <c r="B15" s="315"/>
      <c r="C15" s="315"/>
      <c r="D15" s="182"/>
      <c r="E15" s="124"/>
      <c r="F15" s="124"/>
      <c r="G15" s="124"/>
      <c r="H15" s="124"/>
      <c r="I15" s="124"/>
      <c r="J15" s="124"/>
      <c r="K15" s="124"/>
      <c r="L15" s="124"/>
      <c r="M15" s="84"/>
      <c r="N15" s="321" t="s">
        <v>188</v>
      </c>
      <c r="O15" s="245">
        <f>O9</f>
        <v>2</v>
      </c>
      <c r="P15" s="321"/>
      <c r="Q15" s="321"/>
      <c r="R15" s="82">
        <f>R9</f>
        <v>1758000</v>
      </c>
      <c r="S15" s="82"/>
      <c r="T15" s="83" t="s">
        <v>149</v>
      </c>
      <c r="U15" s="83" t="s">
        <v>150</v>
      </c>
      <c r="V15" s="236">
        <v>1</v>
      </c>
      <c r="W15" s="83" t="s">
        <v>150</v>
      </c>
      <c r="X15" s="237">
        <v>0.6</v>
      </c>
      <c r="Y15" s="238">
        <v>1</v>
      </c>
      <c r="Z15" s="239" t="s">
        <v>28</v>
      </c>
      <c r="AA15" s="83" t="s">
        <v>152</v>
      </c>
      <c r="AB15" s="320"/>
      <c r="AC15" s="81"/>
      <c r="AD15" s="81">
        <f>R15*V15*X15*Y15</f>
        <v>1054800</v>
      </c>
      <c r="AE15" s="61" t="s">
        <v>149</v>
      </c>
      <c r="AF15" s="18"/>
    </row>
    <row r="16" spans="1:32" s="12" customFormat="1" ht="21" customHeight="1">
      <c r="A16" s="50"/>
      <c r="B16" s="315"/>
      <c r="C16" s="315"/>
      <c r="D16" s="182"/>
      <c r="E16" s="124"/>
      <c r="F16" s="124"/>
      <c r="G16" s="124"/>
      <c r="H16" s="124"/>
      <c r="I16" s="124"/>
      <c r="J16" s="124"/>
      <c r="K16" s="124"/>
      <c r="L16" s="124"/>
      <c r="M16" s="84"/>
      <c r="N16" s="321"/>
      <c r="O16" s="245"/>
      <c r="P16" s="321"/>
      <c r="Q16" s="321"/>
      <c r="R16" s="82"/>
      <c r="S16" s="82"/>
      <c r="T16" s="83"/>
      <c r="U16" s="83"/>
      <c r="V16" s="236"/>
      <c r="W16" s="83"/>
      <c r="X16" s="237"/>
      <c r="Y16" s="238"/>
      <c r="Z16" s="239"/>
      <c r="AA16" s="83"/>
      <c r="AB16" s="320"/>
      <c r="AC16" s="81"/>
      <c r="AD16" s="81"/>
      <c r="AE16" s="61"/>
      <c r="AF16" s="18"/>
    </row>
    <row r="17" spans="1:32" s="12" customFormat="1" ht="21" customHeight="1">
      <c r="A17" s="50"/>
      <c r="B17" s="315"/>
      <c r="C17" s="315"/>
      <c r="D17" s="182"/>
      <c r="E17" s="124"/>
      <c r="F17" s="124"/>
      <c r="G17" s="124"/>
      <c r="H17" s="124"/>
      <c r="I17" s="124"/>
      <c r="J17" s="124"/>
      <c r="K17" s="124"/>
      <c r="L17" s="124"/>
      <c r="M17" s="84"/>
      <c r="N17" s="317" t="s">
        <v>186</v>
      </c>
      <c r="O17" s="245"/>
      <c r="P17" s="321"/>
      <c r="Q17" s="321"/>
      <c r="R17" s="82"/>
      <c r="S17" s="82"/>
      <c r="T17" s="83"/>
      <c r="U17" s="83"/>
      <c r="V17" s="236"/>
      <c r="W17" s="316" t="s">
        <v>71</v>
      </c>
      <c r="X17" s="316"/>
      <c r="Y17" s="316"/>
      <c r="Z17" s="316"/>
      <c r="AA17" s="316"/>
      <c r="AB17" s="316"/>
      <c r="AC17" s="86" t="s">
        <v>61</v>
      </c>
      <c r="AD17" s="86">
        <f>SUM(AD18:AD18)</f>
        <v>0</v>
      </c>
      <c r="AE17" s="87" t="s">
        <v>56</v>
      </c>
      <c r="AF17" s="18"/>
    </row>
    <row r="18" spans="1:32" s="12" customFormat="1" ht="21" customHeight="1">
      <c r="A18" s="50"/>
      <c r="B18" s="315"/>
      <c r="C18" s="315"/>
      <c r="D18" s="182"/>
      <c r="E18" s="124"/>
      <c r="F18" s="124"/>
      <c r="G18" s="124"/>
      <c r="H18" s="124"/>
      <c r="I18" s="124"/>
      <c r="J18" s="124"/>
      <c r="K18" s="124"/>
      <c r="L18" s="124"/>
      <c r="M18" s="84"/>
      <c r="N18" s="321" t="s">
        <v>272</v>
      </c>
      <c r="O18" s="245"/>
      <c r="P18" s="321"/>
      <c r="Q18" s="321"/>
      <c r="R18" s="82">
        <v>0</v>
      </c>
      <c r="S18" s="82"/>
      <c r="T18" s="83" t="s">
        <v>189</v>
      </c>
      <c r="U18" s="83"/>
      <c r="V18" s="236"/>
      <c r="W18" s="83"/>
      <c r="X18" s="237"/>
      <c r="Y18" s="238">
        <v>0</v>
      </c>
      <c r="Z18" s="239" t="s">
        <v>190</v>
      </c>
      <c r="AA18" s="83"/>
      <c r="AB18" s="320"/>
      <c r="AC18" s="81"/>
      <c r="AD18" s="81">
        <f>R18*Y18</f>
        <v>0</v>
      </c>
      <c r="AE18" s="61" t="s">
        <v>191</v>
      </c>
      <c r="AF18" s="18"/>
    </row>
    <row r="19" spans="1:32" s="12" customFormat="1" ht="21" customHeight="1">
      <c r="A19" s="50"/>
      <c r="B19" s="358"/>
      <c r="C19" s="358"/>
      <c r="D19" s="182"/>
      <c r="E19" s="124"/>
      <c r="F19" s="124"/>
      <c r="G19" s="124"/>
      <c r="H19" s="124"/>
      <c r="I19" s="124"/>
      <c r="J19" s="124"/>
      <c r="K19" s="124"/>
      <c r="L19" s="124"/>
      <c r="M19" s="84"/>
      <c r="N19" s="362"/>
      <c r="O19" s="245"/>
      <c r="P19" s="362"/>
      <c r="Q19" s="362"/>
      <c r="R19" s="82"/>
      <c r="S19" s="82"/>
      <c r="T19" s="83"/>
      <c r="U19" s="83"/>
      <c r="V19" s="236"/>
      <c r="W19" s="83"/>
      <c r="X19" s="237"/>
      <c r="Y19" s="238"/>
      <c r="Z19" s="239"/>
      <c r="AA19" s="83"/>
      <c r="AB19" s="361"/>
      <c r="AC19" s="81"/>
      <c r="AD19" s="81"/>
      <c r="AE19" s="61"/>
      <c r="AF19" s="18"/>
    </row>
    <row r="20" spans="1:32" s="12" customFormat="1" ht="21" customHeight="1">
      <c r="A20" s="50"/>
      <c r="B20" s="358"/>
      <c r="C20" s="358"/>
      <c r="D20" s="182"/>
      <c r="E20" s="124"/>
      <c r="F20" s="124"/>
      <c r="G20" s="124"/>
      <c r="H20" s="124"/>
      <c r="I20" s="124"/>
      <c r="J20" s="124"/>
      <c r="K20" s="124"/>
      <c r="L20" s="124"/>
      <c r="M20" s="84"/>
      <c r="N20" s="85" t="s">
        <v>315</v>
      </c>
      <c r="O20" s="245"/>
      <c r="P20" s="362"/>
      <c r="Q20" s="362"/>
      <c r="R20" s="82"/>
      <c r="S20" s="82"/>
      <c r="T20" s="83"/>
      <c r="U20" s="83"/>
      <c r="V20" s="236"/>
      <c r="W20" s="359" t="s">
        <v>71</v>
      </c>
      <c r="X20" s="359"/>
      <c r="Y20" s="359"/>
      <c r="Z20" s="359"/>
      <c r="AA20" s="359"/>
      <c r="AB20" s="359"/>
      <c r="AC20" s="86" t="s">
        <v>61</v>
      </c>
      <c r="AD20" s="86">
        <f>SUM(AD21:AD22)</f>
        <v>3733500</v>
      </c>
      <c r="AE20" s="87" t="s">
        <v>56</v>
      </c>
      <c r="AF20" s="18"/>
    </row>
    <row r="21" spans="1:32" s="12" customFormat="1" ht="21" customHeight="1">
      <c r="A21" s="50"/>
      <c r="B21" s="358"/>
      <c r="C21" s="358"/>
      <c r="D21" s="182"/>
      <c r="E21" s="124"/>
      <c r="F21" s="124"/>
      <c r="G21" s="124"/>
      <c r="H21" s="124"/>
      <c r="I21" s="124"/>
      <c r="J21" s="124"/>
      <c r="K21" s="124"/>
      <c r="L21" s="124"/>
      <c r="M21" s="84"/>
      <c r="N21" s="362"/>
      <c r="O21" s="245" t="s">
        <v>316</v>
      </c>
      <c r="P21" s="362"/>
      <c r="Q21" s="362"/>
      <c r="R21" s="82">
        <f>R8</f>
        <v>1712000</v>
      </c>
      <c r="S21" s="83" t="s">
        <v>56</v>
      </c>
      <c r="T21" s="83" t="s">
        <v>57</v>
      </c>
      <c r="U21" s="230">
        <v>25</v>
      </c>
      <c r="V21" s="88" t="s">
        <v>57</v>
      </c>
      <c r="W21" s="231">
        <v>6</v>
      </c>
      <c r="X21" s="232">
        <v>1.5</v>
      </c>
      <c r="Y21" s="220" t="s">
        <v>72</v>
      </c>
      <c r="Z21" s="220">
        <v>209</v>
      </c>
      <c r="AA21" s="220" t="s">
        <v>52</v>
      </c>
      <c r="AB21" s="361"/>
      <c r="AC21" s="81"/>
      <c r="AD21" s="81">
        <f>ROUNDDOWN(R21*X21/Z21,-1)*W21*U21</f>
        <v>1842000</v>
      </c>
      <c r="AE21" s="61" t="s">
        <v>56</v>
      </c>
      <c r="AF21" s="18"/>
    </row>
    <row r="22" spans="1:32" s="12" customFormat="1" ht="21" customHeight="1">
      <c r="A22" s="50"/>
      <c r="B22" s="315"/>
      <c r="C22" s="315"/>
      <c r="D22" s="182"/>
      <c r="E22" s="124"/>
      <c r="F22" s="124"/>
      <c r="G22" s="124"/>
      <c r="H22" s="124"/>
      <c r="I22" s="124"/>
      <c r="J22" s="124"/>
      <c r="K22" s="124"/>
      <c r="L22" s="124"/>
      <c r="M22" s="84"/>
      <c r="N22" s="321"/>
      <c r="O22" s="245" t="s">
        <v>326</v>
      </c>
      <c r="P22" s="381"/>
      <c r="Q22" s="381"/>
      <c r="R22" s="82">
        <f>R9</f>
        <v>1758000</v>
      </c>
      <c r="S22" s="83" t="s">
        <v>56</v>
      </c>
      <c r="T22" s="83" t="s">
        <v>57</v>
      </c>
      <c r="U22" s="230">
        <v>25</v>
      </c>
      <c r="V22" s="88" t="s">
        <v>57</v>
      </c>
      <c r="W22" s="231">
        <v>6</v>
      </c>
      <c r="X22" s="232">
        <v>1.5</v>
      </c>
      <c r="Y22" s="220" t="s">
        <v>72</v>
      </c>
      <c r="Z22" s="220">
        <v>209</v>
      </c>
      <c r="AA22" s="220" t="s">
        <v>52</v>
      </c>
      <c r="AB22" s="380"/>
      <c r="AC22" s="81"/>
      <c r="AD22" s="81">
        <f>ROUNDDOWN(R22*X22/Z22,-1)*W22*U22</f>
        <v>1891500</v>
      </c>
      <c r="AE22" s="61" t="s">
        <v>56</v>
      </c>
      <c r="AF22" s="18"/>
    </row>
    <row r="23" spans="1:32" s="12" customFormat="1" ht="21" customHeight="1">
      <c r="A23" s="50"/>
      <c r="B23" s="355"/>
      <c r="C23" s="355"/>
      <c r="D23" s="182"/>
      <c r="E23" s="124"/>
      <c r="F23" s="124"/>
      <c r="G23" s="124"/>
      <c r="H23" s="124"/>
      <c r="I23" s="124"/>
      <c r="J23" s="124"/>
      <c r="K23" s="124"/>
      <c r="L23" s="124"/>
      <c r="M23" s="84"/>
      <c r="N23" s="80"/>
      <c r="O23" s="381"/>
      <c r="P23" s="381"/>
      <c r="Q23" s="381"/>
      <c r="R23" s="381"/>
      <c r="S23" s="381"/>
      <c r="T23" s="380"/>
      <c r="U23" s="380"/>
      <c r="V23" s="380"/>
      <c r="W23" s="380"/>
      <c r="X23" s="380"/>
      <c r="Y23" s="380"/>
      <c r="Z23" s="380"/>
      <c r="AA23" s="380"/>
      <c r="AB23" s="380"/>
      <c r="AC23" s="81"/>
      <c r="AD23" s="81"/>
      <c r="AE23" s="61"/>
      <c r="AF23" s="18"/>
    </row>
    <row r="24" spans="1:32" s="12" customFormat="1" ht="21" customHeight="1">
      <c r="A24" s="50"/>
      <c r="B24" s="315"/>
      <c r="C24" s="315"/>
      <c r="D24" s="182"/>
      <c r="E24" s="124"/>
      <c r="F24" s="124"/>
      <c r="G24" s="124"/>
      <c r="H24" s="124"/>
      <c r="I24" s="124"/>
      <c r="J24" s="124"/>
      <c r="K24" s="124"/>
      <c r="L24" s="124"/>
      <c r="M24" s="84"/>
      <c r="N24" s="80"/>
      <c r="O24" s="245"/>
      <c r="P24" s="320"/>
      <c r="Q24" s="320"/>
      <c r="R24" s="82"/>
      <c r="S24" s="83"/>
      <c r="T24" s="83"/>
      <c r="U24" s="230"/>
      <c r="V24" s="88"/>
      <c r="W24" s="231"/>
      <c r="X24" s="232"/>
      <c r="Y24" s="220"/>
      <c r="Z24" s="220"/>
      <c r="AA24" s="220"/>
      <c r="AB24" s="320"/>
      <c r="AC24" s="81"/>
      <c r="AD24" s="81"/>
      <c r="AE24" s="61"/>
      <c r="AF24" s="18"/>
    </row>
    <row r="25" spans="1:32" s="12" customFormat="1" ht="21" customHeight="1">
      <c r="A25" s="50"/>
      <c r="B25" s="315"/>
      <c r="C25" s="315"/>
      <c r="D25" s="182"/>
      <c r="E25" s="124"/>
      <c r="F25" s="124"/>
      <c r="G25" s="124"/>
      <c r="H25" s="124"/>
      <c r="I25" s="124"/>
      <c r="J25" s="124"/>
      <c r="K25" s="124"/>
      <c r="L25" s="124"/>
      <c r="M25" s="84"/>
      <c r="N25" s="357"/>
      <c r="O25" s="245"/>
      <c r="P25" s="356"/>
      <c r="Q25" s="356"/>
      <c r="R25" s="82"/>
      <c r="S25" s="83"/>
      <c r="T25" s="83"/>
      <c r="U25" s="230"/>
      <c r="V25" s="88"/>
      <c r="W25" s="231"/>
      <c r="X25" s="232"/>
      <c r="Y25" s="220"/>
      <c r="Z25" s="220"/>
      <c r="AA25" s="220"/>
      <c r="AB25" s="356"/>
      <c r="AC25" s="81"/>
      <c r="AD25" s="81"/>
      <c r="AE25" s="61"/>
      <c r="AF25" s="18"/>
    </row>
    <row r="26" spans="1:32" s="12" customFormat="1" ht="21" customHeight="1">
      <c r="A26" s="50"/>
      <c r="B26" s="315"/>
      <c r="C26" s="315"/>
      <c r="D26" s="182"/>
      <c r="E26" s="124"/>
      <c r="F26" s="124"/>
      <c r="G26" s="124"/>
      <c r="H26" s="124"/>
      <c r="I26" s="124"/>
      <c r="J26" s="124"/>
      <c r="K26" s="124"/>
      <c r="L26" s="124"/>
      <c r="M26" s="84"/>
      <c r="N26" s="360" t="s">
        <v>314</v>
      </c>
      <c r="O26" s="321"/>
      <c r="P26" s="321"/>
      <c r="Q26" s="321"/>
      <c r="R26" s="321"/>
      <c r="S26" s="321"/>
      <c r="T26" s="320"/>
      <c r="U26" s="320"/>
      <c r="V26" s="320"/>
      <c r="W26" s="316" t="s">
        <v>86</v>
      </c>
      <c r="X26" s="316"/>
      <c r="Y26" s="316"/>
      <c r="Z26" s="316"/>
      <c r="AA26" s="316"/>
      <c r="AB26" s="316"/>
      <c r="AC26" s="86" t="s">
        <v>88</v>
      </c>
      <c r="AD26" s="86">
        <f>SUM(AD27:AD27)</f>
        <v>1200000</v>
      </c>
      <c r="AE26" s="87" t="s">
        <v>87</v>
      </c>
      <c r="AF26" s="18"/>
    </row>
    <row r="27" spans="1:32" s="12" customFormat="1" ht="21" customHeight="1">
      <c r="A27" s="50"/>
      <c r="B27" s="315"/>
      <c r="C27" s="315"/>
      <c r="D27" s="182"/>
      <c r="E27" s="124"/>
      <c r="F27" s="124"/>
      <c r="G27" s="124"/>
      <c r="H27" s="124"/>
      <c r="I27" s="124"/>
      <c r="J27" s="124"/>
      <c r="K27" s="124"/>
      <c r="L27" s="124"/>
      <c r="M27" s="84"/>
      <c r="N27" s="321"/>
      <c r="O27" s="321"/>
      <c r="P27" s="321"/>
      <c r="Q27" s="321"/>
      <c r="R27" s="82">
        <v>100000</v>
      </c>
      <c r="S27" s="82"/>
      <c r="T27" s="83" t="s">
        <v>149</v>
      </c>
      <c r="U27" s="83" t="s">
        <v>150</v>
      </c>
      <c r="V27" s="83">
        <v>1</v>
      </c>
      <c r="W27" s="83" t="s">
        <v>151</v>
      </c>
      <c r="X27" s="83" t="s">
        <v>150</v>
      </c>
      <c r="Y27" s="235">
        <v>12</v>
      </c>
      <c r="Z27" s="83" t="s">
        <v>28</v>
      </c>
      <c r="AA27" s="83" t="s">
        <v>152</v>
      </c>
      <c r="AB27" s="320"/>
      <c r="AC27" s="81"/>
      <c r="AD27" s="81">
        <f t="shared" ref="AD27" si="4">R27*V27*Y27</f>
        <v>1200000</v>
      </c>
      <c r="AE27" s="61" t="s">
        <v>24</v>
      </c>
      <c r="AF27" s="18"/>
    </row>
    <row r="28" spans="1:32" s="12" customFormat="1" ht="21" customHeight="1">
      <c r="A28" s="50"/>
      <c r="B28" s="315"/>
      <c r="C28" s="315"/>
      <c r="D28" s="182"/>
      <c r="E28" s="124"/>
      <c r="F28" s="124"/>
      <c r="G28" s="124"/>
      <c r="H28" s="124"/>
      <c r="I28" s="124"/>
      <c r="J28" s="124"/>
      <c r="K28" s="124"/>
      <c r="L28" s="124"/>
      <c r="M28" s="84"/>
      <c r="N28" s="321"/>
      <c r="O28" s="321"/>
      <c r="P28" s="321"/>
      <c r="Q28" s="321"/>
      <c r="R28" s="320"/>
      <c r="S28" s="320"/>
      <c r="T28" s="59"/>
      <c r="U28" s="136"/>
      <c r="V28" s="59"/>
      <c r="W28" s="134"/>
      <c r="X28" s="134"/>
      <c r="Y28" s="320"/>
      <c r="Z28" s="320"/>
      <c r="AA28" s="320"/>
      <c r="AB28" s="320"/>
      <c r="AC28" s="320"/>
      <c r="AD28" s="320"/>
      <c r="AE28" s="61"/>
      <c r="AF28" s="18"/>
    </row>
    <row r="29" spans="1:32" s="12" customFormat="1" ht="21" customHeight="1">
      <c r="A29" s="50"/>
      <c r="B29" s="315"/>
      <c r="C29" s="315"/>
      <c r="D29" s="182"/>
      <c r="E29" s="124"/>
      <c r="F29" s="124"/>
      <c r="G29" s="124"/>
      <c r="H29" s="124"/>
      <c r="I29" s="124"/>
      <c r="J29" s="124"/>
      <c r="K29" s="124"/>
      <c r="L29" s="124"/>
      <c r="M29" s="84"/>
      <c r="N29" s="381"/>
      <c r="O29" s="381"/>
      <c r="P29" s="381"/>
      <c r="Q29" s="381"/>
      <c r="R29" s="380"/>
      <c r="S29" s="380"/>
      <c r="T29" s="59"/>
      <c r="U29" s="136"/>
      <c r="V29" s="59"/>
      <c r="W29" s="134"/>
      <c r="X29" s="134"/>
      <c r="Y29" s="380"/>
      <c r="Z29" s="380"/>
      <c r="AA29" s="380"/>
      <c r="AB29" s="380"/>
      <c r="AC29" s="380"/>
      <c r="AD29" s="380"/>
      <c r="AE29" s="61"/>
      <c r="AF29" s="18"/>
    </row>
    <row r="30" spans="1:32" s="12" customFormat="1" ht="27.75" customHeight="1">
      <c r="A30" s="50"/>
      <c r="B30" s="315"/>
      <c r="C30" s="314" t="s">
        <v>9</v>
      </c>
      <c r="D30" s="184">
        <v>2370</v>
      </c>
      <c r="E30" s="128">
        <f>F30+G30+H30+K30</f>
        <v>2319.6</v>
      </c>
      <c r="F30" s="128">
        <f>AD31/1000</f>
        <v>2319.6</v>
      </c>
      <c r="G30" s="128">
        <v>0</v>
      </c>
      <c r="H30" s="128">
        <v>0</v>
      </c>
      <c r="I30" s="128">
        <v>0</v>
      </c>
      <c r="J30" s="128">
        <v>0</v>
      </c>
      <c r="K30" s="128">
        <f>AD32/1000</f>
        <v>0</v>
      </c>
      <c r="L30" s="127">
        <f>E30-D30</f>
        <v>-50.400000000000091</v>
      </c>
      <c r="M30" s="133">
        <f>IF(D30=0,0,L30/D30)</f>
        <v>-2.1265822784810165E-2</v>
      </c>
      <c r="N30" s="113" t="s">
        <v>35</v>
      </c>
      <c r="O30" s="319"/>
      <c r="P30" s="211"/>
      <c r="Q30" s="211"/>
      <c r="R30" s="211"/>
      <c r="S30" s="211"/>
      <c r="T30" s="210"/>
      <c r="U30" s="210"/>
      <c r="V30" s="210"/>
      <c r="W30" s="318" t="s">
        <v>181</v>
      </c>
      <c r="X30" s="318"/>
      <c r="Y30" s="318"/>
      <c r="Z30" s="318"/>
      <c r="AA30" s="318"/>
      <c r="AB30" s="318"/>
      <c r="AC30" s="202" t="s">
        <v>182</v>
      </c>
      <c r="AD30" s="202">
        <f>AD31</f>
        <v>2319600</v>
      </c>
      <c r="AE30" s="201" t="s">
        <v>183</v>
      </c>
      <c r="AF30" s="18"/>
    </row>
    <row r="31" spans="1:32" s="12" customFormat="1" ht="21" customHeight="1">
      <c r="A31" s="50"/>
      <c r="B31" s="315"/>
      <c r="C31" s="315"/>
      <c r="D31" s="185"/>
      <c r="E31" s="124"/>
      <c r="F31" s="124"/>
      <c r="G31" s="124"/>
      <c r="H31" s="124"/>
      <c r="I31" s="124"/>
      <c r="J31" s="124"/>
      <c r="K31" s="124"/>
      <c r="L31" s="129"/>
      <c r="M31" s="84"/>
      <c r="N31" s="321" t="s">
        <v>192</v>
      </c>
      <c r="O31" s="321"/>
      <c r="P31" s="321"/>
      <c r="Q31" s="321"/>
      <c r="R31" s="320">
        <f>AD7+명절휴가비+AD17+AD26+AD20</f>
        <v>27835500</v>
      </c>
      <c r="S31" s="320"/>
      <c r="T31" s="220" t="s">
        <v>56</v>
      </c>
      <c r="U31" s="220" t="s">
        <v>72</v>
      </c>
      <c r="V31" s="91">
        <v>12</v>
      </c>
      <c r="W31" s="88" t="s">
        <v>0</v>
      </c>
      <c r="X31" s="320"/>
      <c r="Y31" s="320"/>
      <c r="Z31" s="320"/>
      <c r="AA31" s="320" t="s">
        <v>73</v>
      </c>
      <c r="AB31" s="320"/>
      <c r="AC31" s="81"/>
      <c r="AD31" s="81">
        <v>2319600</v>
      </c>
      <c r="AE31" s="61" t="s">
        <v>66</v>
      </c>
      <c r="AF31" s="18"/>
    </row>
    <row r="32" spans="1:32" s="12" customFormat="1" ht="21" customHeight="1">
      <c r="A32" s="50"/>
      <c r="B32" s="315"/>
      <c r="C32" s="315"/>
      <c r="D32" s="185"/>
      <c r="E32" s="124"/>
      <c r="F32" s="124"/>
      <c r="G32" s="124"/>
      <c r="H32" s="124"/>
      <c r="I32" s="124"/>
      <c r="J32" s="124"/>
      <c r="K32" s="124"/>
      <c r="L32" s="129"/>
      <c r="M32" s="84"/>
      <c r="N32" s="357"/>
      <c r="O32" s="321"/>
      <c r="P32" s="321"/>
      <c r="Q32" s="321"/>
      <c r="R32" s="320"/>
      <c r="S32" s="320"/>
      <c r="T32" s="220"/>
      <c r="U32" s="220"/>
      <c r="V32" s="91"/>
      <c r="W32" s="88"/>
      <c r="X32" s="320"/>
      <c r="Y32" s="320"/>
      <c r="Z32" s="320"/>
      <c r="AA32" s="320"/>
      <c r="AB32" s="320"/>
      <c r="AC32" s="81"/>
      <c r="AD32" s="81"/>
      <c r="AE32" s="61"/>
      <c r="AF32" s="18"/>
    </row>
    <row r="33" spans="1:32" s="12" customFormat="1" ht="21" customHeight="1">
      <c r="A33" s="50"/>
      <c r="B33" s="315"/>
      <c r="C33" s="137" t="s">
        <v>89</v>
      </c>
      <c r="D33" s="184">
        <v>2737</v>
      </c>
      <c r="E33" s="128">
        <f>F33</f>
        <v>2608.1799999999998</v>
      </c>
      <c r="F33" s="128">
        <f>AD33/1000</f>
        <v>2608.1799999999998</v>
      </c>
      <c r="G33" s="128">
        <v>0</v>
      </c>
      <c r="H33" s="128">
        <v>0</v>
      </c>
      <c r="I33" s="128">
        <v>0</v>
      </c>
      <c r="J33" s="128">
        <v>0</v>
      </c>
      <c r="K33" s="128">
        <v>0</v>
      </c>
      <c r="L33" s="138">
        <f>E33-D33</f>
        <v>-128.82000000000016</v>
      </c>
      <c r="M33" s="133">
        <f>IF(D33=0,0,L33/D33)</f>
        <v>-4.7066130800146204E-2</v>
      </c>
      <c r="N33" s="113" t="s">
        <v>36</v>
      </c>
      <c r="O33" s="319"/>
      <c r="P33" s="211"/>
      <c r="Q33" s="211"/>
      <c r="R33" s="211"/>
      <c r="S33" s="211"/>
      <c r="T33" s="210"/>
      <c r="U33" s="210"/>
      <c r="V33" s="210"/>
      <c r="W33" s="318" t="s">
        <v>120</v>
      </c>
      <c r="X33" s="318"/>
      <c r="Y33" s="318"/>
      <c r="Z33" s="318" t="s">
        <v>262</v>
      </c>
      <c r="AA33" s="318"/>
      <c r="AB33" s="318"/>
      <c r="AC33" s="202"/>
      <c r="AD33" s="202">
        <f>SUM(AD34:AD38)</f>
        <v>2608180</v>
      </c>
      <c r="AE33" s="201" t="s">
        <v>24</v>
      </c>
      <c r="AF33" s="18"/>
    </row>
    <row r="34" spans="1:32" s="12" customFormat="1" ht="21" customHeight="1">
      <c r="A34" s="50"/>
      <c r="B34" s="315"/>
      <c r="C34" s="270"/>
      <c r="D34" s="182"/>
      <c r="E34" s="233"/>
      <c r="F34" s="233"/>
      <c r="G34" s="233"/>
      <c r="H34" s="233"/>
      <c r="I34" s="233"/>
      <c r="J34" s="233"/>
      <c r="K34" s="233"/>
      <c r="L34" s="271"/>
      <c r="M34" s="84"/>
      <c r="N34" s="381" t="s">
        <v>333</v>
      </c>
      <c r="O34" s="209"/>
      <c r="P34" s="209"/>
      <c r="Q34" s="209"/>
      <c r="R34" s="380">
        <f>AD7+AD12</f>
        <v>27835500</v>
      </c>
      <c r="S34" s="380"/>
      <c r="T34" s="220" t="s">
        <v>334</v>
      </c>
      <c r="U34" s="220" t="s">
        <v>25</v>
      </c>
      <c r="V34" s="385">
        <v>0.09</v>
      </c>
      <c r="W34" s="220" t="s">
        <v>335</v>
      </c>
      <c r="X34" s="269">
        <v>2</v>
      </c>
      <c r="Y34" s="272"/>
      <c r="Z34" s="90"/>
      <c r="AA34" s="220" t="s">
        <v>336</v>
      </c>
      <c r="AB34" s="380"/>
      <c r="AC34" s="81"/>
      <c r="AD34" s="81">
        <v>1252530</v>
      </c>
      <c r="AE34" s="61" t="s">
        <v>334</v>
      </c>
      <c r="AF34" s="18"/>
    </row>
    <row r="35" spans="1:32" s="12" customFormat="1" ht="21" customHeight="1">
      <c r="A35" s="50"/>
      <c r="B35" s="348"/>
      <c r="C35" s="270"/>
      <c r="D35" s="182"/>
      <c r="E35" s="233"/>
      <c r="F35" s="233"/>
      <c r="G35" s="233"/>
      <c r="H35" s="233"/>
      <c r="I35" s="233"/>
      <c r="J35" s="233"/>
      <c r="K35" s="233"/>
      <c r="L35" s="271"/>
      <c r="M35" s="84"/>
      <c r="N35" s="381" t="s">
        <v>337</v>
      </c>
      <c r="O35" s="381"/>
      <c r="P35" s="381"/>
      <c r="Q35" s="381"/>
      <c r="R35" s="380">
        <f>AD7+AD12</f>
        <v>27835500</v>
      </c>
      <c r="S35" s="380"/>
      <c r="T35" s="220" t="s">
        <v>334</v>
      </c>
      <c r="U35" s="220" t="s">
        <v>25</v>
      </c>
      <c r="V35" s="385">
        <v>5.8000000000000003E-2</v>
      </c>
      <c r="W35" s="220" t="s">
        <v>335</v>
      </c>
      <c r="X35" s="269">
        <v>2</v>
      </c>
      <c r="Y35" s="272"/>
      <c r="Z35" s="90"/>
      <c r="AA35" s="220" t="s">
        <v>336</v>
      </c>
      <c r="AB35" s="380"/>
      <c r="AC35" s="81"/>
      <c r="AD35" s="81">
        <v>833590</v>
      </c>
      <c r="AE35" s="61" t="s">
        <v>334</v>
      </c>
      <c r="AF35" s="2"/>
    </row>
    <row r="36" spans="1:32" s="12" customFormat="1" ht="21" customHeight="1">
      <c r="A36" s="50"/>
      <c r="B36" s="315"/>
      <c r="C36" s="315"/>
      <c r="D36" s="182"/>
      <c r="E36" s="124"/>
      <c r="F36" s="124"/>
      <c r="G36" s="124"/>
      <c r="H36" s="124"/>
      <c r="I36" s="124"/>
      <c r="J36" s="124"/>
      <c r="K36" s="124"/>
      <c r="L36" s="124"/>
      <c r="M36" s="84"/>
      <c r="N36" s="381" t="s">
        <v>338</v>
      </c>
      <c r="O36" s="381"/>
      <c r="P36" s="381"/>
      <c r="Q36" s="381"/>
      <c r="R36" s="380">
        <f>AD35</f>
        <v>833590</v>
      </c>
      <c r="S36" s="380"/>
      <c r="T36" s="220" t="s">
        <v>334</v>
      </c>
      <c r="U36" s="220" t="s">
        <v>25</v>
      </c>
      <c r="V36" s="385">
        <v>6.5500000000000003E-2</v>
      </c>
      <c r="W36" s="220"/>
      <c r="X36" s="269"/>
      <c r="Y36" s="272"/>
      <c r="Z36" s="90"/>
      <c r="AA36" s="220" t="s">
        <v>336</v>
      </c>
      <c r="AB36" s="380"/>
      <c r="AC36" s="81"/>
      <c r="AD36" s="81">
        <v>54540</v>
      </c>
      <c r="AE36" s="61" t="s">
        <v>334</v>
      </c>
      <c r="AF36" s="2"/>
    </row>
    <row r="37" spans="1:32" s="12" customFormat="1" ht="21" customHeight="1">
      <c r="A37" s="50"/>
      <c r="B37" s="315"/>
      <c r="C37" s="315"/>
      <c r="D37" s="182"/>
      <c r="E37" s="124"/>
      <c r="F37" s="124"/>
      <c r="G37" s="124"/>
      <c r="H37" s="124"/>
      <c r="I37" s="124"/>
      <c r="J37" s="124"/>
      <c r="K37" s="124"/>
      <c r="L37" s="124"/>
      <c r="M37" s="84"/>
      <c r="N37" s="381" t="s">
        <v>339</v>
      </c>
      <c r="O37" s="381"/>
      <c r="P37" s="381"/>
      <c r="Q37" s="381"/>
      <c r="R37" s="380">
        <f>AD7+AD12</f>
        <v>27835500</v>
      </c>
      <c r="S37" s="380"/>
      <c r="T37" s="220" t="s">
        <v>334</v>
      </c>
      <c r="U37" s="220" t="s">
        <v>25</v>
      </c>
      <c r="V37" s="385">
        <v>8.9999999999999993E-3</v>
      </c>
      <c r="W37" s="220"/>
      <c r="X37" s="269"/>
      <c r="Y37" s="272"/>
      <c r="Z37" s="90"/>
      <c r="AA37" s="220" t="s">
        <v>336</v>
      </c>
      <c r="AB37" s="380"/>
      <c r="AC37" s="81"/>
      <c r="AD37" s="81">
        <v>250460</v>
      </c>
      <c r="AE37" s="61" t="s">
        <v>334</v>
      </c>
      <c r="AF37" s="2"/>
    </row>
    <row r="38" spans="1:32" s="12" customFormat="1" ht="21" customHeight="1">
      <c r="A38" s="50"/>
      <c r="B38" s="348"/>
      <c r="C38" s="348"/>
      <c r="D38" s="182"/>
      <c r="E38" s="124"/>
      <c r="F38" s="124"/>
      <c r="G38" s="124"/>
      <c r="H38" s="124"/>
      <c r="I38" s="124"/>
      <c r="J38" s="124"/>
      <c r="K38" s="124"/>
      <c r="L38" s="124"/>
      <c r="M38" s="84"/>
      <c r="N38" s="381" t="s">
        <v>340</v>
      </c>
      <c r="O38" s="381"/>
      <c r="P38" s="381"/>
      <c r="Q38" s="381"/>
      <c r="R38" s="380">
        <f>AD7+AD12</f>
        <v>27835500</v>
      </c>
      <c r="S38" s="380"/>
      <c r="T38" s="220" t="s">
        <v>334</v>
      </c>
      <c r="U38" s="220" t="s">
        <v>25</v>
      </c>
      <c r="V38" s="385">
        <v>7.7999999999999996E-3</v>
      </c>
      <c r="W38" s="220"/>
      <c r="X38" s="269"/>
      <c r="Y38" s="272"/>
      <c r="Z38" s="90"/>
      <c r="AA38" s="220" t="s">
        <v>336</v>
      </c>
      <c r="AB38" s="380"/>
      <c r="AC38" s="81"/>
      <c r="AD38" s="81">
        <v>217060</v>
      </c>
      <c r="AE38" s="61" t="s">
        <v>334</v>
      </c>
      <c r="AF38" s="2"/>
    </row>
    <row r="39" spans="1:32" s="12" customFormat="1" ht="21" customHeight="1">
      <c r="A39" s="50"/>
      <c r="B39" s="315"/>
      <c r="C39" s="315"/>
      <c r="D39" s="182"/>
      <c r="E39" s="124"/>
      <c r="F39" s="124"/>
      <c r="G39" s="124"/>
      <c r="H39" s="124"/>
      <c r="I39" s="124"/>
      <c r="J39" s="124"/>
      <c r="K39" s="124"/>
      <c r="L39" s="124"/>
      <c r="M39" s="84"/>
      <c r="N39" s="321"/>
      <c r="O39" s="321"/>
      <c r="P39" s="321"/>
      <c r="Q39" s="321"/>
      <c r="R39" s="320"/>
      <c r="S39" s="320"/>
      <c r="T39" s="220"/>
      <c r="U39" s="220"/>
      <c r="V39" s="339"/>
      <c r="W39" s="220"/>
      <c r="X39" s="269"/>
      <c r="Y39" s="272"/>
      <c r="Z39" s="90"/>
      <c r="AA39" s="220"/>
      <c r="AB39" s="320"/>
      <c r="AC39" s="81"/>
      <c r="AD39" s="81"/>
      <c r="AE39" s="61"/>
      <c r="AF39" s="2"/>
    </row>
    <row r="40" spans="1:32" s="12" customFormat="1" ht="21" customHeight="1">
      <c r="A40" s="50"/>
      <c r="B40" s="348"/>
      <c r="C40" s="348"/>
      <c r="D40" s="182"/>
      <c r="E40" s="124"/>
      <c r="F40" s="124"/>
      <c r="G40" s="124"/>
      <c r="H40" s="124"/>
      <c r="I40" s="124"/>
      <c r="J40" s="124"/>
      <c r="K40" s="124"/>
      <c r="L40" s="124"/>
      <c r="M40" s="84"/>
      <c r="N40" s="350"/>
      <c r="O40" s="350"/>
      <c r="P40" s="350"/>
      <c r="Q40" s="350"/>
      <c r="R40" s="349"/>
      <c r="S40" s="349"/>
      <c r="T40" s="220"/>
      <c r="U40" s="220"/>
      <c r="V40" s="339"/>
      <c r="W40" s="220"/>
      <c r="X40" s="269"/>
      <c r="Y40" s="272"/>
      <c r="Z40" s="90"/>
      <c r="AA40" s="220"/>
      <c r="AB40" s="349"/>
      <c r="AC40" s="81"/>
      <c r="AD40" s="81"/>
      <c r="AE40" s="61"/>
      <c r="AF40" s="2"/>
    </row>
    <row r="41" spans="1:32" s="12" customFormat="1" ht="34.5" customHeight="1">
      <c r="A41" s="50"/>
      <c r="B41" s="315"/>
      <c r="C41" s="314" t="s">
        <v>185</v>
      </c>
      <c r="D41" s="184">
        <v>216</v>
      </c>
      <c r="E41" s="127">
        <f>SUM(F41:K41)</f>
        <v>0</v>
      </c>
      <c r="F41" s="127"/>
      <c r="G41" s="127"/>
      <c r="H41" s="127">
        <f>AF63</f>
        <v>0</v>
      </c>
      <c r="I41" s="127">
        <f>AG63</f>
        <v>0</v>
      </c>
      <c r="J41" s="127">
        <v>0</v>
      </c>
      <c r="K41" s="127">
        <f>AH63</f>
        <v>0</v>
      </c>
      <c r="L41" s="138">
        <f>E41-D41</f>
        <v>-216</v>
      </c>
      <c r="M41" s="133"/>
      <c r="N41" s="113" t="s">
        <v>184</v>
      </c>
      <c r="O41" s="319"/>
      <c r="P41" s="186"/>
      <c r="Q41" s="186"/>
      <c r="R41" s="104"/>
      <c r="S41" s="104"/>
      <c r="T41" s="242"/>
      <c r="U41" s="243"/>
      <c r="V41" s="244"/>
      <c r="W41" s="318" t="s">
        <v>62</v>
      </c>
      <c r="X41" s="318"/>
      <c r="Y41" s="318"/>
      <c r="Z41" s="318"/>
      <c r="AA41" s="318"/>
      <c r="AB41" s="318"/>
      <c r="AC41" s="202"/>
      <c r="AD41" s="202">
        <f>AD42</f>
        <v>0</v>
      </c>
      <c r="AE41" s="201" t="s">
        <v>24</v>
      </c>
    </row>
    <row r="42" spans="1:32" s="12" customFormat="1" ht="21" customHeight="1">
      <c r="A42" s="50"/>
      <c r="B42" s="315"/>
      <c r="C42" s="315"/>
      <c r="D42" s="182"/>
      <c r="E42" s="124"/>
      <c r="F42" s="124"/>
      <c r="G42" s="124"/>
      <c r="H42" s="124"/>
      <c r="I42" s="124"/>
      <c r="J42" s="124"/>
      <c r="K42" s="124"/>
      <c r="L42" s="124"/>
      <c r="M42" s="84"/>
      <c r="N42" s="354"/>
      <c r="O42" s="321"/>
      <c r="P42" s="321"/>
      <c r="Q42" s="321"/>
      <c r="R42" s="320"/>
      <c r="S42" s="320"/>
      <c r="T42" s="220"/>
      <c r="U42" s="88"/>
      <c r="V42" s="92"/>
      <c r="W42" s="88"/>
      <c r="X42" s="93"/>
      <c r="Y42" s="90"/>
      <c r="Z42" s="90"/>
      <c r="AA42" s="220"/>
      <c r="AB42" s="320"/>
      <c r="AC42" s="81"/>
      <c r="AD42" s="81"/>
      <c r="AE42" s="179" t="s">
        <v>24</v>
      </c>
    </row>
    <row r="43" spans="1:32" s="12" customFormat="1" ht="21" customHeight="1">
      <c r="A43" s="50"/>
      <c r="B43" s="63"/>
      <c r="C43" s="63"/>
      <c r="D43" s="183"/>
      <c r="E43" s="125"/>
      <c r="F43" s="125"/>
      <c r="G43" s="125"/>
      <c r="H43" s="125"/>
      <c r="I43" s="125"/>
      <c r="J43" s="125"/>
      <c r="K43" s="125"/>
      <c r="L43" s="125"/>
      <c r="M43" s="100"/>
      <c r="N43" s="317"/>
      <c r="O43" s="317"/>
      <c r="P43" s="317"/>
      <c r="Q43" s="317"/>
      <c r="R43" s="316"/>
      <c r="S43" s="316"/>
      <c r="T43" s="102"/>
      <c r="U43" s="102"/>
      <c r="V43" s="102"/>
      <c r="W43" s="316"/>
      <c r="X43" s="102"/>
      <c r="Y43" s="102"/>
      <c r="Z43" s="102"/>
      <c r="AA43" s="316"/>
      <c r="AB43" s="102"/>
      <c r="AC43" s="102"/>
      <c r="AD43" s="316"/>
      <c r="AE43" s="139"/>
    </row>
    <row r="44" spans="1:32" s="12" customFormat="1" ht="26.25" customHeight="1">
      <c r="A44" s="50"/>
      <c r="B44" s="315" t="s">
        <v>121</v>
      </c>
      <c r="C44" s="315" t="s">
        <v>5</v>
      </c>
      <c r="D44" s="124">
        <v>149</v>
      </c>
      <c r="E44" s="124">
        <f>SUM(E45,E49,E51)</f>
        <v>22</v>
      </c>
      <c r="F44" s="124">
        <f>F45+F49+F51</f>
        <v>10</v>
      </c>
      <c r="G44" s="124">
        <f>SUM(G45,G49,G51)</f>
        <v>0</v>
      </c>
      <c r="H44" s="124">
        <f>H45+H49+H51</f>
        <v>12</v>
      </c>
      <c r="I44" s="124">
        <v>0</v>
      </c>
      <c r="J44" s="124">
        <f>SUM(J45,J49,J51)</f>
        <v>0</v>
      </c>
      <c r="K44" s="124">
        <f>SUM(K45,K49,K51)</f>
        <v>0</v>
      </c>
      <c r="L44" s="124">
        <f>E44-D44</f>
        <v>-127</v>
      </c>
      <c r="M44" s="84">
        <f>IF(D44=0,0,L44/D44)</f>
        <v>-0.8523489932885906</v>
      </c>
      <c r="N44" s="209" t="s">
        <v>129</v>
      </c>
      <c r="O44" s="209"/>
      <c r="P44" s="209"/>
      <c r="Q44" s="209"/>
      <c r="R44" s="208"/>
      <c r="S44" s="208"/>
      <c r="T44" s="208"/>
      <c r="U44" s="208"/>
      <c r="V44" s="208"/>
      <c r="W44" s="210"/>
      <c r="X44" s="210"/>
      <c r="Y44" s="210"/>
      <c r="Z44" s="210"/>
      <c r="AA44" s="210"/>
      <c r="AB44" s="210"/>
      <c r="AC44" s="111"/>
      <c r="AD44" s="111">
        <f>SUM(AD45,AD49,AD51)</f>
        <v>22000</v>
      </c>
      <c r="AE44" s="112" t="s">
        <v>24</v>
      </c>
      <c r="AF44" s="2"/>
    </row>
    <row r="45" spans="1:32" s="12" customFormat="1" ht="21" customHeight="1">
      <c r="A45" s="50"/>
      <c r="B45" s="315" t="s">
        <v>128</v>
      </c>
      <c r="C45" s="314" t="s">
        <v>10</v>
      </c>
      <c r="D45" s="184">
        <v>0</v>
      </c>
      <c r="E45" s="127">
        <f>AD45/1000</f>
        <v>0</v>
      </c>
      <c r="F45" s="127">
        <f>AD45/1000</f>
        <v>0</v>
      </c>
      <c r="G45" s="127">
        <v>0</v>
      </c>
      <c r="H45" s="127">
        <v>0</v>
      </c>
      <c r="I45" s="127">
        <v>0</v>
      </c>
      <c r="J45" s="127">
        <v>0</v>
      </c>
      <c r="K45" s="127">
        <v>0</v>
      </c>
      <c r="L45" s="127">
        <f>E45-D45</f>
        <v>0</v>
      </c>
      <c r="M45" s="133">
        <f>IF(D45=0,0,L45/D45)</f>
        <v>0</v>
      </c>
      <c r="N45" s="113" t="s">
        <v>37</v>
      </c>
      <c r="O45" s="180"/>
      <c r="P45" s="186"/>
      <c r="Q45" s="186"/>
      <c r="R45" s="186"/>
      <c r="S45" s="186"/>
      <c r="T45" s="104"/>
      <c r="U45" s="104"/>
      <c r="V45" s="104"/>
      <c r="W45" s="104"/>
      <c r="X45" s="104"/>
      <c r="Y45" s="318" t="s">
        <v>131</v>
      </c>
      <c r="Z45" s="318"/>
      <c r="AA45" s="318"/>
      <c r="AB45" s="318"/>
      <c r="AC45" s="202"/>
      <c r="AD45" s="202">
        <f>AD46</f>
        <v>0</v>
      </c>
      <c r="AE45" s="201" t="s">
        <v>24</v>
      </c>
      <c r="AF45" s="2"/>
    </row>
    <row r="46" spans="1:32" s="12" customFormat="1" ht="21" customHeight="1">
      <c r="A46" s="50"/>
      <c r="B46" s="315"/>
      <c r="C46" s="315"/>
      <c r="D46" s="182"/>
      <c r="E46" s="124"/>
      <c r="F46" s="124"/>
      <c r="G46" s="124"/>
      <c r="H46" s="124"/>
      <c r="I46" s="124"/>
      <c r="J46" s="124"/>
      <c r="K46" s="124"/>
      <c r="L46" s="124"/>
      <c r="M46" s="84"/>
      <c r="N46" s="255" t="s">
        <v>235</v>
      </c>
      <c r="O46" s="186"/>
      <c r="P46" s="321"/>
      <c r="Q46" s="321"/>
      <c r="R46" s="321"/>
      <c r="S46" s="321"/>
      <c r="T46" s="320"/>
      <c r="U46" s="320"/>
      <c r="V46" s="320"/>
      <c r="W46" s="320"/>
      <c r="X46" s="320"/>
      <c r="Y46" s="115"/>
      <c r="Z46" s="115"/>
      <c r="AA46" s="115"/>
      <c r="AB46" s="115"/>
      <c r="AC46" s="131"/>
      <c r="AD46" s="131">
        <v>0</v>
      </c>
      <c r="AE46" s="132" t="s">
        <v>236</v>
      </c>
      <c r="AF46" s="2"/>
    </row>
    <row r="47" spans="1:32" s="12" customFormat="1" ht="21" customHeight="1">
      <c r="A47" s="50"/>
      <c r="B47" s="391"/>
      <c r="C47" s="391"/>
      <c r="D47" s="182"/>
      <c r="E47" s="124"/>
      <c r="F47" s="124"/>
      <c r="G47" s="124"/>
      <c r="H47" s="124"/>
      <c r="I47" s="124"/>
      <c r="J47" s="124"/>
      <c r="K47" s="124"/>
      <c r="L47" s="124"/>
      <c r="M47" s="84"/>
      <c r="N47" s="209"/>
      <c r="O47" s="397"/>
      <c r="P47" s="397"/>
      <c r="Q47" s="397"/>
      <c r="R47" s="397"/>
      <c r="S47" s="397"/>
      <c r="T47" s="396"/>
      <c r="U47" s="396"/>
      <c r="V47" s="396"/>
      <c r="W47" s="396"/>
      <c r="X47" s="396"/>
      <c r="Y47" s="115"/>
      <c r="Z47" s="115"/>
      <c r="AA47" s="115"/>
      <c r="AB47" s="115"/>
      <c r="AC47" s="131"/>
      <c r="AD47" s="131"/>
      <c r="AE47" s="132"/>
      <c r="AF47" s="2"/>
    </row>
    <row r="48" spans="1:32" s="12" customFormat="1" ht="21" customHeight="1">
      <c r="A48" s="50"/>
      <c r="B48" s="315"/>
      <c r="C48" s="63"/>
      <c r="D48" s="183"/>
      <c r="E48" s="125"/>
      <c r="F48" s="125"/>
      <c r="G48" s="125"/>
      <c r="H48" s="125"/>
      <c r="I48" s="125"/>
      <c r="J48" s="125"/>
      <c r="K48" s="125"/>
      <c r="L48" s="125"/>
      <c r="M48" s="100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39"/>
      <c r="AF48" s="2"/>
    </row>
    <row r="49" spans="1:32" s="12" customFormat="1" ht="21" customHeight="1">
      <c r="A49" s="50"/>
      <c r="B49" s="315"/>
      <c r="C49" s="315" t="s">
        <v>11</v>
      </c>
      <c r="D49" s="182">
        <v>0</v>
      </c>
      <c r="E49" s="124">
        <f>AD49/1000</f>
        <v>0</v>
      </c>
      <c r="F49" s="124">
        <v>0</v>
      </c>
      <c r="G49" s="124">
        <v>0</v>
      </c>
      <c r="H49" s="124">
        <v>0</v>
      </c>
      <c r="I49" s="124">
        <v>0</v>
      </c>
      <c r="J49" s="124">
        <v>0</v>
      </c>
      <c r="K49" s="124">
        <v>0</v>
      </c>
      <c r="L49" s="124">
        <f>E49-D49</f>
        <v>0</v>
      </c>
      <c r="M49" s="84">
        <f>IF(D49=0,0,L49/D49)</f>
        <v>0</v>
      </c>
      <c r="N49" s="113" t="s">
        <v>130</v>
      </c>
      <c r="O49" s="319"/>
      <c r="P49" s="209"/>
      <c r="Q49" s="209"/>
      <c r="R49" s="209"/>
      <c r="S49" s="209"/>
      <c r="T49" s="208"/>
      <c r="U49" s="208"/>
      <c r="V49" s="208"/>
      <c r="W49" s="208"/>
      <c r="X49" s="208"/>
      <c r="Y49" s="318" t="s">
        <v>131</v>
      </c>
      <c r="Z49" s="318"/>
      <c r="AA49" s="318"/>
      <c r="AB49" s="318"/>
      <c r="AC49" s="202"/>
      <c r="AD49" s="202">
        <v>0</v>
      </c>
      <c r="AE49" s="201" t="s">
        <v>24</v>
      </c>
      <c r="AF49" s="2"/>
    </row>
    <row r="50" spans="1:32" s="12" customFormat="1" ht="21" customHeight="1">
      <c r="A50" s="50"/>
      <c r="B50" s="315"/>
      <c r="C50" s="63"/>
      <c r="D50" s="183"/>
      <c r="E50" s="125"/>
      <c r="F50" s="125"/>
      <c r="G50" s="125"/>
      <c r="H50" s="125"/>
      <c r="I50" s="125"/>
      <c r="J50" s="125"/>
      <c r="K50" s="125"/>
      <c r="L50" s="125"/>
      <c r="M50" s="100"/>
      <c r="N50" s="317"/>
      <c r="O50" s="317"/>
      <c r="P50" s="317"/>
      <c r="Q50" s="317"/>
      <c r="R50" s="316"/>
      <c r="S50" s="316"/>
      <c r="T50" s="101"/>
      <c r="U50" s="101"/>
      <c r="V50" s="316"/>
      <c r="W50" s="317"/>
      <c r="X50" s="316"/>
      <c r="Y50" s="316"/>
      <c r="Z50" s="316"/>
      <c r="AA50" s="316"/>
      <c r="AB50" s="316"/>
      <c r="AC50" s="316"/>
      <c r="AD50" s="316"/>
      <c r="AE50" s="87"/>
      <c r="AF50" s="2"/>
    </row>
    <row r="51" spans="1:32" s="12" customFormat="1" ht="21" customHeight="1">
      <c r="A51" s="50"/>
      <c r="B51" s="315"/>
      <c r="C51" s="315" t="s">
        <v>91</v>
      </c>
      <c r="D51" s="182">
        <v>149</v>
      </c>
      <c r="E51" s="124">
        <f>F51+G51+H51+K51</f>
        <v>22</v>
      </c>
      <c r="F51" s="124">
        <f>AD52/1000</f>
        <v>10</v>
      </c>
      <c r="G51" s="124">
        <v>0</v>
      </c>
      <c r="H51" s="124">
        <f>AD53/1000</f>
        <v>12</v>
      </c>
      <c r="I51" s="124">
        <v>0</v>
      </c>
      <c r="J51" s="124">
        <v>0</v>
      </c>
      <c r="K51" s="127">
        <v>0</v>
      </c>
      <c r="L51" s="274">
        <f>E51-D51</f>
        <v>-127</v>
      </c>
      <c r="M51" s="84">
        <f>IF(D51=0,0,L51/D51)</f>
        <v>-0.8523489932885906</v>
      </c>
      <c r="N51" s="130" t="s">
        <v>38</v>
      </c>
      <c r="O51" s="209"/>
      <c r="P51" s="209"/>
      <c r="Q51" s="209"/>
      <c r="R51" s="209"/>
      <c r="S51" s="209"/>
      <c r="T51" s="208"/>
      <c r="U51" s="208"/>
      <c r="V51" s="208"/>
      <c r="W51" s="208"/>
      <c r="X51" s="208"/>
      <c r="Y51" s="318" t="s">
        <v>131</v>
      </c>
      <c r="Z51" s="318"/>
      <c r="AA51" s="318"/>
      <c r="AB51" s="318"/>
      <c r="AC51" s="202"/>
      <c r="AD51" s="202">
        <f>AD52+AD53</f>
        <v>22000</v>
      </c>
      <c r="AE51" s="201" t="s">
        <v>24</v>
      </c>
      <c r="AF51" s="2"/>
    </row>
    <row r="52" spans="1:32" s="12" customFormat="1" ht="21" customHeight="1">
      <c r="A52" s="50"/>
      <c r="B52" s="315"/>
      <c r="C52" s="315"/>
      <c r="D52" s="182"/>
      <c r="E52" s="124"/>
      <c r="F52" s="124"/>
      <c r="G52" s="124"/>
      <c r="H52" s="124"/>
      <c r="I52" s="124"/>
      <c r="J52" s="124"/>
      <c r="K52" s="124"/>
      <c r="L52" s="124"/>
      <c r="M52" s="84"/>
      <c r="N52" s="321" t="s">
        <v>156</v>
      </c>
      <c r="O52" s="321"/>
      <c r="P52" s="321"/>
      <c r="Q52" s="321"/>
      <c r="R52" s="320">
        <v>10000</v>
      </c>
      <c r="S52" s="320"/>
      <c r="T52" s="59" t="s">
        <v>24</v>
      </c>
      <c r="U52" s="59" t="s">
        <v>25</v>
      </c>
      <c r="V52" s="320">
        <v>1</v>
      </c>
      <c r="W52" s="321" t="s">
        <v>157</v>
      </c>
      <c r="X52" s="320"/>
      <c r="Y52" s="320"/>
      <c r="Z52" s="320"/>
      <c r="AA52" s="320" t="s">
        <v>26</v>
      </c>
      <c r="AB52" s="396" t="s">
        <v>403</v>
      </c>
      <c r="AC52" s="320"/>
      <c r="AD52" s="320">
        <f>R52*V52</f>
        <v>10000</v>
      </c>
      <c r="AE52" s="61" t="s">
        <v>318</v>
      </c>
      <c r="AF52" s="2"/>
    </row>
    <row r="53" spans="1:32" s="12" customFormat="1" ht="21" customHeight="1">
      <c r="A53" s="50"/>
      <c r="B53" s="367"/>
      <c r="C53" s="367"/>
      <c r="D53" s="182"/>
      <c r="E53" s="124"/>
      <c r="F53" s="124"/>
      <c r="G53" s="124"/>
      <c r="H53" s="124"/>
      <c r="I53" s="124"/>
      <c r="J53" s="124"/>
      <c r="K53" s="124"/>
      <c r="L53" s="124"/>
      <c r="M53" s="84"/>
      <c r="N53" s="369"/>
      <c r="O53" s="369"/>
      <c r="P53" s="369"/>
      <c r="Q53" s="369"/>
      <c r="R53" s="368">
        <v>12000</v>
      </c>
      <c r="S53" s="368"/>
      <c r="T53" s="59" t="s">
        <v>401</v>
      </c>
      <c r="U53" s="59" t="s">
        <v>25</v>
      </c>
      <c r="V53" s="396">
        <v>1</v>
      </c>
      <c r="W53" s="397" t="s">
        <v>402</v>
      </c>
      <c r="X53" s="368"/>
      <c r="Y53" s="368"/>
      <c r="Z53" s="368"/>
      <c r="AA53" s="396" t="s">
        <v>405</v>
      </c>
      <c r="AB53" s="396" t="s">
        <v>404</v>
      </c>
      <c r="AC53" s="368"/>
      <c r="AD53" s="368">
        <v>12000</v>
      </c>
      <c r="AE53" s="61" t="s">
        <v>377</v>
      </c>
      <c r="AF53" s="2"/>
    </row>
    <row r="54" spans="1:32" s="12" customFormat="1" ht="21" customHeight="1">
      <c r="A54" s="50"/>
      <c r="B54" s="315"/>
      <c r="C54" s="315"/>
      <c r="D54" s="182"/>
      <c r="E54" s="124"/>
      <c r="F54" s="124"/>
      <c r="G54" s="124"/>
      <c r="H54" s="124"/>
      <c r="I54" s="124"/>
      <c r="J54" s="124"/>
      <c r="K54" s="124"/>
      <c r="L54" s="124"/>
      <c r="M54" s="84"/>
      <c r="N54" s="321"/>
      <c r="O54" s="321"/>
      <c r="P54" s="321"/>
      <c r="Q54" s="321"/>
      <c r="R54" s="365"/>
      <c r="S54" s="365"/>
      <c r="T54" s="59"/>
      <c r="U54" s="59"/>
      <c r="V54" s="365"/>
      <c r="W54" s="366"/>
      <c r="X54" s="365"/>
      <c r="Y54" s="365"/>
      <c r="Z54" s="365"/>
      <c r="AA54" s="365"/>
      <c r="AB54" s="365"/>
      <c r="AC54" s="365"/>
      <c r="AD54" s="365"/>
      <c r="AE54" s="61"/>
      <c r="AF54" s="2"/>
    </row>
    <row r="55" spans="1:32" s="12" customFormat="1" ht="21" customHeight="1">
      <c r="A55" s="50"/>
      <c r="B55" s="314" t="s">
        <v>12</v>
      </c>
      <c r="C55" s="197" t="s">
        <v>5</v>
      </c>
      <c r="D55" s="199">
        <f>SUM(D56,D59,D64,D68,D76,D79)</f>
        <v>7804</v>
      </c>
      <c r="E55" s="199">
        <f>SUM(E56,E59,E64,E68,E76,E79)</f>
        <v>5425</v>
      </c>
      <c r="F55" s="199">
        <f>SUM(F56,F59,F64,F68,F76,F79)</f>
        <v>5424.72</v>
      </c>
      <c r="G55" s="199">
        <f>SUM(G56,G59,G64,G68,G76,G79)</f>
        <v>0</v>
      </c>
      <c r="H55" s="199">
        <f>SUM(H56,H59,H64,H68,H76,H79)</f>
        <v>0.34476000000000001</v>
      </c>
      <c r="I55" s="199">
        <v>0</v>
      </c>
      <c r="J55" s="199">
        <f>SUM(J56,J59,J64,J68,J76,J79)</f>
        <v>0</v>
      </c>
      <c r="K55" s="199">
        <f>SUM(K56,K59,K64,K68,K76,K79)</f>
        <v>0</v>
      </c>
      <c r="L55" s="199">
        <f>E55-D55</f>
        <v>-2379</v>
      </c>
      <c r="M55" s="200">
        <f>IF(D55=0,0,L55/D55)</f>
        <v>-0.30484366991286521</v>
      </c>
      <c r="N55" s="319" t="s">
        <v>132</v>
      </c>
      <c r="O55" s="319"/>
      <c r="P55" s="319"/>
      <c r="Q55" s="319"/>
      <c r="R55" s="318"/>
      <c r="S55" s="318"/>
      <c r="T55" s="213"/>
      <c r="U55" s="318"/>
      <c r="V55" s="477"/>
      <c r="W55" s="478"/>
      <c r="X55" s="318"/>
      <c r="Y55" s="318"/>
      <c r="Z55" s="318"/>
      <c r="AA55" s="318"/>
      <c r="AB55" s="318"/>
      <c r="AC55" s="318"/>
      <c r="AD55" s="318">
        <f>SUM(AD56,AD59,AD64,AD68,AD76,AD79)</f>
        <v>5424720</v>
      </c>
      <c r="AE55" s="201" t="s">
        <v>24</v>
      </c>
      <c r="AF55" s="2"/>
    </row>
    <row r="56" spans="1:32" s="12" customFormat="1" ht="21" customHeight="1">
      <c r="A56" s="50"/>
      <c r="B56" s="315"/>
      <c r="C56" s="315" t="s">
        <v>92</v>
      </c>
      <c r="D56" s="182">
        <v>0</v>
      </c>
      <c r="E56" s="124">
        <f>AD56/1000</f>
        <v>0</v>
      </c>
      <c r="F56" s="124">
        <v>0</v>
      </c>
      <c r="G56" s="124">
        <v>0</v>
      </c>
      <c r="H56" s="124">
        <v>0</v>
      </c>
      <c r="I56" s="124">
        <v>0</v>
      </c>
      <c r="J56" s="124">
        <v>0</v>
      </c>
      <c r="K56" s="124">
        <v>0</v>
      </c>
      <c r="L56" s="124">
        <f>E56-D56</f>
        <v>0</v>
      </c>
      <c r="M56" s="84">
        <f>IF(D56=0,0,L56/D56)</f>
        <v>0</v>
      </c>
      <c r="N56" s="130" t="s">
        <v>40</v>
      </c>
      <c r="O56" s="209"/>
      <c r="P56" s="209"/>
      <c r="Q56" s="209"/>
      <c r="R56" s="209"/>
      <c r="S56" s="209"/>
      <c r="T56" s="208"/>
      <c r="U56" s="208"/>
      <c r="V56" s="208"/>
      <c r="W56" s="208"/>
      <c r="X56" s="208"/>
      <c r="Y56" s="318" t="s">
        <v>131</v>
      </c>
      <c r="Z56" s="318"/>
      <c r="AA56" s="318"/>
      <c r="AB56" s="318"/>
      <c r="AC56" s="202"/>
      <c r="AD56" s="202">
        <f>AD57</f>
        <v>0</v>
      </c>
      <c r="AE56" s="201" t="s">
        <v>24</v>
      </c>
      <c r="AF56" s="2"/>
    </row>
    <row r="57" spans="1:32" s="12" customFormat="1" ht="21" customHeight="1">
      <c r="A57" s="50"/>
      <c r="B57" s="315"/>
      <c r="C57" s="315"/>
      <c r="D57" s="182"/>
      <c r="E57" s="124"/>
      <c r="F57" s="124"/>
      <c r="G57" s="124"/>
      <c r="H57" s="124"/>
      <c r="I57" s="124"/>
      <c r="J57" s="124"/>
      <c r="K57" s="124"/>
      <c r="L57" s="124"/>
      <c r="M57" s="84"/>
      <c r="N57" s="321" t="s">
        <v>133</v>
      </c>
      <c r="O57" s="321"/>
      <c r="P57" s="321"/>
      <c r="Q57" s="321"/>
      <c r="R57" s="320">
        <v>0</v>
      </c>
      <c r="S57" s="320"/>
      <c r="T57" s="59" t="s">
        <v>24</v>
      </c>
      <c r="U57" s="59" t="s">
        <v>25</v>
      </c>
      <c r="V57" s="320">
        <v>1</v>
      </c>
      <c r="W57" s="59" t="s">
        <v>134</v>
      </c>
      <c r="X57" s="320" t="s">
        <v>25</v>
      </c>
      <c r="Y57" s="320">
        <v>0</v>
      </c>
      <c r="Z57" s="320" t="s">
        <v>135</v>
      </c>
      <c r="AA57" s="320" t="s">
        <v>26</v>
      </c>
      <c r="AB57" s="320"/>
      <c r="AC57" s="320"/>
      <c r="AD57" s="320">
        <v>0</v>
      </c>
      <c r="AE57" s="61" t="s">
        <v>66</v>
      </c>
      <c r="AF57" s="2"/>
    </row>
    <row r="58" spans="1:32" s="12" customFormat="1" ht="21" customHeight="1">
      <c r="A58" s="50"/>
      <c r="B58" s="315"/>
      <c r="C58" s="315"/>
      <c r="D58" s="182"/>
      <c r="E58" s="124"/>
      <c r="F58" s="124"/>
      <c r="G58" s="124"/>
      <c r="H58" s="124"/>
      <c r="I58" s="124"/>
      <c r="J58" s="124"/>
      <c r="K58" s="124"/>
      <c r="L58" s="124"/>
      <c r="M58" s="8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256"/>
      <c r="AF58" s="2"/>
    </row>
    <row r="59" spans="1:32" s="12" customFormat="1" ht="21" customHeight="1">
      <c r="A59" s="50"/>
      <c r="B59" s="315"/>
      <c r="C59" s="314" t="s">
        <v>41</v>
      </c>
      <c r="D59" s="184">
        <v>3799</v>
      </c>
      <c r="E59" s="127">
        <f>ROUND(AD59/1000,0)</f>
        <v>1840</v>
      </c>
      <c r="F59" s="127">
        <f>(AD60+AD61)/1000</f>
        <v>1839.96</v>
      </c>
      <c r="G59" s="127">
        <v>0</v>
      </c>
      <c r="H59" s="127">
        <f>AD62/1000</f>
        <v>0</v>
      </c>
      <c r="I59" s="127">
        <v>0</v>
      </c>
      <c r="J59" s="127">
        <v>0</v>
      </c>
      <c r="K59" s="127">
        <v>0</v>
      </c>
      <c r="L59" s="127">
        <f>E59-D59</f>
        <v>-1959</v>
      </c>
      <c r="M59" s="133">
        <f>IF(D59=0,0,L59/D59)</f>
        <v>-0.51566201632008424</v>
      </c>
      <c r="N59" s="113" t="s">
        <v>42</v>
      </c>
      <c r="O59" s="211"/>
      <c r="P59" s="211"/>
      <c r="Q59" s="211"/>
      <c r="R59" s="211"/>
      <c r="S59" s="211"/>
      <c r="T59" s="210"/>
      <c r="U59" s="210"/>
      <c r="V59" s="210"/>
      <c r="W59" s="210"/>
      <c r="X59" s="210"/>
      <c r="Y59" s="318" t="s">
        <v>158</v>
      </c>
      <c r="Z59" s="318"/>
      <c r="AA59" s="318"/>
      <c r="AB59" s="318"/>
      <c r="AC59" s="202"/>
      <c r="AD59" s="202">
        <f>SUM(AD60:AD62)</f>
        <v>1839960</v>
      </c>
      <c r="AE59" s="201" t="s">
        <v>24</v>
      </c>
      <c r="AF59" s="2"/>
    </row>
    <row r="60" spans="1:32" s="12" customFormat="1" ht="33" customHeight="1">
      <c r="A60" s="50"/>
      <c r="B60" s="315"/>
      <c r="C60" s="315" t="s">
        <v>138</v>
      </c>
      <c r="D60" s="182"/>
      <c r="E60" s="124"/>
      <c r="F60" s="124"/>
      <c r="G60" s="124"/>
      <c r="H60" s="124"/>
      <c r="I60" s="124"/>
      <c r="J60" s="124"/>
      <c r="K60" s="124"/>
      <c r="L60" s="124"/>
      <c r="M60" s="398"/>
      <c r="N60" s="80" t="s">
        <v>319</v>
      </c>
      <c r="O60" s="366"/>
      <c r="P60" s="366"/>
      <c r="Q60" s="366"/>
      <c r="R60" s="365"/>
      <c r="S60" s="365"/>
      <c r="T60" s="59"/>
      <c r="U60" s="59"/>
      <c r="V60" s="365"/>
      <c r="W60" s="366"/>
      <c r="X60" s="365"/>
      <c r="Y60" s="365"/>
      <c r="Z60" s="365"/>
      <c r="AA60" s="365"/>
      <c r="AB60" s="365" t="s">
        <v>271</v>
      </c>
      <c r="AC60" s="365"/>
      <c r="AD60" s="365">
        <v>1039960</v>
      </c>
      <c r="AE60" s="61" t="s">
        <v>145</v>
      </c>
      <c r="AF60" s="2"/>
    </row>
    <row r="61" spans="1:32" s="12" customFormat="1" ht="33" customHeight="1">
      <c r="A61" s="50"/>
      <c r="B61" s="315"/>
      <c r="C61" s="315"/>
      <c r="D61" s="182"/>
      <c r="E61" s="124"/>
      <c r="F61" s="124"/>
      <c r="G61" s="124"/>
      <c r="H61" s="124"/>
      <c r="I61" s="124"/>
      <c r="J61" s="124"/>
      <c r="K61" s="124"/>
      <c r="L61" s="124"/>
      <c r="M61" s="398"/>
      <c r="N61" s="80" t="s">
        <v>369</v>
      </c>
      <c r="O61" s="366"/>
      <c r="P61" s="366"/>
      <c r="Q61" s="366"/>
      <c r="R61" s="365"/>
      <c r="S61" s="365"/>
      <c r="T61" s="59"/>
      <c r="U61" s="365"/>
      <c r="V61" s="479"/>
      <c r="W61" s="480"/>
      <c r="X61" s="365"/>
      <c r="Y61" s="104"/>
      <c r="Z61" s="104"/>
      <c r="AA61" s="104"/>
      <c r="AB61" s="104" t="s">
        <v>271</v>
      </c>
      <c r="AC61" s="104"/>
      <c r="AD61" s="104">
        <v>800000</v>
      </c>
      <c r="AE61" s="135" t="s">
        <v>24</v>
      </c>
      <c r="AF61" s="2"/>
    </row>
    <row r="62" spans="1:32" s="12" customFormat="1" ht="21" customHeight="1">
      <c r="A62" s="50"/>
      <c r="B62" s="315"/>
      <c r="C62" s="315"/>
      <c r="D62" s="182"/>
      <c r="E62" s="124"/>
      <c r="F62" s="124"/>
      <c r="G62" s="124"/>
      <c r="H62" s="124"/>
      <c r="I62" s="124"/>
      <c r="J62" s="124"/>
      <c r="K62" s="124"/>
      <c r="L62" s="124"/>
      <c r="M62" s="84"/>
      <c r="N62" s="384"/>
      <c r="O62" s="369"/>
      <c r="P62" s="369"/>
      <c r="Q62" s="369"/>
      <c r="R62" s="368"/>
      <c r="S62" s="368"/>
      <c r="T62" s="59"/>
      <c r="U62" s="368"/>
      <c r="V62" s="479"/>
      <c r="W62" s="480"/>
      <c r="X62" s="368"/>
      <c r="Y62" s="104"/>
      <c r="Z62" s="104"/>
      <c r="AA62" s="104"/>
      <c r="AB62" s="104"/>
      <c r="AC62" s="104"/>
      <c r="AD62" s="104"/>
      <c r="AE62" s="135"/>
      <c r="AF62" s="2"/>
    </row>
    <row r="63" spans="1:32" s="12" customFormat="1" ht="21" customHeight="1">
      <c r="A63" s="50"/>
      <c r="B63" s="315"/>
      <c r="C63" s="63"/>
      <c r="D63" s="183"/>
      <c r="E63" s="125"/>
      <c r="F63" s="125"/>
      <c r="G63" s="125"/>
      <c r="H63" s="125"/>
      <c r="I63" s="125"/>
      <c r="J63" s="125"/>
      <c r="K63" s="125"/>
      <c r="L63" s="125"/>
      <c r="M63" s="100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5"/>
      <c r="AE63" s="146"/>
      <c r="AF63" s="2"/>
    </row>
    <row r="64" spans="1:32" s="12" customFormat="1" ht="21" customHeight="1">
      <c r="A64" s="50"/>
      <c r="B64" s="315"/>
      <c r="C64" s="315" t="s">
        <v>39</v>
      </c>
      <c r="D64" s="182">
        <v>3660</v>
      </c>
      <c r="E64" s="124">
        <f>ROUND(AD64/1000,0)</f>
        <v>3240</v>
      </c>
      <c r="F64" s="124">
        <f>(AD66+AD65)/1000</f>
        <v>3240</v>
      </c>
      <c r="G64" s="124">
        <v>0</v>
      </c>
      <c r="H64" s="124">
        <v>0</v>
      </c>
      <c r="I64" s="124">
        <v>0</v>
      </c>
      <c r="J64" s="124">
        <v>0</v>
      </c>
      <c r="K64" s="124">
        <v>0</v>
      </c>
      <c r="L64" s="124">
        <f>E64-D64</f>
        <v>-420</v>
      </c>
      <c r="M64" s="84">
        <f>IF(D64=0,0,L64/D64)</f>
        <v>-0.11475409836065574</v>
      </c>
      <c r="N64" s="130" t="s">
        <v>43</v>
      </c>
      <c r="O64" s="209"/>
      <c r="P64" s="209"/>
      <c r="Q64" s="209"/>
      <c r="R64" s="209"/>
      <c r="S64" s="209"/>
      <c r="T64" s="208"/>
      <c r="U64" s="208"/>
      <c r="V64" s="208"/>
      <c r="W64" s="208"/>
      <c r="X64" s="208"/>
      <c r="Y64" s="318" t="s">
        <v>131</v>
      </c>
      <c r="Z64" s="318"/>
      <c r="AA64" s="318"/>
      <c r="AB64" s="318"/>
      <c r="AC64" s="202"/>
      <c r="AD64" s="202">
        <f>SUM(AD65:AD66)</f>
        <v>3240000</v>
      </c>
      <c r="AE64" s="201" t="s">
        <v>24</v>
      </c>
      <c r="AF64" s="5"/>
    </row>
    <row r="65" spans="1:34" s="12" customFormat="1" ht="21" customHeight="1">
      <c r="A65" s="50"/>
      <c r="B65" s="315"/>
      <c r="C65" s="315"/>
      <c r="D65" s="182"/>
      <c r="E65" s="124"/>
      <c r="F65" s="124"/>
      <c r="G65" s="124"/>
      <c r="H65" s="124"/>
      <c r="I65" s="124"/>
      <c r="J65" s="124"/>
      <c r="K65" s="124"/>
      <c r="L65" s="124"/>
      <c r="M65" s="84"/>
      <c r="N65" s="186" t="s">
        <v>416</v>
      </c>
      <c r="O65" s="400"/>
      <c r="P65" s="400"/>
      <c r="Q65" s="400"/>
      <c r="R65" s="399">
        <v>20000</v>
      </c>
      <c r="S65" s="399"/>
      <c r="T65" s="59" t="s">
        <v>24</v>
      </c>
      <c r="U65" s="59" t="s">
        <v>25</v>
      </c>
      <c r="V65" s="399">
        <v>12</v>
      </c>
      <c r="W65" s="400" t="s">
        <v>28</v>
      </c>
      <c r="X65" s="399" t="s">
        <v>26</v>
      </c>
      <c r="Y65" s="399"/>
      <c r="Z65" s="399"/>
      <c r="AA65" s="399"/>
      <c r="AB65" s="399" t="s">
        <v>417</v>
      </c>
      <c r="AC65" s="399"/>
      <c r="AD65" s="399">
        <f>R65*V65</f>
        <v>240000</v>
      </c>
      <c r="AE65" s="61" t="s">
        <v>24</v>
      </c>
    </row>
    <row r="66" spans="1:34" s="12" customFormat="1" ht="21" customHeight="1">
      <c r="A66" s="50"/>
      <c r="B66" s="315"/>
      <c r="C66" s="315"/>
      <c r="D66" s="182"/>
      <c r="E66" s="124"/>
      <c r="F66" s="124"/>
      <c r="G66" s="124"/>
      <c r="H66" s="124"/>
      <c r="I66" s="124"/>
      <c r="J66" s="124"/>
      <c r="K66" s="124"/>
      <c r="L66" s="124"/>
      <c r="M66" s="84"/>
      <c r="N66" s="80" t="s">
        <v>269</v>
      </c>
      <c r="O66" s="321"/>
      <c r="P66" s="321"/>
      <c r="Q66" s="321"/>
      <c r="R66" s="320">
        <v>250000</v>
      </c>
      <c r="S66" s="320"/>
      <c r="T66" s="59" t="s">
        <v>56</v>
      </c>
      <c r="U66" s="59" t="s">
        <v>25</v>
      </c>
      <c r="V66" s="320">
        <v>12</v>
      </c>
      <c r="W66" s="321" t="s">
        <v>0</v>
      </c>
      <c r="X66" s="320" t="s">
        <v>26</v>
      </c>
      <c r="Y66" s="320"/>
      <c r="Z66" s="320"/>
      <c r="AA66" s="320"/>
      <c r="AB66" s="320" t="s">
        <v>271</v>
      </c>
      <c r="AC66" s="320"/>
      <c r="AD66" s="320">
        <f>R66*V66</f>
        <v>3000000</v>
      </c>
      <c r="AE66" s="61" t="s">
        <v>108</v>
      </c>
    </row>
    <row r="67" spans="1:34" s="12" customFormat="1" ht="21" customHeight="1">
      <c r="A67" s="50"/>
      <c r="B67" s="315"/>
      <c r="C67" s="315"/>
      <c r="D67" s="182"/>
      <c r="E67" s="124"/>
      <c r="F67" s="124"/>
      <c r="G67" s="124"/>
      <c r="H67" s="124"/>
      <c r="I67" s="124"/>
      <c r="J67" s="124"/>
      <c r="K67" s="124"/>
      <c r="L67" s="124"/>
      <c r="M67" s="84"/>
      <c r="N67" s="321"/>
      <c r="O67" s="321"/>
      <c r="P67" s="321"/>
      <c r="Q67" s="321"/>
      <c r="R67" s="141"/>
      <c r="S67" s="141"/>
      <c r="T67" s="142"/>
      <c r="U67" s="142"/>
      <c r="V67" s="141"/>
      <c r="W67" s="140"/>
      <c r="X67" s="141"/>
      <c r="Y67" s="320"/>
      <c r="Z67" s="320"/>
      <c r="AA67" s="320"/>
      <c r="AB67" s="320"/>
      <c r="AC67" s="320"/>
      <c r="AD67" s="320"/>
      <c r="AE67" s="61"/>
      <c r="AF67" s="1"/>
    </row>
    <row r="68" spans="1:34" s="12" customFormat="1" ht="21" customHeight="1">
      <c r="A68" s="50"/>
      <c r="B68" s="315"/>
      <c r="C68" s="314" t="s">
        <v>14</v>
      </c>
      <c r="D68" s="184">
        <v>345</v>
      </c>
      <c r="E68" s="127">
        <f>ROUND(AD68/1000,0)</f>
        <v>345</v>
      </c>
      <c r="F68" s="127">
        <f>(AD71+AD72+AD73+AD69+AD70+AD74)/1000</f>
        <v>344.76</v>
      </c>
      <c r="G68" s="127">
        <v>0</v>
      </c>
      <c r="H68" s="127">
        <f>(F68)/1000</f>
        <v>0.34476000000000001</v>
      </c>
      <c r="I68" s="127">
        <v>0</v>
      </c>
      <c r="J68" s="127">
        <v>0</v>
      </c>
      <c r="K68" s="127">
        <v>0</v>
      </c>
      <c r="L68" s="214">
        <f>E68-D68</f>
        <v>0</v>
      </c>
      <c r="M68" s="133">
        <f>IF(D68=0,0,L68/D68)</f>
        <v>0</v>
      </c>
      <c r="N68" s="113" t="s">
        <v>44</v>
      </c>
      <c r="O68" s="211"/>
      <c r="P68" s="211"/>
      <c r="Q68" s="211"/>
      <c r="R68" s="211"/>
      <c r="S68" s="211"/>
      <c r="T68" s="210"/>
      <c r="U68" s="210"/>
      <c r="V68" s="210"/>
      <c r="W68" s="210"/>
      <c r="X68" s="210"/>
      <c r="Y68" s="318" t="s">
        <v>131</v>
      </c>
      <c r="Z68" s="318"/>
      <c r="AA68" s="318"/>
      <c r="AB68" s="318"/>
      <c r="AC68" s="202"/>
      <c r="AD68" s="202">
        <f>SUM(AD69:AD74)</f>
        <v>344760</v>
      </c>
      <c r="AE68" s="201" t="s">
        <v>24</v>
      </c>
      <c r="AF68" s="1"/>
    </row>
    <row r="69" spans="1:34" s="12" customFormat="1" ht="21" customHeight="1">
      <c r="A69" s="50"/>
      <c r="B69" s="315"/>
      <c r="C69" s="315"/>
      <c r="D69" s="182"/>
      <c r="E69" s="124"/>
      <c r="F69" s="124"/>
      <c r="G69" s="124"/>
      <c r="H69" s="124"/>
      <c r="I69" s="124"/>
      <c r="J69" s="124"/>
      <c r="K69" s="124"/>
      <c r="L69" s="124"/>
      <c r="M69" s="84"/>
      <c r="N69" s="321" t="s">
        <v>161</v>
      </c>
      <c r="O69" s="147"/>
      <c r="P69" s="147"/>
      <c r="Q69" s="147"/>
      <c r="R69" s="141">
        <v>41600</v>
      </c>
      <c r="S69" s="141"/>
      <c r="T69" s="142" t="s">
        <v>24</v>
      </c>
      <c r="U69" s="142" t="s">
        <v>25</v>
      </c>
      <c r="V69" s="141">
        <v>1</v>
      </c>
      <c r="W69" s="140" t="s">
        <v>157</v>
      </c>
      <c r="X69" s="141" t="s">
        <v>26</v>
      </c>
      <c r="Y69" s="320"/>
      <c r="Z69" s="320"/>
      <c r="AA69" s="321"/>
      <c r="AB69" s="321"/>
      <c r="AC69" s="320"/>
      <c r="AD69" s="320">
        <f>R69*V69</f>
        <v>41600</v>
      </c>
      <c r="AE69" s="61" t="s">
        <v>160</v>
      </c>
      <c r="AF69" s="1"/>
    </row>
    <row r="70" spans="1:34" s="12" customFormat="1" ht="21" customHeight="1">
      <c r="A70" s="50"/>
      <c r="B70" s="315"/>
      <c r="C70" s="315"/>
      <c r="D70" s="182"/>
      <c r="E70" s="124"/>
      <c r="F70" s="124"/>
      <c r="G70" s="124"/>
      <c r="H70" s="124"/>
      <c r="I70" s="124"/>
      <c r="J70" s="124"/>
      <c r="K70" s="124"/>
      <c r="L70" s="124"/>
      <c r="M70" s="84"/>
      <c r="N70" s="241" t="s">
        <v>162</v>
      </c>
      <c r="O70" s="34"/>
      <c r="P70" s="34"/>
      <c r="Q70" s="34"/>
      <c r="R70" s="141">
        <v>81600</v>
      </c>
      <c r="S70" s="141"/>
      <c r="T70" s="142" t="s">
        <v>24</v>
      </c>
      <c r="U70" s="142" t="s">
        <v>25</v>
      </c>
      <c r="V70" s="141">
        <v>1</v>
      </c>
      <c r="W70" s="140" t="s">
        <v>157</v>
      </c>
      <c r="X70" s="141" t="s">
        <v>26</v>
      </c>
      <c r="Y70" s="320"/>
      <c r="Z70" s="320"/>
      <c r="AA70" s="321"/>
      <c r="AB70" s="321"/>
      <c r="AC70" s="320"/>
      <c r="AD70" s="320">
        <f>R70*V70</f>
        <v>81600</v>
      </c>
      <c r="AE70" s="61" t="s">
        <v>160</v>
      </c>
      <c r="AF70" s="1"/>
    </row>
    <row r="71" spans="1:34" s="15" customFormat="1" ht="21" customHeight="1">
      <c r="A71" s="50"/>
      <c r="B71" s="315"/>
      <c r="C71" s="315"/>
      <c r="D71" s="182"/>
      <c r="E71" s="124"/>
      <c r="F71" s="124"/>
      <c r="G71" s="124"/>
      <c r="H71" s="124"/>
      <c r="I71" s="124"/>
      <c r="J71" s="124"/>
      <c r="K71" s="124"/>
      <c r="L71" s="124"/>
      <c r="M71" s="84"/>
      <c r="N71" s="321" t="s">
        <v>163</v>
      </c>
      <c r="O71" s="34"/>
      <c r="P71" s="34"/>
      <c r="Q71" s="34"/>
      <c r="R71" s="141">
        <v>110000</v>
      </c>
      <c r="S71" s="141"/>
      <c r="T71" s="142" t="s">
        <v>24</v>
      </c>
      <c r="U71" s="142" t="s">
        <v>25</v>
      </c>
      <c r="V71" s="141">
        <v>1</v>
      </c>
      <c r="W71" s="140" t="s">
        <v>157</v>
      </c>
      <c r="X71" s="141" t="s">
        <v>26</v>
      </c>
      <c r="Y71" s="320"/>
      <c r="Z71" s="320"/>
      <c r="AA71" s="321"/>
      <c r="AB71" s="321"/>
      <c r="AC71" s="320"/>
      <c r="AD71" s="320">
        <f t="shared" ref="AD71:AD73" si="5">R71*V71</f>
        <v>110000</v>
      </c>
      <c r="AE71" s="61" t="s">
        <v>24</v>
      </c>
      <c r="AF71" s="4"/>
    </row>
    <row r="72" spans="1:34" s="15" customFormat="1" ht="21" customHeight="1">
      <c r="A72" s="50"/>
      <c r="B72" s="315"/>
      <c r="C72" s="315"/>
      <c r="D72" s="182"/>
      <c r="E72" s="124"/>
      <c r="F72" s="124"/>
      <c r="G72" s="124"/>
      <c r="H72" s="124"/>
      <c r="I72" s="124"/>
      <c r="J72" s="124"/>
      <c r="K72" s="124"/>
      <c r="L72" s="124"/>
      <c r="M72" s="84"/>
      <c r="N72" s="321" t="s">
        <v>164</v>
      </c>
      <c r="O72" s="147"/>
      <c r="P72" s="147"/>
      <c r="Q72" s="147"/>
      <c r="R72" s="141">
        <v>55000</v>
      </c>
      <c r="S72" s="141"/>
      <c r="T72" s="142" t="s">
        <v>24</v>
      </c>
      <c r="U72" s="142" t="s">
        <v>25</v>
      </c>
      <c r="V72" s="141">
        <v>1</v>
      </c>
      <c r="W72" s="140" t="s">
        <v>157</v>
      </c>
      <c r="X72" s="141" t="s">
        <v>26</v>
      </c>
      <c r="Y72" s="320"/>
      <c r="Z72" s="320"/>
      <c r="AA72" s="321"/>
      <c r="AB72" s="321"/>
      <c r="AC72" s="320"/>
      <c r="AD72" s="320">
        <f t="shared" si="5"/>
        <v>55000</v>
      </c>
      <c r="AE72" s="61" t="s">
        <v>24</v>
      </c>
      <c r="AF72" s="4"/>
    </row>
    <row r="73" spans="1:34" s="12" customFormat="1" ht="21" customHeight="1">
      <c r="A73" s="50"/>
      <c r="B73" s="315"/>
      <c r="C73" s="315"/>
      <c r="D73" s="182"/>
      <c r="E73" s="124"/>
      <c r="F73" s="124"/>
      <c r="G73" s="124"/>
      <c r="H73" s="124"/>
      <c r="I73" s="124"/>
      <c r="J73" s="124"/>
      <c r="K73" s="124"/>
      <c r="L73" s="124"/>
      <c r="M73" s="84"/>
      <c r="N73" s="321" t="s">
        <v>165</v>
      </c>
      <c r="O73" s="34"/>
      <c r="P73" s="34"/>
      <c r="Q73" s="34"/>
      <c r="R73" s="141">
        <v>30800</v>
      </c>
      <c r="S73" s="141"/>
      <c r="T73" s="142" t="s">
        <v>24</v>
      </c>
      <c r="U73" s="142" t="s">
        <v>25</v>
      </c>
      <c r="V73" s="141">
        <v>1</v>
      </c>
      <c r="W73" s="140" t="s">
        <v>157</v>
      </c>
      <c r="X73" s="141" t="s">
        <v>26</v>
      </c>
      <c r="Y73" s="320"/>
      <c r="Z73" s="320"/>
      <c r="AA73" s="321"/>
      <c r="AB73" s="321"/>
      <c r="AC73" s="320"/>
      <c r="AD73" s="320">
        <f t="shared" si="5"/>
        <v>30800</v>
      </c>
      <c r="AE73" s="61" t="s">
        <v>24</v>
      </c>
      <c r="AF73" s="1"/>
    </row>
    <row r="74" spans="1:34" s="12" customFormat="1" ht="21" customHeight="1">
      <c r="A74" s="50"/>
      <c r="B74" s="315"/>
      <c r="C74" s="315"/>
      <c r="D74" s="182"/>
      <c r="E74" s="124"/>
      <c r="F74" s="124"/>
      <c r="G74" s="124"/>
      <c r="H74" s="124"/>
      <c r="I74" s="124"/>
      <c r="J74" s="124"/>
      <c r="K74" s="124"/>
      <c r="L74" s="124"/>
      <c r="M74" s="84"/>
      <c r="N74" s="321" t="s">
        <v>263</v>
      </c>
      <c r="O74" s="34"/>
      <c r="P74" s="34"/>
      <c r="Q74" s="34"/>
      <c r="R74" s="141">
        <v>25760</v>
      </c>
      <c r="S74" s="141"/>
      <c r="T74" s="142" t="s">
        <v>24</v>
      </c>
      <c r="U74" s="142" t="s">
        <v>25</v>
      </c>
      <c r="V74" s="141">
        <v>1</v>
      </c>
      <c r="W74" s="140" t="s">
        <v>74</v>
      </c>
      <c r="X74" s="141" t="s">
        <v>26</v>
      </c>
      <c r="Y74" s="320"/>
      <c r="Z74" s="320"/>
      <c r="AA74" s="321"/>
      <c r="AB74" s="321"/>
      <c r="AC74" s="320"/>
      <c r="AD74" s="320">
        <f t="shared" ref="AD74" si="6">R74*V74</f>
        <v>25760</v>
      </c>
      <c r="AE74" s="61" t="s">
        <v>66</v>
      </c>
      <c r="AF74" s="21"/>
      <c r="AG74" s="20"/>
      <c r="AH74" s="20"/>
    </row>
    <row r="75" spans="1:34" s="12" customFormat="1" ht="21" customHeight="1">
      <c r="A75" s="50"/>
      <c r="B75" s="315"/>
      <c r="C75" s="315"/>
      <c r="D75" s="182"/>
      <c r="E75" s="124"/>
      <c r="F75" s="124"/>
      <c r="G75" s="124"/>
      <c r="H75" s="124"/>
      <c r="I75" s="124"/>
      <c r="J75" s="124"/>
      <c r="K75" s="124"/>
      <c r="L75" s="124"/>
      <c r="M75" s="84"/>
      <c r="N75" s="321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89"/>
      <c r="Z75" s="89"/>
      <c r="AA75" s="89"/>
      <c r="AB75" s="89"/>
      <c r="AC75" s="89"/>
      <c r="AD75" s="320"/>
      <c r="AE75" s="61"/>
      <c r="AF75" s="21"/>
      <c r="AG75" s="20"/>
      <c r="AH75" s="20"/>
    </row>
    <row r="76" spans="1:34" s="12" customFormat="1" ht="21" customHeight="1">
      <c r="A76" s="50"/>
      <c r="B76" s="315"/>
      <c r="C76" s="314" t="s">
        <v>45</v>
      </c>
      <c r="D76" s="184">
        <v>0</v>
      </c>
      <c r="E76" s="127">
        <f>ROUND(AD76/1000,0)</f>
        <v>0</v>
      </c>
      <c r="F76" s="127">
        <v>0</v>
      </c>
      <c r="G76" s="127">
        <v>0</v>
      </c>
      <c r="H76" s="127">
        <v>0</v>
      </c>
      <c r="I76" s="127">
        <v>0</v>
      </c>
      <c r="J76" s="127">
        <v>0</v>
      </c>
      <c r="K76" s="127">
        <v>0</v>
      </c>
      <c r="L76" s="127">
        <f>E76-D76</f>
        <v>0</v>
      </c>
      <c r="M76" s="133">
        <f>IF(D76=0,0,L76/D76)</f>
        <v>0</v>
      </c>
      <c r="N76" s="113" t="s">
        <v>46</v>
      </c>
      <c r="O76" s="211"/>
      <c r="P76" s="211"/>
      <c r="Q76" s="211"/>
      <c r="R76" s="211"/>
      <c r="S76" s="211"/>
      <c r="T76" s="210"/>
      <c r="U76" s="210"/>
      <c r="V76" s="210"/>
      <c r="W76" s="210"/>
      <c r="X76" s="210"/>
      <c r="Y76" s="318" t="s">
        <v>131</v>
      </c>
      <c r="Z76" s="318"/>
      <c r="AA76" s="318"/>
      <c r="AB76" s="318"/>
      <c r="AC76" s="202"/>
      <c r="AD76" s="202">
        <f>SUM(AD77:AD77)</f>
        <v>0</v>
      </c>
      <c r="AE76" s="201" t="s">
        <v>24</v>
      </c>
      <c r="AF76" s="2"/>
    </row>
    <row r="77" spans="1:34" s="12" customFormat="1" ht="21" customHeight="1">
      <c r="A77" s="50"/>
      <c r="B77" s="315"/>
      <c r="C77" s="315"/>
      <c r="D77" s="340"/>
      <c r="E77" s="124"/>
      <c r="F77" s="124"/>
      <c r="G77" s="124"/>
      <c r="H77" s="124"/>
      <c r="I77" s="124"/>
      <c r="J77" s="124"/>
      <c r="K77" s="124"/>
      <c r="L77" s="124"/>
      <c r="M77" s="84"/>
      <c r="N77" s="321" t="s">
        <v>166</v>
      </c>
      <c r="O77" s="321"/>
      <c r="P77" s="321"/>
      <c r="Q77" s="321"/>
      <c r="R77" s="141">
        <v>0</v>
      </c>
      <c r="S77" s="141"/>
      <c r="T77" s="142" t="s">
        <v>24</v>
      </c>
      <c r="U77" s="142" t="s">
        <v>25</v>
      </c>
      <c r="V77" s="141">
        <v>12</v>
      </c>
      <c r="W77" s="140" t="s">
        <v>159</v>
      </c>
      <c r="X77" s="141" t="s">
        <v>26</v>
      </c>
      <c r="Y77" s="320"/>
      <c r="Z77" s="320"/>
      <c r="AA77" s="320"/>
      <c r="AB77" s="320"/>
      <c r="AC77" s="320"/>
      <c r="AD77" s="320">
        <f>R77*V77</f>
        <v>0</v>
      </c>
      <c r="AE77" s="61" t="s">
        <v>24</v>
      </c>
      <c r="AF77" s="1"/>
    </row>
    <row r="78" spans="1:34" s="12" customFormat="1" ht="21" customHeight="1">
      <c r="A78" s="50"/>
      <c r="B78" s="315"/>
      <c r="C78" s="63"/>
      <c r="D78" s="148"/>
      <c r="E78" s="125"/>
      <c r="F78" s="125"/>
      <c r="G78" s="125"/>
      <c r="H78" s="125"/>
      <c r="I78" s="125"/>
      <c r="J78" s="125"/>
      <c r="K78" s="125"/>
      <c r="L78" s="125"/>
      <c r="M78" s="100"/>
      <c r="N78" s="317"/>
      <c r="O78" s="317"/>
      <c r="P78" s="317"/>
      <c r="Q78" s="317"/>
      <c r="R78" s="316"/>
      <c r="S78" s="316"/>
      <c r="T78" s="101"/>
      <c r="U78" s="316"/>
      <c r="V78" s="475"/>
      <c r="W78" s="476"/>
      <c r="X78" s="316"/>
      <c r="Y78" s="316"/>
      <c r="Z78" s="316"/>
      <c r="AA78" s="316"/>
      <c r="AB78" s="316"/>
      <c r="AC78" s="316"/>
      <c r="AD78" s="316"/>
      <c r="AE78" s="87"/>
      <c r="AF78" s="1"/>
    </row>
    <row r="79" spans="1:34" s="12" customFormat="1" ht="21" customHeight="1">
      <c r="A79" s="50"/>
      <c r="B79" s="315"/>
      <c r="C79" s="314" t="s">
        <v>94</v>
      </c>
      <c r="D79" s="149">
        <v>0</v>
      </c>
      <c r="E79" s="127">
        <f>ROUND(AD79/1000,0)</f>
        <v>0</v>
      </c>
      <c r="F79" s="127">
        <f>AD80/1000</f>
        <v>0</v>
      </c>
      <c r="G79" s="127">
        <v>0</v>
      </c>
      <c r="H79" s="127">
        <v>0</v>
      </c>
      <c r="I79" s="127">
        <v>0</v>
      </c>
      <c r="J79" s="127">
        <v>0</v>
      </c>
      <c r="K79" s="127">
        <v>0</v>
      </c>
      <c r="L79" s="127">
        <f>E79-D79</f>
        <v>0</v>
      </c>
      <c r="M79" s="133">
        <f>IF(D79=0,0,L79/D79)</f>
        <v>0</v>
      </c>
      <c r="N79" s="130" t="s">
        <v>95</v>
      </c>
      <c r="O79" s="211"/>
      <c r="P79" s="211"/>
      <c r="Q79" s="211"/>
      <c r="R79" s="211"/>
      <c r="S79" s="211"/>
      <c r="T79" s="210"/>
      <c r="U79" s="210"/>
      <c r="V79" s="210"/>
      <c r="W79" s="210"/>
      <c r="X79" s="210"/>
      <c r="Y79" s="318" t="s">
        <v>131</v>
      </c>
      <c r="Z79" s="318"/>
      <c r="AA79" s="318"/>
      <c r="AB79" s="318"/>
      <c r="AC79" s="202"/>
      <c r="AD79" s="202">
        <f>SUM(AD80)</f>
        <v>0</v>
      </c>
      <c r="AE79" s="201" t="s">
        <v>24</v>
      </c>
      <c r="AF79" s="21"/>
    </row>
    <row r="80" spans="1:34" s="12" customFormat="1" ht="21" customHeight="1">
      <c r="A80" s="50"/>
      <c r="B80" s="315"/>
      <c r="C80" s="315"/>
      <c r="D80" s="150"/>
      <c r="E80" s="124"/>
      <c r="F80" s="124"/>
      <c r="G80" s="124"/>
      <c r="H80" s="124"/>
      <c r="I80" s="124"/>
      <c r="J80" s="124"/>
      <c r="K80" s="124"/>
      <c r="L80" s="124"/>
      <c r="M80" s="84"/>
      <c r="N80" s="321" t="s">
        <v>167</v>
      </c>
      <c r="O80" s="321"/>
      <c r="P80" s="321"/>
      <c r="Q80" s="321"/>
      <c r="R80" s="89"/>
      <c r="S80" s="89"/>
      <c r="T80" s="320"/>
      <c r="U80" s="320"/>
      <c r="V80" s="320"/>
      <c r="W80" s="320"/>
      <c r="X80" s="320"/>
      <c r="Y80" s="320"/>
      <c r="Z80" s="320"/>
      <c r="AA80" s="320"/>
      <c r="AB80" s="320"/>
      <c r="AC80" s="81"/>
      <c r="AD80" s="81">
        <v>0</v>
      </c>
      <c r="AE80" s="61" t="s">
        <v>160</v>
      </c>
      <c r="AF80" s="21"/>
    </row>
    <row r="81" spans="1:32" s="12" customFormat="1" ht="21" customHeight="1">
      <c r="A81" s="50"/>
      <c r="B81" s="315"/>
      <c r="C81" s="315"/>
      <c r="D81" s="150"/>
      <c r="E81" s="124"/>
      <c r="F81" s="124"/>
      <c r="G81" s="124"/>
      <c r="H81" s="124"/>
      <c r="I81" s="124"/>
      <c r="J81" s="124"/>
      <c r="K81" s="124"/>
      <c r="L81" s="124"/>
      <c r="M81" s="84"/>
      <c r="N81" s="310"/>
      <c r="O81" s="311"/>
      <c r="P81" s="311"/>
      <c r="Q81" s="311"/>
      <c r="R81" s="311"/>
      <c r="S81" s="311"/>
      <c r="T81" s="311"/>
      <c r="U81" s="311"/>
      <c r="V81" s="311"/>
      <c r="W81" s="311"/>
      <c r="X81" s="311"/>
      <c r="Y81" s="311"/>
      <c r="Z81" s="311"/>
      <c r="AA81" s="311"/>
      <c r="AB81" s="311"/>
      <c r="AC81" s="311"/>
      <c r="AD81" s="311"/>
      <c r="AE81" s="256"/>
      <c r="AF81" s="1"/>
    </row>
    <row r="82" spans="1:32" s="12" customFormat="1" ht="21" customHeight="1">
      <c r="A82" s="126" t="s">
        <v>47</v>
      </c>
      <c r="B82" s="474" t="s">
        <v>20</v>
      </c>
      <c r="C82" s="474"/>
      <c r="D82" s="217">
        <f>D83</f>
        <v>4079</v>
      </c>
      <c r="E82" s="217">
        <f>E83</f>
        <v>0</v>
      </c>
      <c r="F82" s="217">
        <f>F83</f>
        <v>0</v>
      </c>
      <c r="G82" s="217">
        <f>G83</f>
        <v>1000</v>
      </c>
      <c r="H82" s="217">
        <f>H83</f>
        <v>250</v>
      </c>
      <c r="I82" s="217">
        <v>0</v>
      </c>
      <c r="J82" s="217">
        <f t="shared" ref="J82:K82" si="7">J83</f>
        <v>0</v>
      </c>
      <c r="K82" s="217">
        <f t="shared" si="7"/>
        <v>0</v>
      </c>
      <c r="L82" s="217">
        <f>E82-D82</f>
        <v>-4079</v>
      </c>
      <c r="M82" s="195">
        <f>IF(D82=0,0,L82/D82)</f>
        <v>-1</v>
      </c>
      <c r="N82" s="209" t="s">
        <v>372</v>
      </c>
      <c r="O82" s="209"/>
      <c r="P82" s="209"/>
      <c r="Q82" s="209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>
        <f>AD83</f>
        <v>1250000</v>
      </c>
      <c r="AE82" s="39" t="s">
        <v>24</v>
      </c>
      <c r="AF82" s="1"/>
    </row>
    <row r="83" spans="1:32" s="12" customFormat="1" ht="21" customHeight="1">
      <c r="A83" s="216" t="s">
        <v>141</v>
      </c>
      <c r="B83" s="315" t="s">
        <v>17</v>
      </c>
      <c r="C83" s="315" t="s">
        <v>136</v>
      </c>
      <c r="D83" s="182">
        <f>D84+D88+D91</f>
        <v>4079</v>
      </c>
      <c r="E83" s="124">
        <f>SUM(E84,E88,E91)</f>
        <v>0</v>
      </c>
      <c r="F83" s="124">
        <f t="shared" ref="F83:K83" si="8">F84+F88+F91</f>
        <v>0</v>
      </c>
      <c r="G83" s="124">
        <f t="shared" si="8"/>
        <v>1000</v>
      </c>
      <c r="H83" s="124">
        <f t="shared" si="8"/>
        <v>250</v>
      </c>
      <c r="I83" s="124">
        <f t="shared" si="8"/>
        <v>0</v>
      </c>
      <c r="J83" s="124">
        <f t="shared" si="8"/>
        <v>0</v>
      </c>
      <c r="K83" s="124">
        <f t="shared" si="8"/>
        <v>0</v>
      </c>
      <c r="L83" s="124">
        <f>E83-D83</f>
        <v>-4079</v>
      </c>
      <c r="M83" s="84">
        <f>IF(D83=0,0,L83/D83)</f>
        <v>-1</v>
      </c>
      <c r="N83" s="211" t="s">
        <v>137</v>
      </c>
      <c r="O83" s="211"/>
      <c r="P83" s="211"/>
      <c r="Q83" s="211"/>
      <c r="R83" s="211"/>
      <c r="S83" s="211"/>
      <c r="T83" s="210"/>
      <c r="U83" s="210"/>
      <c r="V83" s="210"/>
      <c r="W83" s="210"/>
      <c r="X83" s="210"/>
      <c r="Y83" s="210"/>
      <c r="Z83" s="210"/>
      <c r="AA83" s="210"/>
      <c r="AB83" s="210"/>
      <c r="AC83" s="111"/>
      <c r="AD83" s="111">
        <f>SUM(AD84,AD88,AD91)</f>
        <v>1250000</v>
      </c>
      <c r="AE83" s="112" t="s">
        <v>24</v>
      </c>
      <c r="AF83" s="1"/>
    </row>
    <row r="84" spans="1:32" s="12" customFormat="1" ht="21" customHeight="1">
      <c r="A84" s="50"/>
      <c r="B84" s="315"/>
      <c r="C84" s="314" t="s">
        <v>137</v>
      </c>
      <c r="D84" s="214">
        <v>0</v>
      </c>
      <c r="E84" s="214">
        <v>0</v>
      </c>
      <c r="F84" s="214"/>
      <c r="G84" s="214">
        <f>AD85/1000</f>
        <v>1000</v>
      </c>
      <c r="H84" s="214">
        <f>AD86/1000</f>
        <v>250</v>
      </c>
      <c r="I84" s="214">
        <v>0</v>
      </c>
      <c r="J84" s="214">
        <v>0</v>
      </c>
      <c r="K84" s="214">
        <v>0</v>
      </c>
      <c r="L84" s="214">
        <f>E84-D84</f>
        <v>0</v>
      </c>
      <c r="M84" s="215">
        <f>IF(D84=0,0,L84/D84)</f>
        <v>0</v>
      </c>
      <c r="N84" s="113" t="s">
        <v>48</v>
      </c>
      <c r="O84" s="211"/>
      <c r="P84" s="211"/>
      <c r="Q84" s="211"/>
      <c r="R84" s="211"/>
      <c r="S84" s="211"/>
      <c r="T84" s="210"/>
      <c r="U84" s="210"/>
      <c r="V84" s="210"/>
      <c r="W84" s="210"/>
      <c r="X84" s="210"/>
      <c r="Y84" s="318" t="s">
        <v>131</v>
      </c>
      <c r="Z84" s="318"/>
      <c r="AA84" s="318"/>
      <c r="AB84" s="318"/>
      <c r="AC84" s="202"/>
      <c r="AD84" s="202">
        <f>SUM(AD85:AD86)</f>
        <v>1250000</v>
      </c>
      <c r="AE84" s="201" t="s">
        <v>24</v>
      </c>
      <c r="AF84" s="1"/>
    </row>
    <row r="85" spans="1:32" s="12" customFormat="1" ht="21" customHeight="1">
      <c r="A85" s="50"/>
      <c r="B85" s="315"/>
      <c r="C85" s="315"/>
      <c r="D85" s="340"/>
      <c r="E85" s="124"/>
      <c r="F85" s="124"/>
      <c r="G85" s="124"/>
      <c r="H85" s="124"/>
      <c r="I85" s="124"/>
      <c r="J85" s="124"/>
      <c r="K85" s="124"/>
      <c r="L85" s="124"/>
      <c r="M85" s="84"/>
      <c r="N85" s="384" t="s">
        <v>364</v>
      </c>
      <c r="O85" s="384"/>
      <c r="P85" s="384"/>
      <c r="Q85" s="209"/>
      <c r="R85" s="209"/>
      <c r="S85" s="209"/>
      <c r="T85" s="208"/>
      <c r="U85" s="208"/>
      <c r="V85" s="208"/>
      <c r="W85" s="208"/>
      <c r="X85" s="208"/>
      <c r="Y85" s="208"/>
      <c r="Z85" s="208"/>
      <c r="AA85" s="208"/>
      <c r="AB85" s="383" t="s">
        <v>93</v>
      </c>
      <c r="AC85" s="56"/>
      <c r="AD85" s="81">
        <v>1000000</v>
      </c>
      <c r="AE85" s="61" t="s">
        <v>24</v>
      </c>
      <c r="AF85" s="1"/>
    </row>
    <row r="86" spans="1:32" s="12" customFormat="1" ht="21" customHeight="1">
      <c r="A86" s="50"/>
      <c r="B86" s="315"/>
      <c r="C86" s="315"/>
      <c r="D86" s="182"/>
      <c r="E86" s="124"/>
      <c r="F86" s="124"/>
      <c r="G86" s="124"/>
      <c r="H86" s="124"/>
      <c r="I86" s="124"/>
      <c r="J86" s="124"/>
      <c r="K86" s="124"/>
      <c r="L86" s="124"/>
      <c r="M86" s="84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 t="s">
        <v>368</v>
      </c>
      <c r="AC86" s="89"/>
      <c r="AD86" s="341">
        <v>250000</v>
      </c>
      <c r="AE86" s="139" t="s">
        <v>366</v>
      </c>
      <c r="AF86" s="1"/>
    </row>
    <row r="87" spans="1:32" s="15" customFormat="1" ht="21" customHeight="1">
      <c r="A87" s="50"/>
      <c r="B87" s="382"/>
      <c r="C87" s="382"/>
      <c r="D87" s="182"/>
      <c r="E87" s="124"/>
      <c r="F87" s="124"/>
      <c r="G87" s="124"/>
      <c r="H87" s="124"/>
      <c r="I87" s="124"/>
      <c r="J87" s="124"/>
      <c r="K87" s="124"/>
      <c r="L87" s="124"/>
      <c r="M87" s="84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341"/>
      <c r="AE87" s="139"/>
      <c r="AF87" s="4"/>
    </row>
    <row r="88" spans="1:32" ht="21" customHeight="1">
      <c r="A88" s="50"/>
      <c r="B88" s="315"/>
      <c r="C88" s="314" t="s">
        <v>18</v>
      </c>
      <c r="D88" s="184">
        <v>4079</v>
      </c>
      <c r="E88" s="127">
        <f>F88+G88+H88+K88</f>
        <v>0</v>
      </c>
      <c r="F88" s="127">
        <f>0/1000</f>
        <v>0</v>
      </c>
      <c r="G88" s="127"/>
      <c r="H88" s="127">
        <f>(AD89)/1000</f>
        <v>0</v>
      </c>
      <c r="I88" s="127">
        <v>0</v>
      </c>
      <c r="J88" s="127">
        <v>0</v>
      </c>
      <c r="K88" s="127">
        <v>0</v>
      </c>
      <c r="L88" s="127">
        <f>E88-D88</f>
        <v>-4079</v>
      </c>
      <c r="M88" s="133">
        <f>IF(D88=0,0,L88/D88)</f>
        <v>-1</v>
      </c>
      <c r="N88" s="113" t="s">
        <v>49</v>
      </c>
      <c r="O88" s="211"/>
      <c r="P88" s="211"/>
      <c r="Q88" s="211"/>
      <c r="R88" s="211"/>
      <c r="S88" s="211"/>
      <c r="T88" s="210"/>
      <c r="U88" s="210"/>
      <c r="V88" s="210"/>
      <c r="W88" s="210"/>
      <c r="X88" s="210"/>
      <c r="Y88" s="318" t="s">
        <v>131</v>
      </c>
      <c r="Z88" s="318"/>
      <c r="AA88" s="318"/>
      <c r="AB88" s="318"/>
      <c r="AC88" s="202"/>
      <c r="AD88" s="202">
        <f>SUM(AD89:AD89)</f>
        <v>0</v>
      </c>
      <c r="AE88" s="201" t="s">
        <v>24</v>
      </c>
    </row>
    <row r="89" spans="1:32" s="12" customFormat="1" ht="21" customHeight="1">
      <c r="A89" s="50"/>
      <c r="B89" s="315"/>
      <c r="C89" s="315"/>
      <c r="D89" s="340"/>
      <c r="E89" s="124"/>
      <c r="F89" s="124"/>
      <c r="G89" s="124"/>
      <c r="H89" s="124"/>
      <c r="I89" s="124"/>
      <c r="J89" s="124"/>
      <c r="K89" s="124"/>
      <c r="L89" s="124"/>
      <c r="M89" s="84"/>
      <c r="N89" s="384"/>
      <c r="O89" s="321"/>
      <c r="P89" s="321"/>
      <c r="Q89" s="209"/>
      <c r="R89" s="209"/>
      <c r="S89" s="209"/>
      <c r="T89" s="208"/>
      <c r="U89" s="208"/>
      <c r="V89" s="208"/>
      <c r="W89" s="208"/>
      <c r="X89" s="208"/>
      <c r="Y89" s="208"/>
      <c r="Z89" s="208"/>
      <c r="AA89" s="208"/>
      <c r="AB89" s="380"/>
      <c r="AC89" s="56"/>
      <c r="AD89" s="81">
        <v>0</v>
      </c>
      <c r="AE89" s="61" t="s">
        <v>24</v>
      </c>
      <c r="AF89" s="1"/>
    </row>
    <row r="90" spans="1:32" s="12" customFormat="1" ht="21" customHeight="1">
      <c r="A90" s="50"/>
      <c r="B90" s="367"/>
      <c r="C90" s="367"/>
      <c r="D90" s="340"/>
      <c r="E90" s="124"/>
      <c r="F90" s="124"/>
      <c r="G90" s="150"/>
      <c r="H90" s="124"/>
      <c r="I90" s="124"/>
      <c r="J90" s="124"/>
      <c r="K90" s="124"/>
      <c r="L90" s="124"/>
      <c r="M90" s="84"/>
      <c r="N90" s="369"/>
      <c r="O90" s="369"/>
      <c r="P90" s="369"/>
      <c r="Q90" s="369"/>
      <c r="R90" s="369"/>
      <c r="S90" s="369"/>
      <c r="T90" s="368"/>
      <c r="U90" s="208"/>
      <c r="V90" s="208"/>
      <c r="W90" s="208"/>
      <c r="X90" s="208"/>
      <c r="Y90" s="208"/>
      <c r="Z90" s="208"/>
      <c r="AA90" s="208"/>
      <c r="AB90" s="368"/>
      <c r="AC90" s="56"/>
      <c r="AD90" s="81"/>
      <c r="AE90" s="61"/>
      <c r="AF90" s="1"/>
    </row>
    <row r="91" spans="1:32" s="12" customFormat="1" ht="21" customHeight="1">
      <c r="A91" s="50"/>
      <c r="B91" s="315"/>
      <c r="C91" s="314" t="s">
        <v>50</v>
      </c>
      <c r="D91" s="184">
        <v>0</v>
      </c>
      <c r="E91" s="127">
        <f>F91+G91+K91</f>
        <v>0</v>
      </c>
      <c r="F91" s="127">
        <f>ROUND(AD92/1000,0)</f>
        <v>0</v>
      </c>
      <c r="G91" s="371">
        <f>AD93/1000</f>
        <v>0</v>
      </c>
      <c r="H91" s="127">
        <f>AD94/1000</f>
        <v>0</v>
      </c>
      <c r="I91" s="127">
        <v>0</v>
      </c>
      <c r="J91" s="127">
        <v>0</v>
      </c>
      <c r="K91" s="127">
        <v>0</v>
      </c>
      <c r="L91" s="127">
        <f>E91-D91</f>
        <v>0</v>
      </c>
      <c r="M91" s="133">
        <f>IF(D91=0,0,L91/D91)</f>
        <v>0</v>
      </c>
      <c r="N91" s="113" t="s">
        <v>51</v>
      </c>
      <c r="O91" s="211"/>
      <c r="P91" s="211"/>
      <c r="Q91" s="211"/>
      <c r="R91" s="211"/>
      <c r="S91" s="211"/>
      <c r="T91" s="210"/>
      <c r="U91" s="210"/>
      <c r="V91" s="210"/>
      <c r="W91" s="210"/>
      <c r="X91" s="210"/>
      <c r="Y91" s="318" t="s">
        <v>131</v>
      </c>
      <c r="Z91" s="318"/>
      <c r="AA91" s="318"/>
      <c r="AB91" s="318"/>
      <c r="AC91" s="202"/>
      <c r="AD91" s="202">
        <f>SUM(AD92:AD93)</f>
        <v>0</v>
      </c>
      <c r="AE91" s="201" t="s">
        <v>24</v>
      </c>
      <c r="AF91" s="1"/>
    </row>
    <row r="92" spans="1:32" s="12" customFormat="1" ht="21" customHeight="1">
      <c r="A92" s="50"/>
      <c r="B92" s="315"/>
      <c r="C92" s="315" t="s">
        <v>143</v>
      </c>
      <c r="D92" s="182"/>
      <c r="E92" s="124"/>
      <c r="F92" s="124"/>
      <c r="G92" s="124"/>
      <c r="H92" s="124"/>
      <c r="I92" s="124"/>
      <c r="J92" s="124"/>
      <c r="K92" s="124"/>
      <c r="L92" s="124"/>
      <c r="M92" s="84"/>
      <c r="N92" s="321"/>
      <c r="O92" s="321"/>
      <c r="P92" s="321"/>
      <c r="Q92" s="321"/>
      <c r="R92" s="320"/>
      <c r="S92" s="320"/>
      <c r="T92" s="59"/>
      <c r="U92" s="59"/>
      <c r="V92" s="320"/>
      <c r="W92" s="321"/>
      <c r="X92" s="320"/>
      <c r="Y92" s="320"/>
      <c r="Z92" s="320"/>
      <c r="AA92" s="320"/>
      <c r="AB92" s="320"/>
      <c r="AC92" s="320"/>
      <c r="AD92" s="320">
        <v>0</v>
      </c>
      <c r="AE92" s="61" t="s">
        <v>24</v>
      </c>
      <c r="AF92" s="1"/>
    </row>
    <row r="93" spans="1:32" s="12" customFormat="1" ht="21" customHeight="1">
      <c r="A93" s="50"/>
      <c r="B93" s="315"/>
      <c r="C93" s="315"/>
      <c r="D93" s="182"/>
      <c r="E93" s="124"/>
      <c r="F93" s="124"/>
      <c r="G93" s="124"/>
      <c r="H93" s="124"/>
      <c r="I93" s="124"/>
      <c r="J93" s="124"/>
      <c r="K93" s="124"/>
      <c r="L93" s="124"/>
      <c r="M93" s="84"/>
      <c r="N93" s="321"/>
      <c r="O93" s="321"/>
      <c r="P93" s="321"/>
      <c r="Q93" s="321"/>
      <c r="R93" s="320"/>
      <c r="S93" s="320"/>
      <c r="T93" s="59"/>
      <c r="U93" s="59"/>
      <c r="V93" s="320"/>
      <c r="W93" s="321"/>
      <c r="X93" s="320"/>
      <c r="Y93" s="320"/>
      <c r="Z93" s="320"/>
      <c r="AA93" s="320"/>
      <c r="AB93" s="320"/>
      <c r="AC93" s="320"/>
      <c r="AD93" s="320">
        <v>0</v>
      </c>
      <c r="AE93" s="61" t="s">
        <v>24</v>
      </c>
      <c r="AF93" s="1"/>
    </row>
    <row r="94" spans="1:32" s="12" customFormat="1" ht="21" customHeight="1">
      <c r="A94" s="50"/>
      <c r="B94" s="315"/>
      <c r="C94" s="315"/>
      <c r="D94" s="182"/>
      <c r="E94" s="124"/>
      <c r="F94" s="124"/>
      <c r="G94" s="124"/>
      <c r="H94" s="124"/>
      <c r="I94" s="124"/>
      <c r="J94" s="124"/>
      <c r="K94" s="124"/>
      <c r="L94" s="124"/>
      <c r="M94" s="84"/>
      <c r="N94" s="321"/>
      <c r="O94" s="321"/>
      <c r="P94" s="321"/>
      <c r="Q94" s="321"/>
      <c r="R94" s="320"/>
      <c r="S94" s="320"/>
      <c r="T94" s="59"/>
      <c r="U94" s="59"/>
      <c r="V94" s="320"/>
      <c r="W94" s="321"/>
      <c r="X94" s="320"/>
      <c r="Y94" s="320"/>
      <c r="Z94" s="320"/>
      <c r="AA94" s="320"/>
      <c r="AB94" s="320"/>
      <c r="AC94" s="320"/>
      <c r="AD94" s="320"/>
      <c r="AE94" s="61"/>
      <c r="AF94" s="1"/>
    </row>
    <row r="95" spans="1:32" s="12" customFormat="1" ht="21" customHeight="1">
      <c r="A95" s="126" t="s">
        <v>19</v>
      </c>
      <c r="B95" s="472" t="s">
        <v>20</v>
      </c>
      <c r="C95" s="473"/>
      <c r="D95" s="218">
        <f>SUM(D96,D120)</f>
        <v>18537</v>
      </c>
      <c r="E95" s="218">
        <f>SUM(E96,E120)</f>
        <v>22905</v>
      </c>
      <c r="F95" s="218">
        <f>SUM(F96,F120)</f>
        <v>11126</v>
      </c>
      <c r="G95" s="218">
        <f>SUM(G96,G120)</f>
        <v>0</v>
      </c>
      <c r="H95" s="218">
        <f>SUM(H96,H120)</f>
        <v>10978</v>
      </c>
      <c r="I95" s="218">
        <f>I96</f>
        <v>0</v>
      </c>
      <c r="J95" s="218">
        <f>SUM(J96)</f>
        <v>0</v>
      </c>
      <c r="K95" s="218">
        <f>SUM(K96,K120)</f>
        <v>0</v>
      </c>
      <c r="L95" s="218">
        <f>SUM(L96,L103,L108,L112,L116)</f>
        <v>-1351</v>
      </c>
      <c r="M95" s="219">
        <f>IF(D95=0,0,L95/D95)</f>
        <v>-7.2881264498030965E-2</v>
      </c>
      <c r="N95" s="211" t="s">
        <v>373</v>
      </c>
      <c r="O95" s="211"/>
      <c r="P95" s="211"/>
      <c r="Q95" s="211"/>
      <c r="R95" s="211"/>
      <c r="S95" s="211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>
        <f>SUM(AD96,AD120)</f>
        <v>22905000</v>
      </c>
      <c r="AE95" s="112" t="s">
        <v>24</v>
      </c>
      <c r="AF95" s="1"/>
    </row>
    <row r="96" spans="1:32" s="12" customFormat="1" ht="21" customHeight="1">
      <c r="A96" s="50"/>
      <c r="B96" s="314" t="s">
        <v>100</v>
      </c>
      <c r="C96" s="314" t="s">
        <v>139</v>
      </c>
      <c r="D96" s="127">
        <f>SUM(D97,D103,D108,D112,D116)</f>
        <v>15041</v>
      </c>
      <c r="E96" s="127">
        <f>SUM(E97,E103,E108,E112,E116)</f>
        <v>14095</v>
      </c>
      <c r="F96" s="127">
        <f>SUM(F97,F103,F108,F112,F116)</f>
        <v>11126</v>
      </c>
      <c r="G96" s="127">
        <f>SUM(G97,G103,G108,G112,G116)</f>
        <v>0</v>
      </c>
      <c r="H96" s="127">
        <f>SUM(H97,H103,H108,H112,H116)</f>
        <v>2569</v>
      </c>
      <c r="I96" s="127">
        <f>I97</f>
        <v>0</v>
      </c>
      <c r="J96" s="127">
        <f>SUM(J97,J103,J108,J112,J116)</f>
        <v>0</v>
      </c>
      <c r="K96" s="127">
        <f>SUM(K97,K103,K108,K112,K116)</f>
        <v>0</v>
      </c>
      <c r="L96" s="127">
        <f>E96-D96</f>
        <v>-946</v>
      </c>
      <c r="M96" s="133">
        <f>IF(D96=0,0,L96/D96)</f>
        <v>-6.2894754338142414E-2</v>
      </c>
      <c r="N96" s="211"/>
      <c r="O96" s="211"/>
      <c r="P96" s="211"/>
      <c r="Q96" s="211"/>
      <c r="R96" s="211"/>
      <c r="S96" s="211"/>
      <c r="T96" s="210"/>
      <c r="U96" s="210"/>
      <c r="V96" s="210"/>
      <c r="W96" s="210"/>
      <c r="X96" s="210"/>
      <c r="Y96" s="210" t="s">
        <v>27</v>
      </c>
      <c r="Z96" s="210"/>
      <c r="AA96" s="210"/>
      <c r="AB96" s="210"/>
      <c r="AC96" s="111"/>
      <c r="AD96" s="111">
        <f>SUM(AD97,AD103,AD108,AD112,AD116)</f>
        <v>14095000</v>
      </c>
      <c r="AE96" s="112" t="s">
        <v>24</v>
      </c>
      <c r="AF96" s="1"/>
    </row>
    <row r="97" spans="1:32" s="12" customFormat="1" ht="21" customHeight="1">
      <c r="A97" s="50"/>
      <c r="B97" s="315"/>
      <c r="C97" s="314" t="s">
        <v>58</v>
      </c>
      <c r="D97" s="184">
        <v>12461</v>
      </c>
      <c r="E97" s="127">
        <f>SUM(F97,G97,H97,K97,I97)</f>
        <v>11920</v>
      </c>
      <c r="F97" s="127">
        <f>(AD98+AD100)/1000</f>
        <v>10000</v>
      </c>
      <c r="G97" s="127">
        <v>0</v>
      </c>
      <c r="H97" s="127">
        <f>(AD99)/1000</f>
        <v>1920</v>
      </c>
      <c r="I97" s="127">
        <f>AD101/1000</f>
        <v>0</v>
      </c>
      <c r="J97" s="127">
        <v>0</v>
      </c>
      <c r="K97" s="127">
        <v>0</v>
      </c>
      <c r="L97" s="127">
        <f>E97-D97</f>
        <v>-541</v>
      </c>
      <c r="M97" s="133">
        <f>IF(D97=0,0,L97/D97)</f>
        <v>-4.3415456223417061E-2</v>
      </c>
      <c r="N97" s="113" t="s">
        <v>101</v>
      </c>
      <c r="O97" s="211"/>
      <c r="P97" s="211"/>
      <c r="Q97" s="211"/>
      <c r="R97" s="211"/>
      <c r="S97" s="211"/>
      <c r="T97" s="210"/>
      <c r="U97" s="210"/>
      <c r="V97" s="210"/>
      <c r="W97" s="210"/>
      <c r="X97" s="210"/>
      <c r="Y97" s="318" t="s">
        <v>131</v>
      </c>
      <c r="Z97" s="318"/>
      <c r="AA97" s="318"/>
      <c r="AB97" s="318"/>
      <c r="AC97" s="202"/>
      <c r="AD97" s="202">
        <f>SUM(AD98:AD100)</f>
        <v>11920000</v>
      </c>
      <c r="AE97" s="201" t="s">
        <v>24</v>
      </c>
      <c r="AF97" s="1"/>
    </row>
    <row r="98" spans="1:32" s="12" customFormat="1" ht="21" customHeight="1">
      <c r="A98" s="50"/>
      <c r="B98" s="315"/>
      <c r="C98" s="315"/>
      <c r="D98" s="340"/>
      <c r="E98" s="124"/>
      <c r="F98" s="124"/>
      <c r="G98" s="124"/>
      <c r="H98" s="124"/>
      <c r="I98" s="124"/>
      <c r="J98" s="124"/>
      <c r="K98" s="124"/>
      <c r="L98" s="124"/>
      <c r="M98" s="84"/>
      <c r="N98" s="321" t="s">
        <v>168</v>
      </c>
      <c r="O98" s="321"/>
      <c r="P98" s="320"/>
      <c r="Q98" s="320"/>
      <c r="R98" s="320">
        <v>200000</v>
      </c>
      <c r="S98" s="320"/>
      <c r="T98" s="320" t="s">
        <v>81</v>
      </c>
      <c r="U98" s="59" t="s">
        <v>82</v>
      </c>
      <c r="V98" s="320">
        <v>12</v>
      </c>
      <c r="W98" s="320" t="s">
        <v>90</v>
      </c>
      <c r="X98" s="59" t="s">
        <v>82</v>
      </c>
      <c r="Y98" s="320">
        <v>4</v>
      </c>
      <c r="Z98" s="320" t="s">
        <v>83</v>
      </c>
      <c r="AA98" s="220" t="s">
        <v>84</v>
      </c>
      <c r="AB98" s="320" t="s">
        <v>93</v>
      </c>
      <c r="AC98" s="81"/>
      <c r="AD98" s="81">
        <f>ROUNDDOWN(R98*V98*Y98,-1)</f>
        <v>9600000</v>
      </c>
      <c r="AE98" s="61" t="s">
        <v>24</v>
      </c>
      <c r="AF98" s="1"/>
    </row>
    <row r="99" spans="1:32" s="12" customFormat="1" ht="21" customHeight="1">
      <c r="A99" s="50"/>
      <c r="B99" s="315"/>
      <c r="C99" s="315"/>
      <c r="D99" s="340"/>
      <c r="E99" s="124"/>
      <c r="F99" s="124"/>
      <c r="G99" s="124"/>
      <c r="H99" s="124"/>
      <c r="I99" s="124"/>
      <c r="J99" s="124"/>
      <c r="K99" s="124"/>
      <c r="L99" s="124"/>
      <c r="M99" s="84"/>
      <c r="N99" s="321" t="s">
        <v>107</v>
      </c>
      <c r="O99" s="321"/>
      <c r="P99" s="321"/>
      <c r="Q99" s="321"/>
      <c r="R99" s="320">
        <v>40000</v>
      </c>
      <c r="S99" s="320"/>
      <c r="T99" s="59" t="s">
        <v>24</v>
      </c>
      <c r="U99" s="59" t="s">
        <v>25</v>
      </c>
      <c r="V99" s="320">
        <v>12</v>
      </c>
      <c r="W99" s="320" t="s">
        <v>28</v>
      </c>
      <c r="X99" s="59" t="s">
        <v>25</v>
      </c>
      <c r="Y99" s="320">
        <v>4</v>
      </c>
      <c r="Z99" s="320" t="s">
        <v>134</v>
      </c>
      <c r="AA99" s="220" t="s">
        <v>26</v>
      </c>
      <c r="AB99" s="320" t="s">
        <v>106</v>
      </c>
      <c r="AC99" s="320"/>
      <c r="AD99" s="320">
        <f>R99*V99*Y99</f>
        <v>1920000</v>
      </c>
      <c r="AE99" s="143" t="s">
        <v>81</v>
      </c>
      <c r="AF99" s="1"/>
    </row>
    <row r="100" spans="1:32" s="12" customFormat="1" ht="21" customHeight="1">
      <c r="A100" s="50"/>
      <c r="B100" s="315"/>
      <c r="C100" s="315"/>
      <c r="D100" s="340"/>
      <c r="E100" s="124"/>
      <c r="F100" s="124"/>
      <c r="G100" s="124"/>
      <c r="H100" s="124"/>
      <c r="I100" s="124"/>
      <c r="J100" s="124"/>
      <c r="K100" s="124"/>
      <c r="L100" s="124"/>
      <c r="M100" s="84"/>
      <c r="N100" s="321" t="s">
        <v>177</v>
      </c>
      <c r="O100" s="321"/>
      <c r="P100" s="321"/>
      <c r="Q100" s="321"/>
      <c r="R100" s="320"/>
      <c r="S100" s="320"/>
      <c r="T100" s="59"/>
      <c r="U100" s="59"/>
      <c r="V100" s="320"/>
      <c r="W100" s="320"/>
      <c r="X100" s="59"/>
      <c r="Y100" s="320"/>
      <c r="Z100" s="320"/>
      <c r="AA100" s="220"/>
      <c r="AB100" s="363" t="s">
        <v>317</v>
      </c>
      <c r="AC100" s="320"/>
      <c r="AD100" s="320">
        <v>400000</v>
      </c>
      <c r="AE100" s="143" t="s">
        <v>178</v>
      </c>
      <c r="AF100" s="1"/>
    </row>
    <row r="101" spans="1:32" s="12" customFormat="1" ht="20.25" customHeight="1">
      <c r="A101" s="50"/>
      <c r="B101" s="315"/>
      <c r="C101" s="315"/>
      <c r="D101" s="340"/>
      <c r="E101" s="124"/>
      <c r="F101" s="124"/>
      <c r="G101" s="124"/>
      <c r="H101" s="124"/>
      <c r="I101" s="124"/>
      <c r="J101" s="124"/>
      <c r="K101" s="124"/>
      <c r="L101" s="124"/>
      <c r="M101" s="84"/>
      <c r="N101" s="321"/>
      <c r="O101" s="321"/>
      <c r="P101" s="321"/>
      <c r="Q101" s="321"/>
      <c r="R101" s="320"/>
      <c r="S101" s="320"/>
      <c r="T101" s="59"/>
      <c r="U101" s="59"/>
      <c r="V101" s="320"/>
      <c r="W101" s="320"/>
      <c r="X101" s="59"/>
      <c r="Y101" s="320"/>
      <c r="Z101" s="320"/>
      <c r="AA101" s="220"/>
      <c r="AB101" s="320"/>
      <c r="AC101" s="320"/>
      <c r="AD101" s="320"/>
      <c r="AE101" s="143"/>
      <c r="AF101" s="2"/>
    </row>
    <row r="102" spans="1:32" s="12" customFormat="1" ht="21" customHeight="1">
      <c r="A102" s="50"/>
      <c r="B102" s="315"/>
      <c r="C102" s="63"/>
      <c r="D102" s="183"/>
      <c r="E102" s="125"/>
      <c r="F102" s="125"/>
      <c r="G102" s="125"/>
      <c r="H102" s="125"/>
      <c r="I102" s="125"/>
      <c r="J102" s="125"/>
      <c r="K102" s="125"/>
      <c r="L102" s="125"/>
      <c r="M102" s="10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341"/>
      <c r="AE102" s="139"/>
      <c r="AF102" s="2"/>
    </row>
    <row r="103" spans="1:32" s="12" customFormat="1" ht="21" customHeight="1">
      <c r="A103" s="50"/>
      <c r="B103" s="315"/>
      <c r="C103" s="315" t="s">
        <v>102</v>
      </c>
      <c r="D103" s="182">
        <v>1273</v>
      </c>
      <c r="E103" s="124">
        <f>SUM(F103,G103,H103,K103)</f>
        <v>1000</v>
      </c>
      <c r="F103" s="124">
        <f>AD104/1000</f>
        <v>500</v>
      </c>
      <c r="G103" s="124">
        <v>0</v>
      </c>
      <c r="H103" s="124">
        <f>AD105/1000</f>
        <v>500</v>
      </c>
      <c r="I103" s="124">
        <v>0</v>
      </c>
      <c r="J103" s="124">
        <f>AD107/1000</f>
        <v>0</v>
      </c>
      <c r="K103" s="124">
        <f>AD106/1000</f>
        <v>0</v>
      </c>
      <c r="L103" s="124">
        <f>E103-D103</f>
        <v>-273</v>
      </c>
      <c r="M103" s="84">
        <f>IF(D103=0,0,L103/D103)</f>
        <v>-0.21445404556166536</v>
      </c>
      <c r="N103" s="113" t="s">
        <v>103</v>
      </c>
      <c r="O103" s="211"/>
      <c r="P103" s="211"/>
      <c r="Q103" s="211"/>
      <c r="R103" s="211"/>
      <c r="S103" s="211"/>
      <c r="T103" s="210"/>
      <c r="U103" s="210"/>
      <c r="V103" s="210"/>
      <c r="W103" s="210"/>
      <c r="X103" s="210"/>
      <c r="Y103" s="318" t="s">
        <v>131</v>
      </c>
      <c r="Z103" s="318"/>
      <c r="AA103" s="318"/>
      <c r="AB103" s="318"/>
      <c r="AC103" s="202"/>
      <c r="AD103" s="202">
        <f>SUM(AD104:AD105)</f>
        <v>1000000</v>
      </c>
      <c r="AE103" s="201" t="s">
        <v>24</v>
      </c>
      <c r="AF103" s="1"/>
    </row>
    <row r="104" spans="1:32" s="12" customFormat="1" ht="21" customHeight="1">
      <c r="A104" s="50"/>
      <c r="B104" s="315"/>
      <c r="C104" s="315" t="s">
        <v>140</v>
      </c>
      <c r="D104" s="182"/>
      <c r="E104" s="124"/>
      <c r="F104" s="124"/>
      <c r="G104" s="124"/>
      <c r="H104" s="124"/>
      <c r="I104" s="124"/>
      <c r="J104" s="124"/>
      <c r="K104" s="124"/>
      <c r="L104" s="124"/>
      <c r="M104" s="84"/>
      <c r="N104" s="321" t="s">
        <v>169</v>
      </c>
      <c r="O104" s="321"/>
      <c r="P104" s="321"/>
      <c r="Q104" s="321"/>
      <c r="R104" s="320"/>
      <c r="S104" s="320"/>
      <c r="T104" s="59"/>
      <c r="U104" s="59"/>
      <c r="V104" s="320"/>
      <c r="W104" s="320"/>
      <c r="X104" s="320"/>
      <c r="Y104" s="320"/>
      <c r="Z104" s="320"/>
      <c r="AA104" s="320"/>
      <c r="AB104" s="320" t="s">
        <v>271</v>
      </c>
      <c r="AC104" s="320"/>
      <c r="AD104" s="320">
        <v>500000</v>
      </c>
      <c r="AE104" s="61" t="s">
        <v>81</v>
      </c>
      <c r="AF104" s="1"/>
    </row>
    <row r="105" spans="1:32" s="12" customFormat="1" ht="21" customHeight="1">
      <c r="A105" s="50"/>
      <c r="B105" s="351"/>
      <c r="C105" s="351"/>
      <c r="D105" s="182"/>
      <c r="E105" s="124"/>
      <c r="F105" s="124"/>
      <c r="G105" s="124"/>
      <c r="H105" s="124"/>
      <c r="I105" s="124"/>
      <c r="J105" s="124"/>
      <c r="K105" s="124"/>
      <c r="L105" s="124"/>
      <c r="M105" s="84"/>
      <c r="N105" s="369" t="s">
        <v>320</v>
      </c>
      <c r="O105" s="353"/>
      <c r="P105" s="353"/>
      <c r="Q105" s="353"/>
      <c r="R105" s="352"/>
      <c r="S105" s="352"/>
      <c r="T105" s="59"/>
      <c r="U105" s="59"/>
      <c r="V105" s="352"/>
      <c r="W105" s="352"/>
      <c r="X105" s="352"/>
      <c r="Y105" s="352"/>
      <c r="Z105" s="352"/>
      <c r="AA105" s="352"/>
      <c r="AB105" s="352" t="s">
        <v>312</v>
      </c>
      <c r="AC105" s="352"/>
      <c r="AD105" s="352">
        <v>500000</v>
      </c>
      <c r="AE105" s="61" t="s">
        <v>313</v>
      </c>
      <c r="AF105" s="2"/>
    </row>
    <row r="106" spans="1:32" s="12" customFormat="1" ht="21" customHeight="1">
      <c r="A106" s="50"/>
      <c r="B106" s="315"/>
      <c r="C106" s="315"/>
      <c r="D106" s="182"/>
      <c r="E106" s="124"/>
      <c r="F106" s="124"/>
      <c r="G106" s="124"/>
      <c r="H106" s="124"/>
      <c r="I106" s="124"/>
      <c r="J106" s="124"/>
      <c r="K106" s="124"/>
      <c r="L106" s="124"/>
      <c r="M106" s="84"/>
      <c r="N106" s="321"/>
      <c r="O106" s="321"/>
      <c r="P106" s="321"/>
      <c r="Q106" s="321"/>
      <c r="R106" s="320"/>
      <c r="S106" s="320"/>
      <c r="T106" s="59"/>
      <c r="U106" s="59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61"/>
      <c r="AF106" s="2"/>
    </row>
    <row r="107" spans="1:32" s="12" customFormat="1" ht="21" customHeight="1">
      <c r="A107" s="50"/>
      <c r="B107" s="315"/>
      <c r="C107" s="315"/>
      <c r="D107" s="182"/>
      <c r="E107" s="124"/>
      <c r="F107" s="124"/>
      <c r="G107" s="124"/>
      <c r="H107" s="124"/>
      <c r="I107" s="124"/>
      <c r="J107" s="124"/>
      <c r="K107" s="124"/>
      <c r="L107" s="124"/>
      <c r="M107" s="84"/>
      <c r="N107" s="317"/>
      <c r="O107" s="317"/>
      <c r="P107" s="317"/>
      <c r="Q107" s="317"/>
      <c r="R107" s="316"/>
      <c r="S107" s="316"/>
      <c r="T107" s="101"/>
      <c r="U107" s="59"/>
      <c r="V107" s="86"/>
      <c r="W107" s="316"/>
      <c r="X107" s="316"/>
      <c r="Y107" s="316"/>
      <c r="Z107" s="316"/>
      <c r="AA107" s="316"/>
      <c r="AB107" s="316"/>
      <c r="AC107" s="316"/>
      <c r="AD107" s="316"/>
      <c r="AE107" s="87"/>
      <c r="AF107" s="1"/>
    </row>
    <row r="108" spans="1:32" s="12" customFormat="1" ht="21" customHeight="1">
      <c r="A108" s="50"/>
      <c r="B108" s="315"/>
      <c r="C108" s="314" t="s">
        <v>97</v>
      </c>
      <c r="D108" s="184">
        <v>892</v>
      </c>
      <c r="E108" s="127">
        <f>AD108/1000</f>
        <v>800</v>
      </c>
      <c r="F108" s="127">
        <f>AD109/1000</f>
        <v>400</v>
      </c>
      <c r="G108" s="127">
        <v>0</v>
      </c>
      <c r="H108" s="127">
        <f>AD111/1000</f>
        <v>0</v>
      </c>
      <c r="I108" s="127">
        <f>AD110/1000</f>
        <v>400</v>
      </c>
      <c r="J108" s="127">
        <v>0</v>
      </c>
      <c r="K108" s="127">
        <v>0</v>
      </c>
      <c r="L108" s="127">
        <f>E108-D108</f>
        <v>-92</v>
      </c>
      <c r="M108" s="133">
        <f>IF(D108=0,0,L108/D108)</f>
        <v>-0.1031390134529148</v>
      </c>
      <c r="N108" s="113" t="s">
        <v>126</v>
      </c>
      <c r="O108" s="319"/>
      <c r="P108" s="211"/>
      <c r="Q108" s="211"/>
      <c r="R108" s="211"/>
      <c r="S108" s="211"/>
      <c r="T108" s="210"/>
      <c r="U108" s="210"/>
      <c r="V108" s="210"/>
      <c r="W108" s="210"/>
      <c r="X108" s="210"/>
      <c r="Y108" s="318" t="s">
        <v>131</v>
      </c>
      <c r="Z108" s="318"/>
      <c r="AA108" s="318"/>
      <c r="AB108" s="318"/>
      <c r="AC108" s="202"/>
      <c r="AD108" s="202">
        <f>SUM(AD109:AD110)</f>
        <v>800000</v>
      </c>
      <c r="AE108" s="201" t="s">
        <v>24</v>
      </c>
      <c r="AF108" s="2"/>
    </row>
    <row r="109" spans="1:32" s="12" customFormat="1" ht="21" customHeight="1">
      <c r="A109" s="50"/>
      <c r="B109" s="315"/>
      <c r="C109" s="315"/>
      <c r="D109" s="340"/>
      <c r="E109" s="124"/>
      <c r="F109" s="124"/>
      <c r="G109" s="124"/>
      <c r="H109" s="124"/>
      <c r="I109" s="124"/>
      <c r="J109" s="124"/>
      <c r="K109" s="124"/>
      <c r="L109" s="124"/>
      <c r="M109" s="84"/>
      <c r="N109" s="321" t="s">
        <v>170</v>
      </c>
      <c r="O109" s="321"/>
      <c r="P109" s="320"/>
      <c r="Q109" s="320"/>
      <c r="R109" s="320">
        <v>100000</v>
      </c>
      <c r="S109" s="320"/>
      <c r="T109" s="320" t="s">
        <v>81</v>
      </c>
      <c r="U109" s="321" t="s">
        <v>82</v>
      </c>
      <c r="V109" s="320">
        <v>4</v>
      </c>
      <c r="W109" s="320" t="s">
        <v>171</v>
      </c>
      <c r="X109" s="321" t="s">
        <v>172</v>
      </c>
      <c r="Y109" s="320"/>
      <c r="Z109" s="320"/>
      <c r="AA109" s="320"/>
      <c r="AB109" s="349" t="s">
        <v>93</v>
      </c>
      <c r="AC109" s="81"/>
      <c r="AD109" s="81">
        <f>R109*V109</f>
        <v>400000</v>
      </c>
      <c r="AE109" s="61" t="s">
        <v>24</v>
      </c>
      <c r="AF109" s="2"/>
    </row>
    <row r="110" spans="1:32" s="12" customFormat="1" ht="21" customHeight="1">
      <c r="A110" s="50"/>
      <c r="B110" s="367"/>
      <c r="C110" s="367"/>
      <c r="D110" s="340"/>
      <c r="E110" s="124"/>
      <c r="F110" s="124"/>
      <c r="G110" s="124"/>
      <c r="H110" s="124"/>
      <c r="I110" s="124"/>
      <c r="J110" s="124"/>
      <c r="K110" s="124"/>
      <c r="L110" s="124"/>
      <c r="M110" s="84"/>
      <c r="N110" s="370" t="s">
        <v>323</v>
      </c>
      <c r="O110" s="369"/>
      <c r="P110" s="368"/>
      <c r="Q110" s="368"/>
      <c r="R110" s="368">
        <v>100000</v>
      </c>
      <c r="S110" s="368"/>
      <c r="T110" s="368" t="s">
        <v>56</v>
      </c>
      <c r="U110" s="369" t="s">
        <v>57</v>
      </c>
      <c r="V110" s="368">
        <v>4</v>
      </c>
      <c r="W110" s="368" t="s">
        <v>171</v>
      </c>
      <c r="X110" s="369" t="s">
        <v>52</v>
      </c>
      <c r="Y110" s="368"/>
      <c r="Z110" s="368"/>
      <c r="AA110" s="368"/>
      <c r="AB110" s="368" t="s">
        <v>322</v>
      </c>
      <c r="AC110" s="81"/>
      <c r="AD110" s="81">
        <f>R110*V110</f>
        <v>400000</v>
      </c>
      <c r="AE110" s="61" t="s">
        <v>24</v>
      </c>
      <c r="AF110" s="2"/>
    </row>
    <row r="111" spans="1:32" s="12" customFormat="1" ht="21" customHeight="1">
      <c r="A111" s="50"/>
      <c r="B111" s="315"/>
      <c r="C111" s="315"/>
      <c r="D111" s="182"/>
      <c r="E111" s="124"/>
      <c r="F111" s="124"/>
      <c r="G111" s="124"/>
      <c r="H111" s="124"/>
      <c r="I111" s="124"/>
      <c r="J111" s="124"/>
      <c r="K111" s="124"/>
      <c r="L111" s="124"/>
      <c r="M111" s="84"/>
      <c r="N111" s="321"/>
      <c r="O111" s="321"/>
      <c r="P111" s="320"/>
      <c r="Q111" s="320"/>
      <c r="R111" s="320"/>
      <c r="S111" s="320"/>
      <c r="T111" s="320"/>
      <c r="U111" s="321"/>
      <c r="V111" s="320"/>
      <c r="W111" s="320"/>
      <c r="X111" s="321"/>
      <c r="Y111" s="320"/>
      <c r="Z111" s="320"/>
      <c r="AA111" s="320"/>
      <c r="AB111" s="320"/>
      <c r="AC111" s="81"/>
      <c r="AD111" s="81"/>
      <c r="AE111" s="61"/>
      <c r="AF111" s="2"/>
    </row>
    <row r="112" spans="1:32" s="12" customFormat="1" ht="21" customHeight="1">
      <c r="A112" s="50"/>
      <c r="B112" s="315"/>
      <c r="C112" s="314" t="s">
        <v>98</v>
      </c>
      <c r="D112" s="184">
        <v>310</v>
      </c>
      <c r="E112" s="127">
        <f>F112+G112+H112+K112</f>
        <v>270</v>
      </c>
      <c r="F112" s="127">
        <f>AD113/1000</f>
        <v>160</v>
      </c>
      <c r="G112" s="127">
        <v>0</v>
      </c>
      <c r="H112" s="127">
        <f>AD114/1000</f>
        <v>110</v>
      </c>
      <c r="I112" s="127">
        <v>0</v>
      </c>
      <c r="J112" s="127">
        <v>0</v>
      </c>
      <c r="K112" s="127">
        <v>0</v>
      </c>
      <c r="L112" s="127">
        <f>E112-D112</f>
        <v>-40</v>
      </c>
      <c r="M112" s="133">
        <f>IF(D112=0,0,L112/D112)</f>
        <v>-0.12903225806451613</v>
      </c>
      <c r="N112" s="113" t="s">
        <v>127</v>
      </c>
      <c r="O112" s="319"/>
      <c r="P112" s="211"/>
      <c r="Q112" s="211"/>
      <c r="R112" s="211"/>
      <c r="S112" s="211"/>
      <c r="T112" s="210"/>
      <c r="U112" s="210"/>
      <c r="V112" s="210"/>
      <c r="W112" s="210"/>
      <c r="X112" s="210"/>
      <c r="Y112" s="318" t="s">
        <v>131</v>
      </c>
      <c r="Z112" s="318"/>
      <c r="AA112" s="318"/>
      <c r="AB112" s="318"/>
      <c r="AC112" s="202"/>
      <c r="AD112" s="202">
        <f>SUM(AD113:AD114)</f>
        <v>270000</v>
      </c>
      <c r="AE112" s="201" t="s">
        <v>24</v>
      </c>
      <c r="AF112" s="1"/>
    </row>
    <row r="113" spans="1:32" s="1" customFormat="1" ht="21" customHeight="1">
      <c r="A113" s="50"/>
      <c r="B113" s="315"/>
      <c r="C113" s="315"/>
      <c r="D113" s="182"/>
      <c r="E113" s="124"/>
      <c r="F113" s="124"/>
      <c r="G113" s="124"/>
      <c r="H113" s="124"/>
      <c r="I113" s="124"/>
      <c r="J113" s="124"/>
      <c r="K113" s="124"/>
      <c r="L113" s="124"/>
      <c r="M113" s="84"/>
      <c r="N113" s="321" t="s">
        <v>173</v>
      </c>
      <c r="O113" s="321"/>
      <c r="P113" s="320"/>
      <c r="Q113" s="320"/>
      <c r="R113" s="320">
        <v>40000</v>
      </c>
      <c r="S113" s="320"/>
      <c r="T113" s="320" t="s">
        <v>81</v>
      </c>
      <c r="U113" s="321" t="s">
        <v>82</v>
      </c>
      <c r="V113" s="320">
        <v>1</v>
      </c>
      <c r="W113" s="320" t="s">
        <v>96</v>
      </c>
      <c r="X113" s="321" t="s">
        <v>82</v>
      </c>
      <c r="Y113" s="320">
        <v>4</v>
      </c>
      <c r="Z113" s="320" t="s">
        <v>83</v>
      </c>
      <c r="AA113" s="320" t="s">
        <v>84</v>
      </c>
      <c r="AB113" s="320" t="s">
        <v>271</v>
      </c>
      <c r="AC113" s="81"/>
      <c r="AD113" s="81">
        <f>R113*V113*Y113</f>
        <v>160000</v>
      </c>
      <c r="AE113" s="61" t="s">
        <v>24</v>
      </c>
      <c r="AF113" s="2"/>
    </row>
    <row r="114" spans="1:32" s="1" customFormat="1" ht="21" customHeight="1">
      <c r="A114" s="50"/>
      <c r="B114" s="315"/>
      <c r="C114" s="315"/>
      <c r="D114" s="182"/>
      <c r="E114" s="124"/>
      <c r="F114" s="124"/>
      <c r="G114" s="124"/>
      <c r="H114" s="124"/>
      <c r="I114" s="124"/>
      <c r="J114" s="124"/>
      <c r="K114" s="124"/>
      <c r="L114" s="124"/>
      <c r="M114" s="84"/>
      <c r="N114" s="321" t="s">
        <v>174</v>
      </c>
      <c r="O114" s="321"/>
      <c r="P114" s="321"/>
      <c r="Q114" s="321"/>
      <c r="R114" s="320"/>
      <c r="S114" s="320"/>
      <c r="T114" s="59"/>
      <c r="U114" s="59"/>
      <c r="V114" s="320"/>
      <c r="W114" s="320"/>
      <c r="X114" s="220"/>
      <c r="Y114" s="151"/>
      <c r="Z114" s="89"/>
      <c r="AA114" s="207"/>
      <c r="AB114" s="320" t="s">
        <v>270</v>
      </c>
      <c r="AC114" s="320"/>
      <c r="AD114" s="320">
        <v>110000</v>
      </c>
      <c r="AE114" s="61" t="s">
        <v>24</v>
      </c>
      <c r="AF114" s="2"/>
    </row>
    <row r="115" spans="1:32" s="1" customFormat="1" ht="21" customHeight="1">
      <c r="A115" s="50"/>
      <c r="B115" s="315"/>
      <c r="C115" s="63"/>
      <c r="D115" s="183"/>
      <c r="E115" s="188"/>
      <c r="F115" s="188"/>
      <c r="G115" s="188"/>
      <c r="H115" s="188"/>
      <c r="I115" s="188"/>
      <c r="J115" s="188"/>
      <c r="K115" s="188"/>
      <c r="L115" s="153"/>
      <c r="M115" s="100"/>
      <c r="N115" s="152"/>
      <c r="O115" s="152"/>
      <c r="P115" s="152"/>
      <c r="Q115" s="152"/>
      <c r="R115" s="152"/>
      <c r="S115" s="152"/>
      <c r="T115" s="154"/>
      <c r="U115" s="320"/>
      <c r="V115" s="220"/>
      <c r="W115" s="320"/>
      <c r="X115" s="320"/>
      <c r="Y115" s="320"/>
      <c r="Z115" s="320"/>
      <c r="AA115" s="320"/>
      <c r="AB115" s="320"/>
      <c r="AC115" s="320"/>
      <c r="AD115" s="320"/>
      <c r="AE115" s="61"/>
      <c r="AF115" s="2"/>
    </row>
    <row r="116" spans="1:32" s="12" customFormat="1" ht="21" customHeight="1">
      <c r="A116" s="50"/>
      <c r="B116" s="315"/>
      <c r="C116" s="315" t="s">
        <v>99</v>
      </c>
      <c r="D116" s="150">
        <v>105</v>
      </c>
      <c r="E116" s="124">
        <f>SUM(F116,G116,H116,K116)</f>
        <v>105</v>
      </c>
      <c r="F116" s="124">
        <f>AD117/1000</f>
        <v>66</v>
      </c>
      <c r="G116" s="124">
        <v>0</v>
      </c>
      <c r="H116" s="124">
        <f>AD118/1000</f>
        <v>39</v>
      </c>
      <c r="I116" s="124">
        <v>0</v>
      </c>
      <c r="J116" s="124">
        <v>0</v>
      </c>
      <c r="K116" s="124">
        <v>0</v>
      </c>
      <c r="L116" s="124">
        <f>E116-D116</f>
        <v>0</v>
      </c>
      <c r="M116" s="84">
        <f>IF(D116=0,0,L116/D116)</f>
        <v>0</v>
      </c>
      <c r="N116" s="113" t="s">
        <v>104</v>
      </c>
      <c r="O116" s="211"/>
      <c r="P116" s="211"/>
      <c r="Q116" s="211"/>
      <c r="R116" s="211"/>
      <c r="S116" s="211"/>
      <c r="T116" s="210"/>
      <c r="U116" s="210"/>
      <c r="V116" s="210"/>
      <c r="W116" s="210"/>
      <c r="X116" s="210"/>
      <c r="Y116" s="318" t="s">
        <v>131</v>
      </c>
      <c r="Z116" s="318"/>
      <c r="AA116" s="318"/>
      <c r="AB116" s="318"/>
      <c r="AC116" s="202"/>
      <c r="AD116" s="202">
        <f>SUM(AD117:AD118)</f>
        <v>105000</v>
      </c>
      <c r="AE116" s="201" t="s">
        <v>24</v>
      </c>
      <c r="AF116" s="14"/>
    </row>
    <row r="117" spans="1:32" s="12" customFormat="1" ht="21" customHeight="1">
      <c r="A117" s="50"/>
      <c r="B117" s="315"/>
      <c r="C117" s="315"/>
      <c r="D117" s="150"/>
      <c r="E117" s="124"/>
      <c r="F117" s="124"/>
      <c r="G117" s="124"/>
      <c r="H117" s="124"/>
      <c r="I117" s="124"/>
      <c r="J117" s="124"/>
      <c r="K117" s="124"/>
      <c r="L117" s="124"/>
      <c r="M117" s="84"/>
      <c r="N117" s="321" t="s">
        <v>175</v>
      </c>
      <c r="O117" s="321"/>
      <c r="P117" s="321"/>
      <c r="Q117" s="321"/>
      <c r="R117" s="320">
        <v>11000</v>
      </c>
      <c r="S117" s="320"/>
      <c r="T117" s="59" t="s">
        <v>56</v>
      </c>
      <c r="U117" s="59" t="s">
        <v>25</v>
      </c>
      <c r="V117" s="320">
        <v>6</v>
      </c>
      <c r="W117" s="320" t="s">
        <v>0</v>
      </c>
      <c r="X117" s="220"/>
      <c r="Y117" s="151"/>
      <c r="Z117" s="89"/>
      <c r="AA117" s="207" t="s">
        <v>52</v>
      </c>
      <c r="AB117" s="320" t="s">
        <v>271</v>
      </c>
      <c r="AC117" s="320"/>
      <c r="AD117" s="320">
        <f>ROUNDUP(R117*V117,1)</f>
        <v>66000</v>
      </c>
      <c r="AE117" s="61" t="s">
        <v>24</v>
      </c>
      <c r="AF117" s="1"/>
    </row>
    <row r="118" spans="1:32" s="12" customFormat="1" ht="21" customHeight="1">
      <c r="A118" s="50"/>
      <c r="B118" s="315"/>
      <c r="C118" s="315"/>
      <c r="D118" s="182"/>
      <c r="E118" s="124"/>
      <c r="F118" s="124"/>
      <c r="G118" s="124"/>
      <c r="H118" s="124"/>
      <c r="I118" s="124"/>
      <c r="J118" s="124"/>
      <c r="K118" s="124"/>
      <c r="L118" s="124"/>
      <c r="M118" s="84"/>
      <c r="N118" s="321" t="s">
        <v>175</v>
      </c>
      <c r="O118" s="321"/>
      <c r="P118" s="321"/>
      <c r="Q118" s="321"/>
      <c r="R118" s="320">
        <v>6500</v>
      </c>
      <c r="S118" s="320"/>
      <c r="T118" s="59" t="s">
        <v>56</v>
      </c>
      <c r="U118" s="59" t="s">
        <v>25</v>
      </c>
      <c r="V118" s="320">
        <v>6</v>
      </c>
      <c r="W118" s="320" t="s">
        <v>0</v>
      </c>
      <c r="X118" s="220"/>
      <c r="Y118" s="151"/>
      <c r="Z118" s="89"/>
      <c r="AA118" s="207" t="s">
        <v>52</v>
      </c>
      <c r="AB118" s="320" t="s">
        <v>106</v>
      </c>
      <c r="AC118" s="320"/>
      <c r="AD118" s="320">
        <f>ROUNDUP(R118*V118,1)</f>
        <v>39000</v>
      </c>
      <c r="AE118" s="61" t="s">
        <v>24</v>
      </c>
      <c r="AF118" s="1"/>
    </row>
    <row r="119" spans="1:32" s="12" customFormat="1" ht="21" customHeight="1">
      <c r="A119" s="50"/>
      <c r="B119" s="315"/>
      <c r="C119" s="315"/>
      <c r="D119" s="182"/>
      <c r="E119" s="124"/>
      <c r="F119" s="124"/>
      <c r="G119" s="124"/>
      <c r="H119" s="124"/>
      <c r="I119" s="124"/>
      <c r="J119" s="124"/>
      <c r="K119" s="124"/>
      <c r="L119" s="124"/>
      <c r="M119" s="84"/>
      <c r="N119" s="321"/>
      <c r="O119" s="321"/>
      <c r="P119" s="321"/>
      <c r="Q119" s="321"/>
      <c r="R119" s="320"/>
      <c r="S119" s="320"/>
      <c r="T119" s="59"/>
      <c r="U119" s="321"/>
      <c r="V119" s="320"/>
      <c r="W119" s="321"/>
      <c r="X119" s="320"/>
      <c r="Y119" s="320"/>
      <c r="Z119" s="320"/>
      <c r="AA119" s="320"/>
      <c r="AB119" s="320"/>
      <c r="AC119" s="320"/>
      <c r="AD119" s="320"/>
      <c r="AE119" s="61"/>
      <c r="AF119" s="2"/>
    </row>
    <row r="120" spans="1:32" s="12" customFormat="1" ht="21" customHeight="1">
      <c r="A120" s="50"/>
      <c r="B120" s="314" t="s">
        <v>105</v>
      </c>
      <c r="C120" s="197" t="s">
        <v>136</v>
      </c>
      <c r="D120" s="199">
        <f>D121</f>
        <v>3496</v>
      </c>
      <c r="E120" s="199">
        <f>E121</f>
        <v>8810</v>
      </c>
      <c r="F120" s="199">
        <f t="shared" ref="F120:K120" si="9">F121</f>
        <v>0</v>
      </c>
      <c r="G120" s="199">
        <f t="shared" si="9"/>
        <v>0</v>
      </c>
      <c r="H120" s="199">
        <f>H121</f>
        <v>8409</v>
      </c>
      <c r="I120" s="199">
        <f>I121</f>
        <v>400</v>
      </c>
      <c r="J120" s="199">
        <f>J121</f>
        <v>0</v>
      </c>
      <c r="K120" s="199">
        <f t="shared" si="9"/>
        <v>0</v>
      </c>
      <c r="L120" s="199">
        <f>E120-D120</f>
        <v>5314</v>
      </c>
      <c r="M120" s="200">
        <f>IF(D120=0,0,L120/D120)</f>
        <v>1.5200228832951945</v>
      </c>
      <c r="N120" s="319"/>
      <c r="O120" s="319"/>
      <c r="P120" s="319"/>
      <c r="Q120" s="319"/>
      <c r="R120" s="319"/>
      <c r="S120" s="319"/>
      <c r="T120" s="318"/>
      <c r="U120" s="318"/>
      <c r="V120" s="318"/>
      <c r="W120" s="318"/>
      <c r="X120" s="318"/>
      <c r="Y120" s="318" t="s">
        <v>27</v>
      </c>
      <c r="Z120" s="318"/>
      <c r="AA120" s="318"/>
      <c r="AB120" s="318"/>
      <c r="AC120" s="202"/>
      <c r="AD120" s="202">
        <f>AD121</f>
        <v>8810000</v>
      </c>
      <c r="AE120" s="201" t="s">
        <v>24</v>
      </c>
      <c r="AF120" s="2"/>
    </row>
    <row r="121" spans="1:32" s="12" customFormat="1" ht="21" customHeight="1">
      <c r="A121" s="50"/>
      <c r="B121" s="315" t="s">
        <v>123</v>
      </c>
      <c r="C121" s="315" t="s">
        <v>122</v>
      </c>
      <c r="D121" s="182">
        <v>3496</v>
      </c>
      <c r="E121" s="127">
        <f>SUM(F121,G121,H121,K121,I121,J121)+1</f>
        <v>8810</v>
      </c>
      <c r="F121" s="127"/>
      <c r="G121" s="127">
        <v>0</v>
      </c>
      <c r="H121" s="127">
        <f>(AD125+AD126+AD127+AD128+AD130+AD133+AD137+AD139+AD146+AD150)/1000-1</f>
        <v>8409</v>
      </c>
      <c r="I121" s="127">
        <f>AD124/1000</f>
        <v>400</v>
      </c>
      <c r="J121" s="127">
        <v>0</v>
      </c>
      <c r="K121" s="127">
        <v>0</v>
      </c>
      <c r="L121" s="127">
        <f>E121-D121</f>
        <v>5314</v>
      </c>
      <c r="M121" s="133">
        <f>IF(D121=0,0,L121/D121)</f>
        <v>1.5200228832951945</v>
      </c>
      <c r="N121" s="114" t="s">
        <v>124</v>
      </c>
      <c r="O121" s="130"/>
      <c r="P121" s="209"/>
      <c r="Q121" s="34"/>
      <c r="R121" s="34"/>
      <c r="S121" s="34"/>
      <c r="T121" s="34"/>
      <c r="U121" s="34"/>
      <c r="V121" s="34"/>
      <c r="W121" s="210"/>
      <c r="X121" s="210"/>
      <c r="Y121" s="318" t="s">
        <v>131</v>
      </c>
      <c r="Z121" s="115"/>
      <c r="AA121" s="115"/>
      <c r="AB121" s="115"/>
      <c r="AC121" s="131"/>
      <c r="AD121" s="131">
        <f>SUM(AD123,AD130,AD133,AD137,AD139,AD146,AD150)</f>
        <v>8810000</v>
      </c>
      <c r="AE121" s="132" t="s">
        <v>24</v>
      </c>
      <c r="AF121" s="2"/>
    </row>
    <row r="122" spans="1:32" s="12" customFormat="1" ht="21" customHeight="1">
      <c r="A122" s="50"/>
      <c r="B122" s="315"/>
      <c r="C122" s="315" t="s">
        <v>123</v>
      </c>
      <c r="D122" s="185"/>
      <c r="E122" s="124"/>
      <c r="F122" s="124"/>
      <c r="G122" s="124"/>
      <c r="H122" s="124"/>
      <c r="I122" s="124"/>
      <c r="J122" s="124"/>
      <c r="K122" s="124"/>
      <c r="L122" s="124"/>
      <c r="M122" s="84"/>
      <c r="N122" s="321"/>
      <c r="O122" s="321"/>
      <c r="P122" s="321"/>
      <c r="Q122" s="321"/>
      <c r="R122" s="321"/>
      <c r="S122" s="321"/>
      <c r="T122" s="320"/>
      <c r="U122" s="320"/>
      <c r="V122" s="320"/>
      <c r="W122" s="320"/>
      <c r="X122" s="320"/>
      <c r="Y122" s="155"/>
      <c r="Z122" s="155"/>
      <c r="AA122" s="155"/>
      <c r="AB122" s="155"/>
      <c r="AC122" s="156"/>
      <c r="AD122" s="156"/>
      <c r="AE122" s="61"/>
      <c r="AF122" s="2"/>
    </row>
    <row r="123" spans="1:32" s="12" customFormat="1" ht="21" customHeight="1">
      <c r="A123" s="50"/>
      <c r="B123" s="315"/>
      <c r="C123" s="315"/>
      <c r="D123" s="185"/>
      <c r="E123" s="124"/>
      <c r="F123" s="124"/>
      <c r="G123" s="124"/>
      <c r="H123" s="124"/>
      <c r="I123" s="124"/>
      <c r="J123" s="124"/>
      <c r="K123" s="124"/>
      <c r="L123" s="124"/>
      <c r="M123" s="84"/>
      <c r="N123" s="85" t="s">
        <v>329</v>
      </c>
      <c r="O123" s="317"/>
      <c r="P123" s="321"/>
      <c r="Q123" s="321"/>
      <c r="R123" s="321"/>
      <c r="S123" s="321"/>
      <c r="T123" s="320"/>
      <c r="U123" s="320"/>
      <c r="V123" s="320"/>
      <c r="W123" s="316" t="s">
        <v>125</v>
      </c>
      <c r="X123" s="316"/>
      <c r="Y123" s="316"/>
      <c r="Z123" s="316"/>
      <c r="AA123" s="316"/>
      <c r="AB123" s="316"/>
      <c r="AC123" s="86"/>
      <c r="AD123" s="86">
        <f>SUM(AD124:AD128)</f>
        <v>1850000</v>
      </c>
      <c r="AE123" s="87" t="s">
        <v>24</v>
      </c>
      <c r="AF123" s="2"/>
    </row>
    <row r="124" spans="1:32" s="12" customFormat="1" ht="21" customHeight="1">
      <c r="A124" s="50"/>
      <c r="B124" s="315"/>
      <c r="C124" s="315"/>
      <c r="D124" s="185"/>
      <c r="E124" s="124"/>
      <c r="F124" s="124"/>
      <c r="G124" s="124"/>
      <c r="H124" s="124"/>
      <c r="I124" s="124"/>
      <c r="J124" s="124"/>
      <c r="K124" s="124"/>
      <c r="L124" s="124"/>
      <c r="M124" s="84"/>
      <c r="N124" s="381" t="s">
        <v>327</v>
      </c>
      <c r="O124" s="350"/>
      <c r="P124" s="350"/>
      <c r="Q124" s="350"/>
      <c r="R124" s="349">
        <v>20000</v>
      </c>
      <c r="S124" s="349"/>
      <c r="T124" s="349" t="s">
        <v>302</v>
      </c>
      <c r="U124" s="350" t="s">
        <v>303</v>
      </c>
      <c r="V124" s="349">
        <v>5</v>
      </c>
      <c r="W124" s="349" t="s">
        <v>304</v>
      </c>
      <c r="X124" s="350" t="s">
        <v>303</v>
      </c>
      <c r="Y124" s="349">
        <v>4</v>
      </c>
      <c r="Z124" s="349" t="s">
        <v>305</v>
      </c>
      <c r="AA124" s="349" t="s">
        <v>306</v>
      </c>
      <c r="AB124" s="396" t="s">
        <v>370</v>
      </c>
      <c r="AC124" s="81"/>
      <c r="AD124" s="81">
        <f t="shared" ref="AD124:AD128" si="10">R124*V124*Y124</f>
        <v>400000</v>
      </c>
      <c r="AE124" s="61" t="s">
        <v>24</v>
      </c>
      <c r="AF124" s="1"/>
    </row>
    <row r="125" spans="1:32" s="12" customFormat="1" ht="21" customHeight="1">
      <c r="A125" s="50"/>
      <c r="B125" s="315"/>
      <c r="C125" s="315"/>
      <c r="D125" s="185"/>
      <c r="E125" s="124"/>
      <c r="F125" s="124"/>
      <c r="G125" s="124"/>
      <c r="H125" s="124"/>
      <c r="I125" s="124"/>
      <c r="J125" s="124"/>
      <c r="K125" s="124"/>
      <c r="L125" s="124"/>
      <c r="M125" s="84"/>
      <c r="N125" s="381" t="s">
        <v>328</v>
      </c>
      <c r="O125" s="350"/>
      <c r="P125" s="350"/>
      <c r="Q125" s="350"/>
      <c r="R125" s="349">
        <v>50000</v>
      </c>
      <c r="S125" s="349"/>
      <c r="T125" s="349" t="s">
        <v>302</v>
      </c>
      <c r="U125" s="350" t="s">
        <v>303</v>
      </c>
      <c r="V125" s="349">
        <v>1</v>
      </c>
      <c r="W125" s="349" t="s">
        <v>304</v>
      </c>
      <c r="X125" s="350" t="s">
        <v>303</v>
      </c>
      <c r="Y125" s="349">
        <v>4</v>
      </c>
      <c r="Z125" s="349" t="s">
        <v>305</v>
      </c>
      <c r="AA125" s="349" t="s">
        <v>306</v>
      </c>
      <c r="AB125" s="383" t="s">
        <v>365</v>
      </c>
      <c r="AC125" s="81"/>
      <c r="AD125" s="81">
        <f t="shared" si="10"/>
        <v>200000</v>
      </c>
      <c r="AE125" s="61" t="s">
        <v>24</v>
      </c>
      <c r="AF125" s="2"/>
    </row>
    <row r="126" spans="1:32" s="12" customFormat="1" ht="21" customHeight="1">
      <c r="A126" s="50"/>
      <c r="B126" s="315"/>
      <c r="C126" s="315"/>
      <c r="D126" s="185"/>
      <c r="E126" s="124"/>
      <c r="F126" s="124"/>
      <c r="G126" s="124"/>
      <c r="H126" s="124"/>
      <c r="I126" s="124"/>
      <c r="J126" s="124"/>
      <c r="K126" s="124"/>
      <c r="L126" s="124"/>
      <c r="M126" s="84"/>
      <c r="N126" s="381" t="s">
        <v>330</v>
      </c>
      <c r="O126" s="350"/>
      <c r="P126" s="350"/>
      <c r="Q126" s="350"/>
      <c r="R126" s="349">
        <v>10000</v>
      </c>
      <c r="S126" s="349"/>
      <c r="T126" s="349" t="s">
        <v>302</v>
      </c>
      <c r="U126" s="350" t="s">
        <v>303</v>
      </c>
      <c r="V126" s="349">
        <v>3</v>
      </c>
      <c r="W126" s="349" t="s">
        <v>304</v>
      </c>
      <c r="X126" s="350" t="s">
        <v>303</v>
      </c>
      <c r="Y126" s="349">
        <v>5</v>
      </c>
      <c r="Z126" s="349" t="s">
        <v>305</v>
      </c>
      <c r="AA126" s="349" t="s">
        <v>306</v>
      </c>
      <c r="AB126" s="349" t="s">
        <v>307</v>
      </c>
      <c r="AC126" s="81"/>
      <c r="AD126" s="81">
        <f t="shared" si="10"/>
        <v>150000</v>
      </c>
      <c r="AE126" s="61" t="s">
        <v>24</v>
      </c>
      <c r="AF126" s="2"/>
    </row>
    <row r="127" spans="1:32" s="12" customFormat="1" ht="21" customHeight="1">
      <c r="A127" s="50"/>
      <c r="B127" s="315"/>
      <c r="C127" s="315"/>
      <c r="D127" s="185"/>
      <c r="E127" s="124"/>
      <c r="F127" s="124"/>
      <c r="G127" s="124"/>
      <c r="H127" s="124"/>
      <c r="I127" s="124"/>
      <c r="J127" s="124"/>
      <c r="K127" s="124"/>
      <c r="L127" s="124"/>
      <c r="M127" s="84"/>
      <c r="N127" s="381" t="s">
        <v>331</v>
      </c>
      <c r="O127" s="350"/>
      <c r="P127" s="350"/>
      <c r="Q127" s="350"/>
      <c r="R127" s="349"/>
      <c r="S127" s="349"/>
      <c r="T127" s="349"/>
      <c r="U127" s="350"/>
      <c r="V127" s="349"/>
      <c r="W127" s="349"/>
      <c r="X127" s="350"/>
      <c r="Y127" s="349"/>
      <c r="Z127" s="349"/>
      <c r="AA127" s="349"/>
      <c r="AB127" s="383" t="s">
        <v>106</v>
      </c>
      <c r="AC127" s="81"/>
      <c r="AD127" s="81">
        <v>600000</v>
      </c>
      <c r="AE127" s="61" t="s">
        <v>24</v>
      </c>
      <c r="AF127" s="2"/>
    </row>
    <row r="128" spans="1:32" s="12" customFormat="1" ht="21" customHeight="1">
      <c r="A128" s="50"/>
      <c r="B128" s="315"/>
      <c r="C128" s="315"/>
      <c r="D128" s="185"/>
      <c r="E128" s="124"/>
      <c r="F128" s="124"/>
      <c r="G128" s="124"/>
      <c r="H128" s="124"/>
      <c r="I128" s="124"/>
      <c r="J128" s="124"/>
      <c r="K128" s="124"/>
      <c r="L128" s="124"/>
      <c r="M128" s="84"/>
      <c r="N128" s="381" t="s">
        <v>332</v>
      </c>
      <c r="O128" s="350"/>
      <c r="P128" s="350"/>
      <c r="Q128" s="350"/>
      <c r="R128" s="349">
        <v>10000</v>
      </c>
      <c r="S128" s="349"/>
      <c r="T128" s="349" t="s">
        <v>302</v>
      </c>
      <c r="U128" s="350" t="s">
        <v>303</v>
      </c>
      <c r="V128" s="349">
        <v>10</v>
      </c>
      <c r="W128" s="349" t="s">
        <v>304</v>
      </c>
      <c r="X128" s="350" t="s">
        <v>303</v>
      </c>
      <c r="Y128" s="349">
        <v>5</v>
      </c>
      <c r="Z128" s="349" t="s">
        <v>305</v>
      </c>
      <c r="AA128" s="349" t="s">
        <v>306</v>
      </c>
      <c r="AB128" s="365" t="s">
        <v>106</v>
      </c>
      <c r="AC128" s="81"/>
      <c r="AD128" s="81">
        <f t="shared" si="10"/>
        <v>500000</v>
      </c>
      <c r="AE128" s="61" t="s">
        <v>24</v>
      </c>
      <c r="AF128" s="1"/>
    </row>
    <row r="129" spans="1:32" s="12" customFormat="1" ht="21" customHeight="1">
      <c r="A129" s="50"/>
      <c r="B129" s="364"/>
      <c r="C129" s="364"/>
      <c r="D129" s="182"/>
      <c r="E129" s="124"/>
      <c r="F129" s="124"/>
      <c r="G129" s="124"/>
      <c r="H129" s="124"/>
      <c r="I129" s="124"/>
      <c r="J129" s="124"/>
      <c r="K129" s="124"/>
      <c r="L129" s="124"/>
      <c r="M129" s="84"/>
      <c r="N129" s="366"/>
      <c r="O129" s="366"/>
      <c r="P129" s="366"/>
      <c r="Q129" s="366"/>
      <c r="R129" s="365"/>
      <c r="S129" s="365"/>
      <c r="T129" s="365"/>
      <c r="U129" s="366"/>
      <c r="V129" s="365"/>
      <c r="W129" s="365"/>
      <c r="X129" s="366"/>
      <c r="Y129" s="365"/>
      <c r="Z129" s="365"/>
      <c r="AA129" s="365"/>
      <c r="AB129" s="365"/>
      <c r="AC129" s="81"/>
      <c r="AD129" s="81"/>
      <c r="AE129" s="61"/>
      <c r="AF129" s="1"/>
    </row>
    <row r="130" spans="1:32" s="12" customFormat="1" ht="21" customHeight="1">
      <c r="A130" s="50"/>
      <c r="B130" s="348"/>
      <c r="C130" s="348"/>
      <c r="D130" s="182"/>
      <c r="E130" s="124"/>
      <c r="F130" s="124"/>
      <c r="G130" s="124"/>
      <c r="H130" s="124"/>
      <c r="I130" s="124"/>
      <c r="J130" s="124"/>
      <c r="K130" s="124"/>
      <c r="L130" s="124"/>
      <c r="M130" s="84"/>
      <c r="N130" s="85" t="s">
        <v>342</v>
      </c>
      <c r="O130" s="130"/>
      <c r="P130" s="209"/>
      <c r="Q130" s="34"/>
      <c r="R130" s="34"/>
      <c r="S130" s="34"/>
      <c r="T130" s="34"/>
      <c r="U130" s="34"/>
      <c r="V130" s="34"/>
      <c r="W130" s="316" t="s">
        <v>125</v>
      </c>
      <c r="X130" s="316"/>
      <c r="Y130" s="316"/>
      <c r="Z130" s="316"/>
      <c r="AA130" s="316"/>
      <c r="AB130" s="316"/>
      <c r="AC130" s="86"/>
      <c r="AD130" s="86">
        <f>SUM(AD131:AD131)</f>
        <v>800000</v>
      </c>
      <c r="AE130" s="87" t="s">
        <v>24</v>
      </c>
      <c r="AF130" s="1"/>
    </row>
    <row r="131" spans="1:32" s="12" customFormat="1" ht="21" customHeight="1">
      <c r="A131" s="50"/>
      <c r="B131" s="348"/>
      <c r="C131" s="348"/>
      <c r="D131" s="182"/>
      <c r="E131" s="124"/>
      <c r="F131" s="124"/>
      <c r="G131" s="124"/>
      <c r="H131" s="124"/>
      <c r="I131" s="124"/>
      <c r="J131" s="124"/>
      <c r="K131" s="124"/>
      <c r="L131" s="124"/>
      <c r="M131" s="84"/>
      <c r="N131" s="381" t="s">
        <v>343</v>
      </c>
      <c r="O131" s="321"/>
      <c r="P131" s="321"/>
      <c r="Q131" s="321"/>
      <c r="R131" s="320">
        <v>200000</v>
      </c>
      <c r="S131" s="320"/>
      <c r="T131" s="59" t="s">
        <v>56</v>
      </c>
      <c r="U131" s="59" t="s">
        <v>25</v>
      </c>
      <c r="V131" s="320">
        <v>4</v>
      </c>
      <c r="W131" s="363" t="s">
        <v>83</v>
      </c>
      <c r="X131" s="220"/>
      <c r="Y131" s="151"/>
      <c r="Z131" s="89"/>
      <c r="AA131" s="207" t="s">
        <v>52</v>
      </c>
      <c r="AB131" s="320" t="s">
        <v>270</v>
      </c>
      <c r="AC131" s="320"/>
      <c r="AD131" s="320">
        <f>R131*V131</f>
        <v>800000</v>
      </c>
      <c r="AE131" s="61" t="s">
        <v>24</v>
      </c>
      <c r="AF131" s="1"/>
    </row>
    <row r="132" spans="1:32" s="12" customFormat="1" ht="21" customHeight="1">
      <c r="A132" s="50"/>
      <c r="B132" s="348"/>
      <c r="C132" s="348"/>
      <c r="D132" s="182"/>
      <c r="E132" s="124"/>
      <c r="F132" s="124"/>
      <c r="G132" s="124"/>
      <c r="H132" s="124"/>
      <c r="I132" s="124"/>
      <c r="J132" s="124"/>
      <c r="K132" s="124"/>
      <c r="L132" s="124"/>
      <c r="M132" s="84"/>
      <c r="N132" s="321"/>
      <c r="O132" s="321"/>
      <c r="P132" s="321"/>
      <c r="Q132" s="321"/>
      <c r="R132" s="321"/>
      <c r="S132" s="321"/>
      <c r="T132" s="320"/>
      <c r="U132" s="320"/>
      <c r="V132" s="320"/>
      <c r="W132" s="320"/>
      <c r="X132" s="320"/>
      <c r="Y132" s="155"/>
      <c r="Z132" s="155"/>
      <c r="AA132" s="155"/>
      <c r="AB132" s="155"/>
      <c r="AC132" s="156"/>
      <c r="AD132" s="156"/>
      <c r="AE132" s="61"/>
      <c r="AF132" s="1"/>
    </row>
    <row r="133" spans="1:32" s="15" customFormat="1" ht="21" customHeight="1">
      <c r="A133" s="50"/>
      <c r="B133" s="348"/>
      <c r="C133" s="348"/>
      <c r="D133" s="182"/>
      <c r="E133" s="124"/>
      <c r="F133" s="124"/>
      <c r="G133" s="124"/>
      <c r="H133" s="124"/>
      <c r="I133" s="124"/>
      <c r="J133" s="124"/>
      <c r="K133" s="124"/>
      <c r="L133" s="124"/>
      <c r="M133" s="84"/>
      <c r="N133" s="85" t="s">
        <v>344</v>
      </c>
      <c r="O133" s="130"/>
      <c r="P133" s="209"/>
      <c r="Q133" s="34"/>
      <c r="R133" s="34"/>
      <c r="S133" s="34"/>
      <c r="T133" s="34"/>
      <c r="U133" s="34"/>
      <c r="V133" s="34"/>
      <c r="W133" s="316" t="s">
        <v>125</v>
      </c>
      <c r="X133" s="316"/>
      <c r="Y133" s="316"/>
      <c r="Z133" s="316"/>
      <c r="AA133" s="316"/>
      <c r="AB133" s="316"/>
      <c r="AC133" s="86"/>
      <c r="AD133" s="86">
        <f>SUM(AD134)</f>
        <v>240000</v>
      </c>
      <c r="AE133" s="87" t="s">
        <v>24</v>
      </c>
      <c r="AF133" s="5"/>
    </row>
    <row r="134" spans="1:32" s="15" customFormat="1" ht="21" customHeight="1">
      <c r="A134" s="50"/>
      <c r="B134" s="315"/>
      <c r="C134" s="315"/>
      <c r="D134" s="182"/>
      <c r="E134" s="124"/>
      <c r="F134" s="124"/>
      <c r="G134" s="124"/>
      <c r="H134" s="124"/>
      <c r="I134" s="124"/>
      <c r="J134" s="124"/>
      <c r="K134" s="124"/>
      <c r="L134" s="124"/>
      <c r="M134" s="84"/>
      <c r="N134" s="152" t="s">
        <v>345</v>
      </c>
      <c r="O134" s="152"/>
      <c r="P134" s="152"/>
      <c r="Q134" s="152"/>
      <c r="R134" s="320">
        <v>20000</v>
      </c>
      <c r="S134" s="320"/>
      <c r="T134" s="59" t="s">
        <v>56</v>
      </c>
      <c r="U134" s="59" t="s">
        <v>25</v>
      </c>
      <c r="V134" s="320">
        <v>12</v>
      </c>
      <c r="W134" s="380" t="s">
        <v>74</v>
      </c>
      <c r="X134" s="220"/>
      <c r="Y134" s="151"/>
      <c r="Z134" s="89"/>
      <c r="AA134" s="207" t="s">
        <v>52</v>
      </c>
      <c r="AB134" s="383" t="s">
        <v>365</v>
      </c>
      <c r="AC134" s="320"/>
      <c r="AD134" s="320">
        <f>R134*V134</f>
        <v>240000</v>
      </c>
      <c r="AE134" s="61" t="s">
        <v>24</v>
      </c>
      <c r="AF134" s="5"/>
    </row>
    <row r="135" spans="1:32" s="12" customFormat="1" ht="21" customHeight="1">
      <c r="A135" s="50"/>
      <c r="B135" s="315"/>
      <c r="C135" s="315"/>
      <c r="D135" s="185"/>
      <c r="E135" s="124"/>
      <c r="F135" s="124"/>
      <c r="G135" s="124"/>
      <c r="H135" s="124"/>
      <c r="I135" s="124"/>
      <c r="J135" s="124"/>
      <c r="K135" s="124"/>
      <c r="L135" s="124"/>
      <c r="M135" s="84"/>
      <c r="N135" s="152"/>
      <c r="O135" s="152"/>
      <c r="P135" s="152"/>
      <c r="Q135" s="152"/>
      <c r="R135" s="343"/>
      <c r="S135" s="152"/>
      <c r="T135" s="152"/>
      <c r="U135" s="59"/>
      <c r="V135" s="152"/>
      <c r="W135" s="152"/>
      <c r="X135" s="152"/>
      <c r="Y135" s="152"/>
      <c r="Z135" s="152"/>
      <c r="AA135" s="152"/>
      <c r="AB135" s="152"/>
      <c r="AC135" s="152"/>
      <c r="AD135" s="342"/>
      <c r="AE135" s="157"/>
      <c r="AF135" s="1"/>
    </row>
    <row r="136" spans="1:32" s="12" customFormat="1" ht="21" customHeight="1">
      <c r="A136" s="50"/>
      <c r="B136" s="367"/>
      <c r="C136" s="367"/>
      <c r="D136" s="185"/>
      <c r="E136" s="124"/>
      <c r="F136" s="124"/>
      <c r="G136" s="124"/>
      <c r="H136" s="124"/>
      <c r="I136" s="124"/>
      <c r="J136" s="124"/>
      <c r="K136" s="124"/>
      <c r="L136" s="124"/>
      <c r="M136" s="84"/>
      <c r="N136" s="386" t="s">
        <v>346</v>
      </c>
      <c r="O136" s="387"/>
      <c r="P136" s="152"/>
      <c r="Q136" s="152"/>
      <c r="R136" s="343"/>
      <c r="S136" s="152"/>
      <c r="T136" s="152"/>
      <c r="U136" s="59"/>
      <c r="V136" s="152"/>
      <c r="W136" s="152"/>
      <c r="X136" s="152"/>
      <c r="Y136" s="152"/>
      <c r="Z136" s="152"/>
      <c r="AA136" s="152"/>
      <c r="AB136" s="152"/>
      <c r="AC136" s="152"/>
      <c r="AD136" s="342"/>
      <c r="AE136" s="157"/>
      <c r="AF136" s="1"/>
    </row>
    <row r="137" spans="1:32" s="12" customFormat="1" ht="21" customHeight="1">
      <c r="A137" s="50"/>
      <c r="B137" s="315"/>
      <c r="C137" s="315"/>
      <c r="D137" s="185"/>
      <c r="E137" s="124"/>
      <c r="F137" s="124"/>
      <c r="G137" s="124"/>
      <c r="H137" s="124"/>
      <c r="I137" s="124"/>
      <c r="J137" s="124"/>
      <c r="K137" s="124"/>
      <c r="L137" s="124"/>
      <c r="M137" s="84"/>
      <c r="N137" s="152" t="s">
        <v>347</v>
      </c>
      <c r="O137" s="152"/>
      <c r="P137" s="152"/>
      <c r="Q137" s="152"/>
      <c r="R137" s="422">
        <v>60000</v>
      </c>
      <c r="S137" s="152"/>
      <c r="T137" s="152" t="s">
        <v>348</v>
      </c>
      <c r="U137" s="59" t="s">
        <v>25</v>
      </c>
      <c r="V137" s="152">
        <v>12</v>
      </c>
      <c r="W137" s="152" t="s">
        <v>349</v>
      </c>
      <c r="X137" s="59" t="s">
        <v>25</v>
      </c>
      <c r="Y137" s="152">
        <v>4</v>
      </c>
      <c r="Z137" s="152" t="s">
        <v>350</v>
      </c>
      <c r="AA137" s="152" t="s">
        <v>351</v>
      </c>
      <c r="AB137" s="152" t="s">
        <v>365</v>
      </c>
      <c r="AC137" s="152"/>
      <c r="AD137" s="342">
        <f>R137*V137*Y137</f>
        <v>2880000</v>
      </c>
      <c r="AE137" s="157" t="s">
        <v>341</v>
      </c>
      <c r="AF137" s="1"/>
    </row>
    <row r="138" spans="1:32" s="12" customFormat="1" ht="21" customHeight="1">
      <c r="A138" s="50"/>
      <c r="B138" s="377"/>
      <c r="C138" s="377"/>
      <c r="D138" s="185"/>
      <c r="E138" s="124"/>
      <c r="F138" s="124"/>
      <c r="G138" s="124"/>
      <c r="H138" s="124"/>
      <c r="I138" s="124"/>
      <c r="J138" s="124"/>
      <c r="K138" s="124"/>
      <c r="L138" s="124"/>
      <c r="M138" s="84"/>
      <c r="N138" s="152"/>
      <c r="O138" s="152"/>
      <c r="P138" s="152"/>
      <c r="Q138" s="152"/>
      <c r="R138" s="152"/>
      <c r="S138" s="152"/>
      <c r="T138" s="152"/>
      <c r="U138" s="59"/>
      <c r="V138" s="152"/>
      <c r="W138" s="152"/>
      <c r="X138" s="59"/>
      <c r="Y138" s="152"/>
      <c r="Z138" s="152"/>
      <c r="AA138" s="152"/>
      <c r="AB138" s="152"/>
      <c r="AC138" s="152"/>
      <c r="AD138" s="342"/>
      <c r="AE138" s="157"/>
      <c r="AF138" s="1"/>
    </row>
    <row r="139" spans="1:32" s="12" customFormat="1" ht="21" customHeight="1">
      <c r="A139" s="50"/>
      <c r="B139" s="315"/>
      <c r="C139" s="315"/>
      <c r="D139" s="182"/>
      <c r="E139" s="124"/>
      <c r="F139" s="124"/>
      <c r="G139" s="124"/>
      <c r="H139" s="124"/>
      <c r="I139" s="124"/>
      <c r="J139" s="124"/>
      <c r="K139" s="124"/>
      <c r="L139" s="124"/>
      <c r="M139" s="84"/>
      <c r="N139" s="85" t="s">
        <v>352</v>
      </c>
      <c r="O139" s="130"/>
      <c r="P139" s="209"/>
      <c r="Q139" s="34"/>
      <c r="R139" s="34"/>
      <c r="S139" s="34"/>
      <c r="T139" s="34"/>
      <c r="U139" s="34"/>
      <c r="V139" s="34"/>
      <c r="W139" s="316" t="s">
        <v>125</v>
      </c>
      <c r="X139" s="316"/>
      <c r="Y139" s="316"/>
      <c r="Z139" s="316"/>
      <c r="AA139" s="316"/>
      <c r="AB139" s="316"/>
      <c r="AC139" s="86"/>
      <c r="AD139" s="86">
        <f>SUM(AD141:AD144)</f>
        <v>1760000</v>
      </c>
      <c r="AE139" s="87" t="s">
        <v>24</v>
      </c>
      <c r="AF139" s="1"/>
    </row>
    <row r="140" spans="1:32" s="12" customFormat="1" ht="21" customHeight="1">
      <c r="A140" s="50"/>
      <c r="B140" s="315"/>
      <c r="C140" s="315"/>
      <c r="D140" s="182"/>
      <c r="E140" s="124"/>
      <c r="F140" s="124"/>
      <c r="G140" s="124"/>
      <c r="H140" s="124"/>
      <c r="I140" s="124"/>
      <c r="J140" s="124"/>
      <c r="K140" s="124"/>
      <c r="L140" s="124"/>
      <c r="M140" s="84"/>
      <c r="N140" s="152" t="s">
        <v>353</v>
      </c>
      <c r="O140" s="152"/>
      <c r="P140" s="152"/>
      <c r="Q140" s="152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388"/>
      <c r="AF140" s="1"/>
    </row>
    <row r="141" spans="1:32" s="12" customFormat="1" ht="26.25" customHeight="1">
      <c r="A141" s="50"/>
      <c r="B141" s="315"/>
      <c r="C141" s="315"/>
      <c r="D141" s="182"/>
      <c r="E141" s="124"/>
      <c r="F141" s="124"/>
      <c r="G141" s="124"/>
      <c r="H141" s="124"/>
      <c r="I141" s="124"/>
      <c r="J141" s="124"/>
      <c r="K141" s="124"/>
      <c r="L141" s="124"/>
      <c r="M141" s="84"/>
      <c r="N141" s="152" t="s">
        <v>354</v>
      </c>
      <c r="O141" s="152"/>
      <c r="P141" s="152"/>
      <c r="Q141" s="152"/>
      <c r="R141" s="349">
        <v>20000</v>
      </c>
      <c r="S141" s="349"/>
      <c r="T141" s="349" t="s">
        <v>302</v>
      </c>
      <c r="U141" s="350" t="s">
        <v>303</v>
      </c>
      <c r="V141" s="349"/>
      <c r="W141" s="349"/>
      <c r="X141" s="350"/>
      <c r="Y141" s="349">
        <v>4</v>
      </c>
      <c r="Z141" s="380" t="s">
        <v>55</v>
      </c>
      <c r="AA141" s="349" t="s">
        <v>306</v>
      </c>
      <c r="AB141" s="152" t="s">
        <v>307</v>
      </c>
      <c r="AC141" s="152"/>
      <c r="AD141" s="81">
        <f>R141*Y141</f>
        <v>80000</v>
      </c>
      <c r="AE141" s="157" t="s">
        <v>302</v>
      </c>
      <c r="AF141" s="1"/>
    </row>
    <row r="142" spans="1:32" s="16" customFormat="1" ht="24" customHeight="1">
      <c r="A142" s="50"/>
      <c r="B142" s="315"/>
      <c r="C142" s="315"/>
      <c r="D142" s="182"/>
      <c r="E142" s="124"/>
      <c r="F142" s="124"/>
      <c r="G142" s="124"/>
      <c r="H142" s="124"/>
      <c r="I142" s="124"/>
      <c r="J142" s="124"/>
      <c r="K142" s="124"/>
      <c r="L142" s="124"/>
      <c r="M142" s="84"/>
      <c r="N142" s="152" t="s">
        <v>355</v>
      </c>
      <c r="O142" s="152"/>
      <c r="P142" s="152"/>
      <c r="Q142" s="152"/>
      <c r="R142" s="349">
        <v>1000000</v>
      </c>
      <c r="S142" s="349"/>
      <c r="T142" s="349" t="s">
        <v>302</v>
      </c>
      <c r="U142" s="350" t="s">
        <v>303</v>
      </c>
      <c r="V142" s="349"/>
      <c r="W142" s="349"/>
      <c r="X142" s="350"/>
      <c r="Y142" s="349">
        <v>1</v>
      </c>
      <c r="Z142" s="349" t="s">
        <v>304</v>
      </c>
      <c r="AA142" s="349" t="s">
        <v>306</v>
      </c>
      <c r="AB142" s="152" t="s">
        <v>307</v>
      </c>
      <c r="AC142" s="152"/>
      <c r="AD142" s="81">
        <f>R142*Y142</f>
        <v>1000000</v>
      </c>
      <c r="AE142" s="157" t="s">
        <v>302</v>
      </c>
      <c r="AF142" s="17"/>
    </row>
    <row r="143" spans="1:32" s="16" customFormat="1" ht="24" customHeight="1">
      <c r="A143" s="50"/>
      <c r="B143" s="377"/>
      <c r="C143" s="377"/>
      <c r="D143" s="182"/>
      <c r="E143" s="124"/>
      <c r="F143" s="124"/>
      <c r="G143" s="124"/>
      <c r="H143" s="124"/>
      <c r="I143" s="124"/>
      <c r="J143" s="124"/>
      <c r="K143" s="124"/>
      <c r="L143" s="124"/>
      <c r="M143" s="84"/>
      <c r="N143" s="152" t="s">
        <v>356</v>
      </c>
      <c r="O143" s="152"/>
      <c r="P143" s="152"/>
      <c r="Q143" s="152"/>
      <c r="R143" s="349">
        <v>600000</v>
      </c>
      <c r="S143" s="349"/>
      <c r="T143" s="349" t="s">
        <v>302</v>
      </c>
      <c r="U143" s="350" t="s">
        <v>303</v>
      </c>
      <c r="V143" s="349"/>
      <c r="W143" s="349"/>
      <c r="X143" s="350"/>
      <c r="Y143" s="349">
        <v>1</v>
      </c>
      <c r="Z143" s="349" t="s">
        <v>304</v>
      </c>
      <c r="AA143" s="349" t="s">
        <v>306</v>
      </c>
      <c r="AB143" s="152" t="s">
        <v>106</v>
      </c>
      <c r="AC143" s="152"/>
      <c r="AD143" s="81">
        <f>R143*Y143</f>
        <v>600000</v>
      </c>
      <c r="AE143" s="157" t="s">
        <v>302</v>
      </c>
      <c r="AF143" s="17"/>
    </row>
    <row r="144" spans="1:32" s="16" customFormat="1" ht="24" customHeight="1">
      <c r="A144" s="50"/>
      <c r="B144" s="377"/>
      <c r="C144" s="377"/>
      <c r="D144" s="182"/>
      <c r="E144" s="124"/>
      <c r="F144" s="124"/>
      <c r="G144" s="124"/>
      <c r="H144" s="124"/>
      <c r="I144" s="124"/>
      <c r="J144" s="124"/>
      <c r="K144" s="124"/>
      <c r="L144" s="124"/>
      <c r="M144" s="84"/>
      <c r="N144" s="152" t="s">
        <v>357</v>
      </c>
      <c r="O144" s="152"/>
      <c r="P144" s="152"/>
      <c r="Q144" s="152"/>
      <c r="R144" s="380">
        <v>20000</v>
      </c>
      <c r="S144" s="380"/>
      <c r="T144" s="380" t="s">
        <v>87</v>
      </c>
      <c r="U144" s="381" t="s">
        <v>147</v>
      </c>
      <c r="V144" s="380"/>
      <c r="W144" s="380"/>
      <c r="X144" s="381"/>
      <c r="Y144" s="380">
        <v>4</v>
      </c>
      <c r="Z144" s="380" t="s">
        <v>55</v>
      </c>
      <c r="AA144" s="380" t="s">
        <v>73</v>
      </c>
      <c r="AB144" s="152" t="s">
        <v>106</v>
      </c>
      <c r="AC144" s="152"/>
      <c r="AD144" s="81">
        <f>R144*Y144</f>
        <v>80000</v>
      </c>
      <c r="AE144" s="157" t="s">
        <v>87</v>
      </c>
      <c r="AF144" s="17"/>
    </row>
    <row r="145" spans="1:33" s="16" customFormat="1" ht="24" customHeight="1">
      <c r="A145" s="50"/>
      <c r="B145" s="377"/>
      <c r="C145" s="377"/>
      <c r="D145" s="182"/>
      <c r="E145" s="124"/>
      <c r="F145" s="124"/>
      <c r="G145" s="124"/>
      <c r="H145" s="124"/>
      <c r="I145" s="124"/>
      <c r="J145" s="124"/>
      <c r="K145" s="124"/>
      <c r="L145" s="124"/>
      <c r="M145" s="84"/>
      <c r="N145" s="152"/>
      <c r="O145" s="152"/>
      <c r="P145" s="152"/>
      <c r="Q145" s="152"/>
      <c r="R145" s="380"/>
      <c r="S145" s="380"/>
      <c r="T145" s="380"/>
      <c r="U145" s="381"/>
      <c r="V145" s="380"/>
      <c r="W145" s="380"/>
      <c r="X145" s="381"/>
      <c r="Y145" s="380"/>
      <c r="Z145" s="380"/>
      <c r="AA145" s="380"/>
      <c r="AB145" s="152"/>
      <c r="AC145" s="152"/>
      <c r="AD145" s="81"/>
      <c r="AE145" s="157"/>
      <c r="AF145" s="17"/>
    </row>
    <row r="146" spans="1:33" s="16" customFormat="1" ht="24" customHeight="1">
      <c r="A146" s="50"/>
      <c r="B146" s="377"/>
      <c r="C146" s="377"/>
      <c r="D146" s="182"/>
      <c r="E146" s="124"/>
      <c r="F146" s="124"/>
      <c r="G146" s="124"/>
      <c r="H146" s="124"/>
      <c r="I146" s="124"/>
      <c r="J146" s="124"/>
      <c r="K146" s="124"/>
      <c r="L146" s="124"/>
      <c r="M146" s="84"/>
      <c r="N146" s="386" t="s">
        <v>358</v>
      </c>
      <c r="O146" s="387"/>
      <c r="P146" s="152"/>
      <c r="Q146" s="152"/>
      <c r="R146" s="380"/>
      <c r="S146" s="380"/>
      <c r="T146" s="380"/>
      <c r="U146" s="381"/>
      <c r="V146" s="380"/>
      <c r="W146" s="378" t="s">
        <v>359</v>
      </c>
      <c r="X146" s="379"/>
      <c r="Y146" s="378"/>
      <c r="Z146" s="378"/>
      <c r="AA146" s="378"/>
      <c r="AB146" s="387"/>
      <c r="AC146" s="387"/>
      <c r="AD146" s="86">
        <f>SUM(AD148)</f>
        <v>800000</v>
      </c>
      <c r="AE146" s="389" t="s">
        <v>341</v>
      </c>
      <c r="AF146" s="17"/>
    </row>
    <row r="147" spans="1:33" s="16" customFormat="1" ht="24" customHeight="1">
      <c r="A147" s="50"/>
      <c r="B147" s="377"/>
      <c r="C147" s="377"/>
      <c r="D147" s="182"/>
      <c r="E147" s="124"/>
      <c r="F147" s="124"/>
      <c r="G147" s="124"/>
      <c r="H147" s="124"/>
      <c r="I147" s="124"/>
      <c r="J147" s="124"/>
      <c r="K147" s="124"/>
      <c r="L147" s="124"/>
      <c r="M147" s="84"/>
      <c r="N147" s="152" t="s">
        <v>360</v>
      </c>
      <c r="O147" s="152"/>
      <c r="P147" s="152"/>
      <c r="Q147" s="152"/>
      <c r="R147" s="380">
        <v>50000</v>
      </c>
      <c r="S147" s="380"/>
      <c r="T147" s="380" t="s">
        <v>87</v>
      </c>
      <c r="U147" s="381" t="s">
        <v>147</v>
      </c>
      <c r="V147" s="380"/>
      <c r="W147" s="380"/>
      <c r="X147" s="381"/>
      <c r="Y147" s="380">
        <v>4</v>
      </c>
      <c r="Z147" s="380" t="s">
        <v>55</v>
      </c>
      <c r="AA147" s="380" t="s">
        <v>73</v>
      </c>
      <c r="AB147" s="152"/>
      <c r="AC147" s="152"/>
      <c r="AD147" s="81">
        <f>R147*Y147</f>
        <v>200000</v>
      </c>
      <c r="AE147" s="157" t="s">
        <v>87</v>
      </c>
      <c r="AF147" s="17"/>
    </row>
    <row r="148" spans="1:33" s="16" customFormat="1" ht="24" customHeight="1">
      <c r="A148" s="50"/>
      <c r="B148" s="377"/>
      <c r="C148" s="377"/>
      <c r="D148" s="182"/>
      <c r="E148" s="124"/>
      <c r="F148" s="124"/>
      <c r="G148" s="124"/>
      <c r="H148" s="124"/>
      <c r="I148" s="124"/>
      <c r="J148" s="124"/>
      <c r="K148" s="124"/>
      <c r="L148" s="124"/>
      <c r="M148" s="84"/>
      <c r="N148" s="152" t="s">
        <v>361</v>
      </c>
      <c r="O148" s="152"/>
      <c r="P148" s="152"/>
      <c r="Q148" s="152"/>
      <c r="R148" s="380">
        <v>200000</v>
      </c>
      <c r="S148" s="380"/>
      <c r="T148" s="380" t="s">
        <v>87</v>
      </c>
      <c r="U148" s="381" t="s">
        <v>147</v>
      </c>
      <c r="V148" s="380"/>
      <c r="W148" s="380"/>
      <c r="X148" s="381"/>
      <c r="Y148" s="380">
        <v>4</v>
      </c>
      <c r="Z148" s="380" t="s">
        <v>55</v>
      </c>
      <c r="AA148" s="380" t="s">
        <v>73</v>
      </c>
      <c r="AB148" s="152"/>
      <c r="AC148" s="152"/>
      <c r="AD148" s="81">
        <f>R148*Y148</f>
        <v>800000</v>
      </c>
      <c r="AE148" s="157" t="s">
        <v>87</v>
      </c>
      <c r="AF148" s="17"/>
    </row>
    <row r="149" spans="1:33" s="16" customFormat="1" ht="24" customHeight="1">
      <c r="A149" s="50"/>
      <c r="B149" s="377"/>
      <c r="C149" s="377"/>
      <c r="D149" s="182"/>
      <c r="E149" s="124"/>
      <c r="F149" s="124"/>
      <c r="G149" s="124"/>
      <c r="H149" s="124"/>
      <c r="I149" s="124"/>
      <c r="J149" s="124"/>
      <c r="K149" s="124"/>
      <c r="L149" s="124"/>
      <c r="M149" s="84"/>
      <c r="N149" s="152"/>
      <c r="O149" s="152"/>
      <c r="P149" s="152"/>
      <c r="Q149" s="152"/>
      <c r="R149" s="380"/>
      <c r="S149" s="380"/>
      <c r="T149" s="380"/>
      <c r="U149" s="381"/>
      <c r="V149" s="380"/>
      <c r="W149" s="380"/>
      <c r="X149" s="381"/>
      <c r="Y149" s="380"/>
      <c r="Z149" s="380"/>
      <c r="AA149" s="380"/>
      <c r="AB149" s="152"/>
      <c r="AC149" s="152"/>
      <c r="AD149" s="81"/>
      <c r="AE149" s="157"/>
      <c r="AF149" s="17"/>
    </row>
    <row r="150" spans="1:33" s="16" customFormat="1" ht="24" customHeight="1">
      <c r="A150" s="50"/>
      <c r="B150" s="377"/>
      <c r="C150" s="377"/>
      <c r="D150" s="182"/>
      <c r="E150" s="124"/>
      <c r="F150" s="124"/>
      <c r="G150" s="124"/>
      <c r="H150" s="124"/>
      <c r="I150" s="124"/>
      <c r="J150" s="124"/>
      <c r="K150" s="124"/>
      <c r="L150" s="124"/>
      <c r="M150" s="84"/>
      <c r="N150" s="386" t="s">
        <v>362</v>
      </c>
      <c r="O150" s="387"/>
      <c r="P150" s="152"/>
      <c r="Q150" s="152"/>
      <c r="R150" s="380"/>
      <c r="S150" s="380"/>
      <c r="T150" s="380"/>
      <c r="U150" s="381"/>
      <c r="V150" s="380"/>
      <c r="W150" s="378" t="s">
        <v>359</v>
      </c>
      <c r="X150" s="379"/>
      <c r="Y150" s="378"/>
      <c r="Z150" s="378"/>
      <c r="AA150" s="378"/>
      <c r="AB150" s="387"/>
      <c r="AC150" s="387"/>
      <c r="AD150" s="86">
        <v>480000</v>
      </c>
      <c r="AE150" s="389" t="s">
        <v>341</v>
      </c>
      <c r="AF150" s="17"/>
    </row>
    <row r="151" spans="1:33" s="16" customFormat="1" ht="24" customHeight="1">
      <c r="A151" s="50"/>
      <c r="B151" s="377"/>
      <c r="C151" s="377"/>
      <c r="D151" s="182"/>
      <c r="E151" s="124"/>
      <c r="F151" s="124"/>
      <c r="G151" s="124"/>
      <c r="H151" s="124"/>
      <c r="I151" s="124"/>
      <c r="J151" s="124"/>
      <c r="K151" s="124"/>
      <c r="L151" s="124"/>
      <c r="M151" s="84"/>
      <c r="N151" s="152" t="s">
        <v>363</v>
      </c>
      <c r="O151" s="152"/>
      <c r="P151" s="152"/>
      <c r="Q151" s="152"/>
      <c r="R151" s="380">
        <v>30000</v>
      </c>
      <c r="S151" s="380"/>
      <c r="T151" s="380" t="s">
        <v>87</v>
      </c>
      <c r="U151" s="381" t="s">
        <v>147</v>
      </c>
      <c r="V151" s="380">
        <v>4</v>
      </c>
      <c r="W151" s="380" t="s">
        <v>74</v>
      </c>
      <c r="X151" s="381" t="s">
        <v>147</v>
      </c>
      <c r="Y151" s="380">
        <v>4</v>
      </c>
      <c r="Z151" s="380" t="s">
        <v>55</v>
      </c>
      <c r="AA151" s="380" t="s">
        <v>73</v>
      </c>
      <c r="AB151" s="380" t="s">
        <v>106</v>
      </c>
      <c r="AC151" s="81"/>
      <c r="AD151" s="81">
        <f t="shared" ref="AD151" si="11">R151*V151*Y151</f>
        <v>480000</v>
      </c>
      <c r="AE151" s="61" t="s">
        <v>24</v>
      </c>
      <c r="AF151" s="17"/>
    </row>
    <row r="152" spans="1:33" s="16" customFormat="1" ht="24" customHeight="1">
      <c r="A152" s="50"/>
      <c r="B152" s="315"/>
      <c r="C152" s="315"/>
      <c r="D152" s="182"/>
      <c r="E152" s="124"/>
      <c r="F152" s="124"/>
      <c r="G152" s="124"/>
      <c r="H152" s="124"/>
      <c r="I152" s="124"/>
      <c r="J152" s="124"/>
      <c r="K152" s="124"/>
      <c r="L152" s="124"/>
      <c r="M152" s="84"/>
      <c r="N152" s="321"/>
      <c r="O152" s="321"/>
      <c r="P152" s="321"/>
      <c r="Q152" s="321"/>
      <c r="R152" s="321"/>
      <c r="S152" s="321"/>
      <c r="T152" s="320"/>
      <c r="U152" s="320"/>
      <c r="V152" s="320"/>
      <c r="W152" s="320"/>
      <c r="X152" s="320"/>
      <c r="Y152" s="155"/>
      <c r="Z152" s="155"/>
      <c r="AA152" s="155"/>
      <c r="AB152" s="155"/>
      <c r="AC152" s="156"/>
      <c r="AD152" s="320"/>
      <c r="AE152" s="61"/>
      <c r="AF152" s="17"/>
    </row>
    <row r="153" spans="1:33" s="16" customFormat="1" ht="30.75" customHeight="1">
      <c r="A153" s="126" t="s">
        <v>409</v>
      </c>
      <c r="B153" s="453" t="s">
        <v>20</v>
      </c>
      <c r="C153" s="454"/>
      <c r="D153" s="199">
        <f>SUM(D154)</f>
        <v>17</v>
      </c>
      <c r="E153" s="199">
        <f>SUM(E154)</f>
        <v>21.231000000000002</v>
      </c>
      <c r="F153" s="199">
        <f t="shared" ref="F153:K153" si="12">SUM(F154)</f>
        <v>11.231</v>
      </c>
      <c r="G153" s="199">
        <f t="shared" si="12"/>
        <v>10</v>
      </c>
      <c r="H153" s="199">
        <f t="shared" si="12"/>
        <v>0</v>
      </c>
      <c r="I153" s="199">
        <v>0</v>
      </c>
      <c r="J153" s="199">
        <f t="shared" si="12"/>
        <v>0</v>
      </c>
      <c r="K153" s="199">
        <f t="shared" si="12"/>
        <v>0</v>
      </c>
      <c r="L153" s="199">
        <f>E153-D153</f>
        <v>4.2310000000000016</v>
      </c>
      <c r="M153" s="200">
        <f>IF(D153=0,0,L153/D153)</f>
        <v>0.24888235294117655</v>
      </c>
      <c r="N153" s="113" t="s">
        <v>374</v>
      </c>
      <c r="O153" s="319"/>
      <c r="P153" s="319"/>
      <c r="Q153" s="319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>
        <f>SUM(AD154)</f>
        <v>21231</v>
      </c>
      <c r="AE153" s="201" t="s">
        <v>24</v>
      </c>
      <c r="AF153" s="17"/>
    </row>
    <row r="154" spans="1:33" s="16" customFormat="1" ht="36.75" customHeight="1">
      <c r="A154" s="216"/>
      <c r="B154" s="391" t="s">
        <v>409</v>
      </c>
      <c r="C154" s="391" t="s">
        <v>410</v>
      </c>
      <c r="D154" s="182">
        <v>17</v>
      </c>
      <c r="E154" s="124">
        <f>AD154/1000</f>
        <v>21.231000000000002</v>
      </c>
      <c r="F154" s="124">
        <f>SUM(AD155:AD155)/1000</f>
        <v>11.231</v>
      </c>
      <c r="G154" s="124">
        <f>AD156/1000</f>
        <v>10</v>
      </c>
      <c r="H154" s="124">
        <v>0</v>
      </c>
      <c r="I154" s="124">
        <v>0</v>
      </c>
      <c r="J154" s="124">
        <v>0</v>
      </c>
      <c r="K154" s="124">
        <v>0</v>
      </c>
      <c r="L154" s="124">
        <f>E154-D154</f>
        <v>4.2310000000000016</v>
      </c>
      <c r="M154" s="84">
        <f>IF(D154=0,0,L154/D154)</f>
        <v>0.24888235294117655</v>
      </c>
      <c r="N154" s="130" t="s">
        <v>142</v>
      </c>
      <c r="O154" s="209"/>
      <c r="P154" s="209"/>
      <c r="Q154" s="209"/>
      <c r="R154" s="209"/>
      <c r="S154" s="209"/>
      <c r="T154" s="208"/>
      <c r="U154" s="208"/>
      <c r="V154" s="208"/>
      <c r="W154" s="208"/>
      <c r="X154" s="208"/>
      <c r="Y154" s="318" t="s">
        <v>131</v>
      </c>
      <c r="Z154" s="115"/>
      <c r="AA154" s="115"/>
      <c r="AB154" s="115"/>
      <c r="AC154" s="131"/>
      <c r="AD154" s="131">
        <f>SUM(AD155:AD156)</f>
        <v>21231</v>
      </c>
      <c r="AE154" s="132" t="s">
        <v>24</v>
      </c>
      <c r="AF154" s="17"/>
    </row>
    <row r="155" spans="1:33" s="16" customFormat="1" ht="24" customHeight="1">
      <c r="A155" s="50"/>
      <c r="B155" s="315"/>
      <c r="C155" s="315"/>
      <c r="D155" s="182"/>
      <c r="E155" s="124"/>
      <c r="F155" s="124"/>
      <c r="G155" s="124"/>
      <c r="H155" s="124"/>
      <c r="I155" s="124"/>
      <c r="J155" s="124"/>
      <c r="K155" s="124"/>
      <c r="L155" s="124"/>
      <c r="M155" s="84"/>
      <c r="N155" s="420" t="s">
        <v>176</v>
      </c>
      <c r="O155" s="321"/>
      <c r="P155" s="321"/>
      <c r="Q155" s="321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>
        <v>11231</v>
      </c>
      <c r="AE155" s="61" t="s">
        <v>24</v>
      </c>
      <c r="AF155" s="17"/>
    </row>
    <row r="156" spans="1:33" s="16" customFormat="1" ht="24" customHeight="1">
      <c r="A156" s="50"/>
      <c r="B156" s="391"/>
      <c r="C156" s="52"/>
      <c r="D156" s="182"/>
      <c r="E156" s="124"/>
      <c r="F156" s="124"/>
      <c r="G156" s="124"/>
      <c r="H156" s="124"/>
      <c r="I156" s="124"/>
      <c r="J156" s="124"/>
      <c r="K156" s="124"/>
      <c r="L156" s="124"/>
      <c r="M156" s="84"/>
      <c r="N156" s="403" t="s">
        <v>391</v>
      </c>
      <c r="O156" s="397"/>
      <c r="P156" s="397"/>
      <c r="Q156" s="397"/>
      <c r="R156" s="396"/>
      <c r="S156" s="396"/>
      <c r="T156" s="396"/>
      <c r="U156" s="396"/>
      <c r="V156" s="396"/>
      <c r="W156" s="396"/>
      <c r="X156" s="396"/>
      <c r="Y156" s="396"/>
      <c r="Z156" s="396"/>
      <c r="AA156" s="396"/>
      <c r="AB156" s="396"/>
      <c r="AC156" s="396"/>
      <c r="AD156" s="402">
        <v>10000</v>
      </c>
      <c r="AE156" s="413" t="s">
        <v>321</v>
      </c>
      <c r="AF156" s="17"/>
    </row>
    <row r="157" spans="1:33" s="16" customFormat="1" ht="24" customHeight="1">
      <c r="A157" s="62"/>
      <c r="B157" s="63"/>
      <c r="C157" s="52"/>
      <c r="D157" s="183"/>
      <c r="E157" s="125"/>
      <c r="F157" s="125"/>
      <c r="G157" s="125"/>
      <c r="H157" s="125"/>
      <c r="I157" s="125"/>
      <c r="J157" s="125"/>
      <c r="K157" s="125"/>
      <c r="L157" s="125"/>
      <c r="M157" s="412"/>
      <c r="N157" s="407"/>
      <c r="O157" s="393"/>
      <c r="P157" s="393"/>
      <c r="Q157" s="393"/>
      <c r="R157" s="392"/>
      <c r="S157" s="392"/>
      <c r="T157" s="392"/>
      <c r="U157" s="392"/>
      <c r="V157" s="392"/>
      <c r="W157" s="392"/>
      <c r="X157" s="392"/>
      <c r="Y157" s="392"/>
      <c r="Z157" s="392"/>
      <c r="AA157" s="392"/>
      <c r="AB157" s="392"/>
      <c r="AC157" s="392"/>
      <c r="AD157" s="408"/>
      <c r="AE157" s="409"/>
      <c r="AF157" s="17"/>
    </row>
    <row r="158" spans="1:33" s="16" customFormat="1" ht="47.25" customHeight="1">
      <c r="A158" s="421" t="s">
        <v>413</v>
      </c>
      <c r="B158" s="453" t="s">
        <v>390</v>
      </c>
      <c r="C158" s="454"/>
      <c r="D158" s="198"/>
      <c r="E158" s="199">
        <v>364</v>
      </c>
      <c r="F158" s="199">
        <v>0</v>
      </c>
      <c r="G158" s="199">
        <v>0</v>
      </c>
      <c r="H158" s="199">
        <v>0</v>
      </c>
      <c r="I158" s="199">
        <v>0</v>
      </c>
      <c r="J158" s="199">
        <v>0</v>
      </c>
      <c r="K158" s="199">
        <f>K159</f>
        <v>363.61</v>
      </c>
      <c r="L158" s="199">
        <v>0</v>
      </c>
      <c r="M158" s="411">
        <v>0</v>
      </c>
      <c r="N158" s="113" t="s">
        <v>379</v>
      </c>
      <c r="O158" s="395"/>
      <c r="P158" s="395"/>
      <c r="Q158" s="395"/>
      <c r="R158" s="394"/>
      <c r="S158" s="394"/>
      <c r="T158" s="394"/>
      <c r="U158" s="394"/>
      <c r="V158" s="394"/>
      <c r="W158" s="394"/>
      <c r="X158" s="394"/>
      <c r="Y158" s="394"/>
      <c r="Z158" s="394"/>
      <c r="AA158" s="394"/>
      <c r="AB158" s="394"/>
      <c r="AC158" s="394"/>
      <c r="AD158" s="394">
        <v>363610</v>
      </c>
      <c r="AE158" s="201" t="s">
        <v>377</v>
      </c>
      <c r="AF158" s="17"/>
      <c r="AG158" s="17"/>
    </row>
    <row r="159" spans="1:33" s="16" customFormat="1" ht="46.5" customHeight="1">
      <c r="A159" s="421"/>
      <c r="B159" s="390" t="s">
        <v>411</v>
      </c>
      <c r="C159" s="52" t="s">
        <v>412</v>
      </c>
      <c r="D159" s="182"/>
      <c r="E159" s="124">
        <v>364</v>
      </c>
      <c r="F159" s="124">
        <v>0</v>
      </c>
      <c r="G159" s="124">
        <v>0</v>
      </c>
      <c r="H159" s="124">
        <v>0</v>
      </c>
      <c r="I159" s="124">
        <v>0</v>
      </c>
      <c r="J159" s="124">
        <v>0</v>
      </c>
      <c r="K159" s="124">
        <f>AD159/1000</f>
        <v>363.61</v>
      </c>
      <c r="L159" s="124">
        <v>0</v>
      </c>
      <c r="M159" s="398">
        <v>0</v>
      </c>
      <c r="N159" s="113" t="s">
        <v>380</v>
      </c>
      <c r="O159" s="209"/>
      <c r="P159" s="209"/>
      <c r="Q159" s="209"/>
      <c r="R159" s="208"/>
      <c r="S159" s="208"/>
      <c r="T159" s="208"/>
      <c r="U159" s="208"/>
      <c r="V159" s="208"/>
      <c r="W159" s="208"/>
      <c r="X159" s="208"/>
      <c r="Y159" s="394" t="s">
        <v>381</v>
      </c>
      <c r="Z159" s="394"/>
      <c r="AA159" s="394"/>
      <c r="AB159" s="394"/>
      <c r="AC159" s="394"/>
      <c r="AD159" s="394">
        <v>363610</v>
      </c>
      <c r="AE159" s="201" t="s">
        <v>382</v>
      </c>
      <c r="AF159" s="406"/>
    </row>
    <row r="160" spans="1:33" s="16" customFormat="1" ht="24" customHeight="1">
      <c r="A160" s="410"/>
      <c r="B160" s="391"/>
      <c r="C160" s="391"/>
      <c r="D160" s="182"/>
      <c r="E160" s="124"/>
      <c r="F160" s="124"/>
      <c r="G160" s="124"/>
      <c r="H160" s="124"/>
      <c r="I160" s="124"/>
      <c r="J160" s="124"/>
      <c r="K160" s="124"/>
      <c r="L160" s="124"/>
      <c r="M160" s="84"/>
      <c r="N160" s="240" t="s">
        <v>378</v>
      </c>
      <c r="O160" s="397"/>
      <c r="P160" s="397"/>
      <c r="Q160" s="397"/>
      <c r="R160" s="396"/>
      <c r="S160" s="396"/>
      <c r="T160" s="396"/>
      <c r="U160" s="396"/>
      <c r="V160" s="396"/>
      <c r="W160" s="396"/>
      <c r="X160" s="396"/>
      <c r="Y160" s="396"/>
      <c r="Z160" s="396"/>
      <c r="AA160" s="396"/>
      <c r="AB160" s="396"/>
      <c r="AC160" s="396"/>
      <c r="AD160" s="396">
        <v>363610</v>
      </c>
      <c r="AE160" s="396" t="s">
        <v>377</v>
      </c>
      <c r="AF160" s="406"/>
    </row>
    <row r="161" spans="1:32" s="16" customFormat="1" ht="24" customHeight="1" thickBot="1">
      <c r="A161" s="312"/>
      <c r="B161" s="414"/>
      <c r="C161" s="415"/>
      <c r="D161" s="262"/>
      <c r="E161" s="262"/>
      <c r="F161" s="262"/>
      <c r="G161" s="262"/>
      <c r="H161" s="262"/>
      <c r="I161" s="262"/>
      <c r="J161" s="262"/>
      <c r="K161" s="262"/>
      <c r="L161" s="262"/>
      <c r="M161" s="263"/>
      <c r="O161" s="260"/>
      <c r="P161" s="260"/>
      <c r="Q161" s="260"/>
      <c r="R161" s="261"/>
      <c r="S161" s="261"/>
      <c r="T161" s="261"/>
      <c r="U161" s="261"/>
      <c r="V161" s="261"/>
      <c r="W161" s="261"/>
      <c r="X161" s="261"/>
      <c r="Y161" s="261"/>
      <c r="Z161" s="261"/>
      <c r="AA161" s="261"/>
      <c r="AB161" s="261"/>
      <c r="AC161" s="261"/>
      <c r="AD161" s="405"/>
      <c r="AE161" s="405"/>
      <c r="AF161" s="406"/>
    </row>
    <row r="162" spans="1:32" s="16" customFormat="1" ht="24" customHeight="1">
      <c r="A162" s="22"/>
      <c r="B162" s="22"/>
      <c r="C162" s="22"/>
      <c r="D162" s="19"/>
      <c r="E162" s="19"/>
      <c r="F162" s="19"/>
      <c r="G162" s="19"/>
      <c r="H162" s="19"/>
      <c r="I162" s="19"/>
      <c r="J162" s="19"/>
      <c r="K162" s="19"/>
      <c r="L162" s="19"/>
      <c r="M162" s="203"/>
      <c r="N162" s="404"/>
      <c r="O162" s="4"/>
      <c r="P162" s="4"/>
      <c r="Q162" s="4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402"/>
    </row>
    <row r="163" spans="1:32" s="16" customFormat="1" ht="24" customHeight="1">
      <c r="A163" s="22"/>
      <c r="B163" s="22"/>
      <c r="C163" s="22"/>
      <c r="D163" s="19"/>
      <c r="E163" s="19"/>
      <c r="F163" s="19"/>
      <c r="G163" s="19"/>
      <c r="H163" s="19"/>
      <c r="I163" s="19"/>
      <c r="J163" s="19"/>
      <c r="K163" s="19"/>
      <c r="L163" s="19"/>
      <c r="M163" s="203"/>
      <c r="N163" s="4"/>
      <c r="O163" s="4"/>
      <c r="P163" s="4"/>
      <c r="Q163" s="4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1:32" s="16" customFormat="1" ht="24" customHeight="1">
      <c r="A164" s="22"/>
      <c r="B164" s="22"/>
      <c r="C164" s="22"/>
      <c r="D164" s="19"/>
      <c r="E164" s="19"/>
      <c r="F164" s="19"/>
      <c r="G164" s="19"/>
      <c r="H164" s="19"/>
      <c r="I164" s="19"/>
      <c r="J164" s="19"/>
      <c r="K164" s="19"/>
      <c r="L164" s="19"/>
      <c r="M164" s="203"/>
      <c r="N164" s="4"/>
      <c r="O164" s="4"/>
      <c r="P164" s="4"/>
      <c r="Q164" s="4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17"/>
    </row>
    <row r="165" spans="1:32" s="16" customFormat="1" ht="24" customHeight="1">
      <c r="A165" s="22"/>
      <c r="B165" s="22"/>
      <c r="C165" s="22"/>
      <c r="D165" s="19"/>
      <c r="E165" s="19"/>
      <c r="F165" s="19"/>
      <c r="G165" s="19"/>
      <c r="H165" s="19"/>
      <c r="I165" s="19"/>
      <c r="J165" s="19"/>
      <c r="K165" s="19"/>
      <c r="L165" s="19"/>
      <c r="M165" s="203"/>
      <c r="N165" s="4"/>
      <c r="O165" s="4"/>
      <c r="P165" s="4"/>
      <c r="Q165" s="4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17"/>
    </row>
    <row r="166" spans="1:32" s="16" customFormat="1" ht="24" customHeight="1">
      <c r="A166" s="22"/>
      <c r="B166" s="22"/>
      <c r="C166" s="22"/>
      <c r="D166" s="19"/>
      <c r="E166" s="19"/>
      <c r="F166" s="19"/>
      <c r="G166" s="19"/>
      <c r="H166" s="19"/>
      <c r="I166" s="19"/>
      <c r="J166" s="19"/>
      <c r="K166" s="19"/>
      <c r="L166" s="19"/>
      <c r="M166" s="203"/>
      <c r="N166" s="4"/>
      <c r="O166" s="4"/>
      <c r="P166" s="4"/>
      <c r="Q166" s="4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17"/>
    </row>
    <row r="167" spans="1:32" s="16" customFormat="1" ht="24" customHeight="1">
      <c r="A167" s="22"/>
      <c r="B167" s="22"/>
      <c r="C167" s="22"/>
      <c r="D167" s="19"/>
      <c r="E167" s="19"/>
      <c r="F167" s="19"/>
      <c r="G167" s="19"/>
      <c r="H167" s="19"/>
      <c r="I167" s="19"/>
      <c r="J167" s="19"/>
      <c r="K167" s="19"/>
      <c r="L167" s="19"/>
      <c r="M167" s="203"/>
      <c r="N167" s="4"/>
      <c r="O167" s="4"/>
      <c r="P167" s="4"/>
      <c r="Q167" s="4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17"/>
    </row>
    <row r="168" spans="1:32" s="16" customFormat="1" ht="24" customHeight="1">
      <c r="A168" s="22"/>
      <c r="B168" s="22"/>
      <c r="C168" s="22"/>
      <c r="D168" s="19"/>
      <c r="E168" s="19"/>
      <c r="F168" s="19"/>
      <c r="G168" s="19"/>
      <c r="H168" s="19"/>
      <c r="I168" s="19"/>
      <c r="J168" s="19"/>
      <c r="K168" s="19"/>
      <c r="L168" s="19"/>
      <c r="M168" s="203"/>
      <c r="N168" s="4"/>
      <c r="O168" s="4"/>
      <c r="P168" s="4"/>
      <c r="Q168" s="4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17"/>
    </row>
    <row r="169" spans="1:32" s="16" customFormat="1" ht="24" customHeight="1">
      <c r="A169" s="22"/>
      <c r="B169" s="22"/>
      <c r="C169" s="22"/>
      <c r="D169" s="19"/>
      <c r="E169" s="19"/>
      <c r="F169" s="19"/>
      <c r="G169" s="19"/>
      <c r="H169" s="19"/>
      <c r="I169" s="19"/>
      <c r="J169" s="19"/>
      <c r="K169" s="19"/>
      <c r="L169" s="19"/>
      <c r="M169" s="203"/>
      <c r="N169" s="4"/>
      <c r="O169" s="4"/>
      <c r="P169" s="4"/>
      <c r="Q169" s="4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17"/>
    </row>
    <row r="170" spans="1:32" s="16" customFormat="1" ht="24" customHeight="1">
      <c r="A170" s="22"/>
      <c r="B170" s="22"/>
      <c r="C170" s="22"/>
      <c r="D170" s="19"/>
      <c r="E170" s="19"/>
      <c r="F170" s="19"/>
      <c r="G170" s="19"/>
      <c r="H170" s="19"/>
      <c r="I170" s="19"/>
      <c r="J170" s="19"/>
      <c r="K170" s="19"/>
      <c r="L170" s="19"/>
      <c r="M170" s="203"/>
      <c r="N170" s="4"/>
      <c r="O170" s="4"/>
      <c r="P170" s="4"/>
      <c r="Q170" s="4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17"/>
    </row>
    <row r="171" spans="1:32" s="16" customFormat="1" ht="24" customHeight="1">
      <c r="A171" s="22"/>
      <c r="B171" s="22"/>
      <c r="C171" s="22"/>
      <c r="D171" s="19"/>
      <c r="E171" s="19"/>
      <c r="F171" s="19"/>
      <c r="G171" s="19"/>
      <c r="H171" s="19"/>
      <c r="I171" s="19"/>
      <c r="J171" s="19"/>
      <c r="K171" s="19"/>
      <c r="L171" s="19"/>
      <c r="M171" s="203"/>
      <c r="N171" s="4"/>
      <c r="O171" s="4"/>
      <c r="P171" s="4"/>
      <c r="Q171" s="4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17"/>
    </row>
    <row r="172" spans="1:32" s="16" customFormat="1" ht="24" customHeight="1">
      <c r="A172" s="22"/>
      <c r="B172" s="22"/>
      <c r="C172" s="22"/>
      <c r="D172" s="19"/>
      <c r="E172" s="19"/>
      <c r="F172" s="19"/>
      <c r="G172" s="19"/>
      <c r="H172" s="19"/>
      <c r="I172" s="19"/>
      <c r="J172" s="19"/>
      <c r="K172" s="19"/>
      <c r="L172" s="19"/>
      <c r="M172" s="203"/>
      <c r="N172" s="4"/>
      <c r="O172" s="4"/>
      <c r="P172" s="4"/>
      <c r="Q172" s="4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17"/>
    </row>
    <row r="173" spans="1:32" s="16" customFormat="1" ht="24" customHeight="1">
      <c r="A173" s="22"/>
      <c r="B173" s="22"/>
      <c r="C173" s="22"/>
      <c r="D173" s="19"/>
      <c r="E173" s="19"/>
      <c r="F173" s="19"/>
      <c r="G173" s="19"/>
      <c r="H173" s="19"/>
      <c r="I173" s="19"/>
      <c r="J173" s="19"/>
      <c r="K173" s="19"/>
      <c r="L173" s="19"/>
      <c r="M173" s="203"/>
      <c r="N173" s="4"/>
      <c r="O173" s="4"/>
      <c r="P173" s="4"/>
      <c r="Q173" s="4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17"/>
    </row>
    <row r="174" spans="1:32" s="12" customFormat="1" ht="21" customHeight="1">
      <c r="A174" s="22"/>
      <c r="B174" s="22"/>
      <c r="C174" s="22"/>
      <c r="D174" s="19"/>
      <c r="E174" s="19"/>
      <c r="F174" s="19"/>
      <c r="G174" s="19"/>
      <c r="H174" s="19"/>
      <c r="I174" s="19"/>
      <c r="J174" s="19"/>
      <c r="K174" s="19"/>
      <c r="L174" s="19"/>
      <c r="M174" s="203"/>
      <c r="N174" s="4"/>
      <c r="O174" s="4"/>
      <c r="P174" s="4"/>
      <c r="Q174" s="4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1"/>
    </row>
    <row r="175" spans="1:32" s="12" customFormat="1" ht="21" customHeight="1">
      <c r="A175" s="22"/>
      <c r="B175" s="22"/>
      <c r="C175" s="22"/>
      <c r="D175" s="19"/>
      <c r="E175" s="19"/>
      <c r="F175" s="19"/>
      <c r="G175" s="19"/>
      <c r="H175" s="19"/>
      <c r="I175" s="19"/>
      <c r="J175" s="19"/>
      <c r="K175" s="19"/>
      <c r="L175" s="19"/>
      <c r="M175" s="203"/>
      <c r="N175" s="4"/>
      <c r="O175" s="4"/>
      <c r="P175" s="4"/>
      <c r="Q175" s="4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1"/>
    </row>
  </sheetData>
  <mergeCells count="16">
    <mergeCell ref="V55:W55"/>
    <mergeCell ref="V62:W62"/>
    <mergeCell ref="V61:W61"/>
    <mergeCell ref="N2:AE3"/>
    <mergeCell ref="A1:C1"/>
    <mergeCell ref="B5:C5"/>
    <mergeCell ref="A4:C4"/>
    <mergeCell ref="L2:M2"/>
    <mergeCell ref="A2:C2"/>
    <mergeCell ref="D2:D3"/>
    <mergeCell ref="E2:K2"/>
    <mergeCell ref="B158:C158"/>
    <mergeCell ref="B153:C153"/>
    <mergeCell ref="B95:C95"/>
    <mergeCell ref="B82:C82"/>
    <mergeCell ref="V78:W78"/>
  </mergeCells>
  <phoneticPr fontId="6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scaleWithDoc="0" alignWithMargins="0">
    <oddFooter>&amp;C&amp;P/&amp;N&amp;R&amp;9장애인공동생활가정 마르따의 집</oddFooter>
  </headerFooter>
  <ignoredErrors>
    <ignoredError sqref="E121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L22"/>
  <sheetViews>
    <sheetView tabSelected="1" topLeftCell="A6" workbookViewId="0">
      <selection activeCell="K6" sqref="K6"/>
    </sheetView>
  </sheetViews>
  <sheetFormatPr defaultRowHeight="13.5"/>
  <cols>
    <col min="1" max="1" width="7" customWidth="1"/>
    <col min="2" max="2" width="7.77734375" customWidth="1"/>
    <col min="3" max="3" width="10.21875" customWidth="1"/>
    <col min="4" max="4" width="10.109375" customWidth="1"/>
    <col min="5" max="5" width="9.44140625" customWidth="1"/>
    <col min="6" max="6" width="8.44140625" customWidth="1"/>
    <col min="7" max="7" width="6.6640625" customWidth="1"/>
    <col min="8" max="8" width="9.33203125" customWidth="1"/>
    <col min="9" max="9" width="11.6640625" customWidth="1"/>
    <col min="10" max="10" width="11.88671875" customWidth="1"/>
    <col min="11" max="11" width="11.109375" customWidth="1"/>
    <col min="12" max="12" width="8.77734375" customWidth="1"/>
  </cols>
  <sheetData>
    <row r="1" spans="1:12" ht="26.25">
      <c r="A1" s="266" t="s">
        <v>421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8" t="s">
        <v>194</v>
      </c>
    </row>
    <row r="2" spans="1:12" ht="8.25" customHeight="1" thickBot="1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6.5">
      <c r="A3" s="487" t="s">
        <v>195</v>
      </c>
      <c r="B3" s="488"/>
      <c r="C3" s="488"/>
      <c r="D3" s="488"/>
      <c r="E3" s="489"/>
      <c r="F3" s="489"/>
      <c r="G3" s="487" t="s">
        <v>196</v>
      </c>
      <c r="H3" s="488"/>
      <c r="I3" s="488"/>
      <c r="J3" s="488"/>
      <c r="K3" s="489"/>
      <c r="L3" s="490"/>
    </row>
    <row r="4" spans="1:12" ht="13.5" customHeight="1">
      <c r="A4" s="491" t="s">
        <v>275</v>
      </c>
      <c r="B4" s="492"/>
      <c r="C4" s="495" t="s">
        <v>420</v>
      </c>
      <c r="D4" s="495" t="s">
        <v>407</v>
      </c>
      <c r="E4" s="497" t="s">
        <v>276</v>
      </c>
      <c r="F4" s="499" t="s">
        <v>277</v>
      </c>
      <c r="G4" s="491" t="s">
        <v>275</v>
      </c>
      <c r="H4" s="492"/>
      <c r="I4" s="495" t="s">
        <v>406</v>
      </c>
      <c r="J4" s="495" t="s">
        <v>407</v>
      </c>
      <c r="K4" s="492" t="s">
        <v>278</v>
      </c>
      <c r="L4" s="501" t="s">
        <v>277</v>
      </c>
    </row>
    <row r="5" spans="1:12" ht="25.5" customHeight="1" thickBot="1">
      <c r="A5" s="493"/>
      <c r="B5" s="494"/>
      <c r="C5" s="496"/>
      <c r="D5" s="496"/>
      <c r="E5" s="498"/>
      <c r="F5" s="500"/>
      <c r="G5" s="493"/>
      <c r="H5" s="494"/>
      <c r="I5" s="496"/>
      <c r="J5" s="496"/>
      <c r="K5" s="494"/>
      <c r="L5" s="502"/>
    </row>
    <row r="6" spans="1:12" ht="14.25" thickTop="1">
      <c r="A6" s="508" t="s">
        <v>199</v>
      </c>
      <c r="B6" s="512"/>
      <c r="C6" s="275">
        <f>SUM(C7:C17)</f>
        <v>64342919</v>
      </c>
      <c r="D6" s="275">
        <f>SUM(D7:D17)</f>
        <v>62749841</v>
      </c>
      <c r="E6" s="276">
        <f>SUM(E7:E17)</f>
        <v>-1593078</v>
      </c>
      <c r="F6" s="277"/>
      <c r="G6" s="508" t="s">
        <v>199</v>
      </c>
      <c r="H6" s="512"/>
      <c r="I6" s="275">
        <f>SUM(I7:I20)</f>
        <v>64342919</v>
      </c>
      <c r="J6" s="275">
        <f>SUM(J7:J21)</f>
        <v>62749841</v>
      </c>
      <c r="K6" s="276">
        <f>SUM(K7:K21)</f>
        <v>-1593078</v>
      </c>
      <c r="L6" s="278"/>
    </row>
    <row r="7" spans="1:12" ht="56.25">
      <c r="A7" s="279" t="s">
        <v>258</v>
      </c>
      <c r="B7" s="280" t="s">
        <v>258</v>
      </c>
      <c r="C7" s="281">
        <v>11998637</v>
      </c>
      <c r="D7" s="281">
        <f>세입!AC5</f>
        <v>7200000</v>
      </c>
      <c r="E7" s="282">
        <f>D7-C7</f>
        <v>-4798637</v>
      </c>
      <c r="F7" s="294" t="s">
        <v>408</v>
      </c>
      <c r="G7" s="506" t="s">
        <v>243</v>
      </c>
      <c r="H7" s="280" t="s">
        <v>245</v>
      </c>
      <c r="I7" s="281">
        <v>33542640</v>
      </c>
      <c r="J7" s="281">
        <f>세출!AD6</f>
        <v>32763280</v>
      </c>
      <c r="K7" s="283">
        <f>J7-I7</f>
        <v>-779360</v>
      </c>
      <c r="L7" s="284" t="s">
        <v>308</v>
      </c>
    </row>
    <row r="8" spans="1:12" ht="25.5" customHeight="1">
      <c r="A8" s="513" t="s">
        <v>291</v>
      </c>
      <c r="B8" s="280" t="s">
        <v>273</v>
      </c>
      <c r="C8" s="281">
        <v>3325000</v>
      </c>
      <c r="D8" s="281">
        <f>세입!AC10</f>
        <v>3554000</v>
      </c>
      <c r="E8" s="282">
        <f>D8-C8</f>
        <v>229000</v>
      </c>
      <c r="F8" s="294"/>
      <c r="G8" s="507"/>
      <c r="H8" s="280" t="s">
        <v>311</v>
      </c>
      <c r="I8" s="281">
        <v>215580</v>
      </c>
      <c r="J8" s="281">
        <v>0</v>
      </c>
      <c r="K8" s="283">
        <f>J8-I8</f>
        <v>-215580</v>
      </c>
      <c r="L8" s="323"/>
    </row>
    <row r="9" spans="1:12" ht="45.75" customHeight="1">
      <c r="A9" s="515"/>
      <c r="B9" s="280" t="s">
        <v>274</v>
      </c>
      <c r="C9" s="281">
        <v>46200000</v>
      </c>
      <c r="D9" s="281">
        <f>세입!AC15</f>
        <v>46771000</v>
      </c>
      <c r="E9" s="282">
        <f>D9-C9</f>
        <v>571000</v>
      </c>
      <c r="F9" s="294"/>
      <c r="G9" s="507"/>
      <c r="H9" s="280" t="s">
        <v>246</v>
      </c>
      <c r="I9" s="281">
        <v>148510</v>
      </c>
      <c r="J9" s="281">
        <f>세출!AD44</f>
        <v>22000</v>
      </c>
      <c r="K9" s="283">
        <f>J9-I9</f>
        <v>-126510</v>
      </c>
      <c r="L9" s="286" t="s">
        <v>392</v>
      </c>
    </row>
    <row r="10" spans="1:12" ht="23.25" customHeight="1">
      <c r="A10" s="514" t="s">
        <v>292</v>
      </c>
      <c r="B10" s="280" t="s">
        <v>280</v>
      </c>
      <c r="C10" s="281">
        <v>0</v>
      </c>
      <c r="D10" s="281">
        <v>0</v>
      </c>
      <c r="E10" s="282">
        <f t="shared" ref="E10:E17" si="0">D10-C10</f>
        <v>0</v>
      </c>
      <c r="F10" s="282"/>
      <c r="G10" s="508"/>
      <c r="H10" s="280" t="s">
        <v>247</v>
      </c>
      <c r="I10" s="376">
        <v>7803260</v>
      </c>
      <c r="J10" s="287">
        <f>세출!AD55</f>
        <v>5424720</v>
      </c>
      <c r="K10" s="283">
        <f>J10-I10</f>
        <v>-2378540</v>
      </c>
      <c r="L10" s="323" t="s">
        <v>309</v>
      </c>
    </row>
    <row r="11" spans="1:12" ht="25.5" customHeight="1">
      <c r="A11" s="514"/>
      <c r="B11" s="280" t="s">
        <v>279</v>
      </c>
      <c r="C11" s="281">
        <v>600155</v>
      </c>
      <c r="D11" s="281">
        <f>세입!AC20</f>
        <v>300000</v>
      </c>
      <c r="E11" s="282">
        <f t="shared" si="0"/>
        <v>-300155</v>
      </c>
      <c r="F11" s="285"/>
      <c r="G11" s="513" t="s">
        <v>242</v>
      </c>
      <c r="H11" s="280" t="s">
        <v>248</v>
      </c>
      <c r="I11" s="281">
        <v>0</v>
      </c>
      <c r="J11" s="281">
        <f>세출!AD83</f>
        <v>1250000</v>
      </c>
      <c r="K11" s="283">
        <f t="shared" ref="K11:K20" si="1">J11-I11</f>
        <v>1250000</v>
      </c>
      <c r="L11" s="286" t="s">
        <v>393</v>
      </c>
    </row>
    <row r="12" spans="1:12" ht="73.5" customHeight="1">
      <c r="A12" s="288" t="s">
        <v>259</v>
      </c>
      <c r="B12" s="280" t="s">
        <v>281</v>
      </c>
      <c r="C12" s="281">
        <v>2158561</v>
      </c>
      <c r="D12" s="281">
        <v>0</v>
      </c>
      <c r="E12" s="282">
        <f t="shared" si="0"/>
        <v>-2158561</v>
      </c>
      <c r="F12" s="285"/>
      <c r="G12" s="514"/>
      <c r="H12" s="280" t="s">
        <v>250</v>
      </c>
      <c r="I12" s="281">
        <v>4079000</v>
      </c>
      <c r="J12" s="281">
        <f>세출!AD88</f>
        <v>0</v>
      </c>
      <c r="K12" s="283">
        <f t="shared" ref="K12:K17" si="2">J12-I12</f>
        <v>-4079000</v>
      </c>
      <c r="L12" s="323"/>
    </row>
    <row r="13" spans="1:12" ht="26.25" customHeight="1">
      <c r="A13" s="506" t="s">
        <v>260</v>
      </c>
      <c r="B13" s="509" t="s">
        <v>282</v>
      </c>
      <c r="C13" s="516">
        <v>0</v>
      </c>
      <c r="D13" s="516">
        <f>세입!AC23</f>
        <v>4884841</v>
      </c>
      <c r="E13" s="519">
        <f>D13-C13</f>
        <v>4884841</v>
      </c>
      <c r="F13" s="503"/>
      <c r="G13" s="515"/>
      <c r="H13" s="280" t="s">
        <v>249</v>
      </c>
      <c r="I13" s="281">
        <v>0</v>
      </c>
      <c r="J13" s="281">
        <f>세출!AD91</f>
        <v>0</v>
      </c>
      <c r="K13" s="283">
        <f t="shared" si="2"/>
        <v>0</v>
      </c>
      <c r="L13" s="286"/>
    </row>
    <row r="14" spans="1:12" ht="20.25" customHeight="1">
      <c r="A14" s="507"/>
      <c r="B14" s="510"/>
      <c r="C14" s="517"/>
      <c r="D14" s="517"/>
      <c r="E14" s="520"/>
      <c r="F14" s="504"/>
      <c r="G14" s="506" t="s">
        <v>244</v>
      </c>
      <c r="H14" s="280" t="s">
        <v>251</v>
      </c>
      <c r="I14" s="281">
        <v>12461060</v>
      </c>
      <c r="J14" s="281">
        <f>세출!AD97</f>
        <v>11920000</v>
      </c>
      <c r="K14" s="283">
        <f t="shared" si="2"/>
        <v>-541060</v>
      </c>
      <c r="L14" s="323" t="s">
        <v>394</v>
      </c>
    </row>
    <row r="15" spans="1:12" ht="26.25" customHeight="1">
      <c r="A15" s="508"/>
      <c r="B15" s="511"/>
      <c r="C15" s="518"/>
      <c r="D15" s="518"/>
      <c r="E15" s="521"/>
      <c r="F15" s="505"/>
      <c r="G15" s="507"/>
      <c r="H15" s="280" t="s">
        <v>252</v>
      </c>
      <c r="I15" s="281">
        <v>1272793</v>
      </c>
      <c r="J15" s="281">
        <f>세출!AD103</f>
        <v>1000000</v>
      </c>
      <c r="K15" s="283">
        <f t="shared" si="2"/>
        <v>-272793</v>
      </c>
      <c r="L15" s="323" t="s">
        <v>301</v>
      </c>
    </row>
    <row r="16" spans="1:12" ht="18.75" customHeight="1">
      <c r="A16" s="506" t="s">
        <v>261</v>
      </c>
      <c r="B16" s="280" t="s">
        <v>299</v>
      </c>
      <c r="C16" s="281">
        <v>40566</v>
      </c>
      <c r="D16" s="281">
        <f>세입!AC31</f>
        <v>20000</v>
      </c>
      <c r="E16" s="283">
        <f t="shared" ref="E16" si="3">D16-C16</f>
        <v>-20566</v>
      </c>
      <c r="F16" s="322"/>
      <c r="G16" s="507"/>
      <c r="H16" s="280" t="s">
        <v>253</v>
      </c>
      <c r="I16" s="281">
        <v>892000</v>
      </c>
      <c r="J16" s="281">
        <f>세출!AD108</f>
        <v>800000</v>
      </c>
      <c r="K16" s="283">
        <f t="shared" si="2"/>
        <v>-92000</v>
      </c>
      <c r="L16" s="286" t="s">
        <v>395</v>
      </c>
    </row>
    <row r="17" spans="1:12" ht="61.5" customHeight="1" thickBot="1">
      <c r="A17" s="522"/>
      <c r="B17" s="345" t="s">
        <v>300</v>
      </c>
      <c r="C17" s="346">
        <v>20000</v>
      </c>
      <c r="D17" s="346">
        <v>20000</v>
      </c>
      <c r="E17" s="347">
        <f t="shared" si="0"/>
        <v>0</v>
      </c>
      <c r="F17" s="344"/>
      <c r="G17" s="507"/>
      <c r="H17" s="280" t="s">
        <v>254</v>
      </c>
      <c r="I17" s="281">
        <v>310000</v>
      </c>
      <c r="J17" s="281">
        <f>세출!AD112</f>
        <v>270000</v>
      </c>
      <c r="K17" s="283">
        <f t="shared" si="2"/>
        <v>-40000</v>
      </c>
      <c r="L17" s="286" t="s">
        <v>310</v>
      </c>
    </row>
    <row r="18" spans="1:12" ht="15" customHeight="1">
      <c r="A18" s="324"/>
      <c r="B18" s="295"/>
      <c r="C18" s="295"/>
      <c r="D18" s="295"/>
      <c r="E18" s="295"/>
      <c r="F18" s="296"/>
      <c r="G18" s="507"/>
      <c r="H18" s="280" t="s">
        <v>255</v>
      </c>
      <c r="I18" s="281">
        <v>105000</v>
      </c>
      <c r="J18" s="281">
        <f>세출!AD116</f>
        <v>105000</v>
      </c>
      <c r="K18" s="283">
        <f t="shared" si="1"/>
        <v>0</v>
      </c>
      <c r="L18" s="286"/>
    </row>
    <row r="19" spans="1:12" ht="27" customHeight="1">
      <c r="A19" s="297"/>
      <c r="B19" s="297"/>
      <c r="C19" s="297"/>
      <c r="D19" s="297"/>
      <c r="E19" s="297"/>
      <c r="F19" s="298"/>
      <c r="G19" s="508"/>
      <c r="H19" s="280" t="s">
        <v>256</v>
      </c>
      <c r="I19" s="281">
        <v>3496350</v>
      </c>
      <c r="J19" s="281">
        <f>세출!AD121</f>
        <v>8810000</v>
      </c>
      <c r="K19" s="283">
        <f>J19-I19</f>
        <v>5313650</v>
      </c>
      <c r="L19" s="286" t="s">
        <v>396</v>
      </c>
    </row>
    <row r="20" spans="1:12" ht="30" customHeight="1">
      <c r="A20" s="297"/>
      <c r="B20" s="297"/>
      <c r="C20" s="297"/>
      <c r="D20" s="297"/>
      <c r="E20" s="297"/>
      <c r="F20" s="298"/>
      <c r="G20" s="279" t="s">
        <v>384</v>
      </c>
      <c r="H20" s="280" t="s">
        <v>257</v>
      </c>
      <c r="I20" s="281">
        <v>16726</v>
      </c>
      <c r="J20" s="281">
        <f>세출!AD154</f>
        <v>21231</v>
      </c>
      <c r="K20" s="283">
        <f t="shared" si="1"/>
        <v>4505</v>
      </c>
      <c r="L20" s="286" t="s">
        <v>397</v>
      </c>
    </row>
    <row r="21" spans="1:12" ht="34.5" customHeight="1" thickBot="1">
      <c r="A21" s="297"/>
      <c r="B21" s="297"/>
      <c r="C21" s="297"/>
      <c r="D21" s="297"/>
      <c r="E21" s="297"/>
      <c r="F21" s="297"/>
      <c r="G21" s="418" t="s">
        <v>386</v>
      </c>
      <c r="H21" s="345" t="s">
        <v>385</v>
      </c>
      <c r="I21" s="346">
        <v>0</v>
      </c>
      <c r="J21" s="346">
        <f>세출!AD160</f>
        <v>363610</v>
      </c>
      <c r="K21" s="347">
        <f t="shared" ref="K21" si="4">J21-I21</f>
        <v>363610</v>
      </c>
      <c r="L21" s="419" t="s">
        <v>387</v>
      </c>
    </row>
    <row r="22" spans="1:12" ht="29.25" customHeight="1">
      <c r="A22" s="297"/>
      <c r="B22" s="297"/>
      <c r="C22" s="297"/>
      <c r="D22" s="297"/>
      <c r="E22" s="297"/>
      <c r="F22" s="297"/>
      <c r="G22" s="297"/>
    </row>
  </sheetData>
  <mergeCells count="26">
    <mergeCell ref="F13:F15"/>
    <mergeCell ref="A13:A15"/>
    <mergeCell ref="B13:B15"/>
    <mergeCell ref="A6:B6"/>
    <mergeCell ref="G6:H6"/>
    <mergeCell ref="G7:G10"/>
    <mergeCell ref="G11:G13"/>
    <mergeCell ref="A8:A9"/>
    <mergeCell ref="A10:A11"/>
    <mergeCell ref="C13:C15"/>
    <mergeCell ref="D13:D15"/>
    <mergeCell ref="E13:E15"/>
    <mergeCell ref="G14:G19"/>
    <mergeCell ref="A16:A17"/>
    <mergeCell ref="A3:F3"/>
    <mergeCell ref="G3:L3"/>
    <mergeCell ref="A4:B5"/>
    <mergeCell ref="C4:C5"/>
    <mergeCell ref="D4:D5"/>
    <mergeCell ref="E4:E5"/>
    <mergeCell ref="F4:F5"/>
    <mergeCell ref="G4:H5"/>
    <mergeCell ref="I4:I5"/>
    <mergeCell ref="J4:J5"/>
    <mergeCell ref="K4:K5"/>
    <mergeCell ref="L4:L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&amp;R장애인공동생활가정 마르따의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세입세출총괄표</vt:lpstr>
      <vt:lpstr>세입</vt:lpstr>
      <vt:lpstr>세출</vt:lpstr>
      <vt:lpstr>증감사유</vt:lpstr>
      <vt:lpstr>ㄴ</vt:lpstr>
      <vt:lpstr>ㅁㅁ</vt:lpstr>
      <vt:lpstr>세입!명절휴가비</vt:lpstr>
      <vt:lpstr>세출!명절휴가비</vt:lpstr>
      <vt:lpstr>세출!연장근로수당</vt:lpstr>
      <vt:lpstr>세입!Print_Area</vt:lpstr>
      <vt:lpstr>세입!Print_Titles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End User</cp:lastModifiedBy>
  <cp:revision>65</cp:revision>
  <cp:lastPrinted>2014-12-10T02:09:28Z</cp:lastPrinted>
  <dcterms:created xsi:type="dcterms:W3CDTF">2003-12-18T04:11:57Z</dcterms:created>
  <dcterms:modified xsi:type="dcterms:W3CDTF">2014-12-10T02:17:31Z</dcterms:modified>
</cp:coreProperties>
</file>