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195" windowWidth="13725" windowHeight="11640" tabRatio="487" activeTab="4"/>
  </bookViews>
  <sheets>
    <sheet name="Sheet1" sheetId="19" r:id="rId1"/>
    <sheet name="세입세출총괄표" sheetId="16" r:id="rId2"/>
    <sheet name="세입" sheetId="4" r:id="rId3"/>
    <sheet name="세출" sheetId="5" r:id="rId4"/>
    <sheet name="증감사유" sheetId="18" r:id="rId5"/>
  </sheets>
  <definedNames>
    <definedName name="_xlnm.Print_Area" localSheetId="2">세입!$A$1:$AC$36</definedName>
    <definedName name="_xlnm.Print_Titles" localSheetId="2">세입!$2:$3</definedName>
    <definedName name="_xlnm.Print_Titles" localSheetId="3">세출!$2:$3</definedName>
    <definedName name="가계보조비" localSheetId="2">세입!#REF!</definedName>
    <definedName name="가계보조수당" localSheetId="2">세입!#REF!</definedName>
    <definedName name="가계보조수당">세입!#REF!</definedName>
    <definedName name="가족수당" localSheetId="3">세출!#REF!</definedName>
    <definedName name="가족수당1" localSheetId="2">세입!#REF!</definedName>
    <definedName name="급식비" localSheetId="2">세입!#REF!</definedName>
    <definedName name="급식비1">세입!#REF!</definedName>
    <definedName name="급여총액" localSheetId="2">세입!#REF!</definedName>
    <definedName name="급여총액">세입!#REF!</definedName>
    <definedName name="기말수당" localSheetId="2">세입!#REF!</definedName>
    <definedName name="기본급" localSheetId="2">세입!#REF!</definedName>
    <definedName name="기본급" localSheetId="3">세출!#REF!</definedName>
    <definedName name="기본급">세입!#REF!</definedName>
    <definedName name="기본급1" localSheetId="2">세입!#REF!</definedName>
    <definedName name="기본급1" localSheetId="3">세출!#REF!</definedName>
    <definedName name="기본급7종" localSheetId="3">세출!#REF!</definedName>
    <definedName name="기본급법인" localSheetId="3">세출!#REF!</definedName>
    <definedName name="기본급총액" localSheetId="2">세입!#REF!</definedName>
    <definedName name="기본급총액" localSheetId="3">세출!#REF!</definedName>
    <definedName name="명절휴가비" localSheetId="3">세출!$AC$11</definedName>
    <definedName name="명절휴가비1" localSheetId="2">세입!#REF!</definedName>
    <definedName name="사회보험">세입!#REF!</definedName>
    <definedName name="사회보험1" localSheetId="2">세입!#REF!</definedName>
    <definedName name="사회보험부담금" localSheetId="2">세입!#REF!</definedName>
    <definedName name="상여금" localSheetId="2">세입!#REF!</definedName>
    <definedName name="상여금">세입!#REF!</definedName>
    <definedName name="상여금총액" localSheetId="2">세입!#REF!</definedName>
    <definedName name="상여금총액" localSheetId="3">세출!#REF!</definedName>
    <definedName name="수정제수당총액">세입!#REF!</definedName>
    <definedName name="연장근로수당" localSheetId="3">세출!$AC$18</definedName>
    <definedName name="연장근로수당1" localSheetId="2">세입!#REF!</definedName>
    <definedName name="운영비지원금" localSheetId="2">세입!#REF!</definedName>
    <definedName name="운전조리급식비" localSheetId="2">세입!#REF!</definedName>
    <definedName name="인건비지원금" localSheetId="2">세입!#REF!</definedName>
    <definedName name="입소자지원금" localSheetId="2">세입!#REF!</definedName>
    <definedName name="정근수당" localSheetId="2">세입!#REF!</definedName>
    <definedName name="제수당" localSheetId="2">세입!#REF!</definedName>
    <definedName name="제수당">세입!#REF!</definedName>
    <definedName name="제수당1" localSheetId="2">세입!#REF!</definedName>
    <definedName name="제수당1" localSheetId="3">세출!#REF!</definedName>
    <definedName name="제수당총액" localSheetId="2">세입!#REF!</definedName>
    <definedName name="제수당총액" localSheetId="3">세출!#REF!</definedName>
    <definedName name="직원급식비">세입!#REF!</definedName>
    <definedName name="직책보조비" localSheetId="2">세입!#REF!</definedName>
    <definedName name="퇴직금">세입!#REF!</definedName>
    <definedName name="퇴직금적립금" localSheetId="2">세입!#REF!</definedName>
    <definedName name="퇴직적립금1" localSheetId="2">세입!#REF!</definedName>
    <definedName name="특수근무수당" localSheetId="2">세입!#REF!</definedName>
    <definedName name="특수근무수당">세입!#REF!</definedName>
    <definedName name="특수근무수당1" localSheetId="2">세입!#REF!</definedName>
    <definedName name="특수근무수당1">세입!#REF!</definedName>
    <definedName name="특수근무수당2" localSheetId="2">세입!#REF!</definedName>
    <definedName name="특수근무수당2">세입!#REF!</definedName>
    <definedName name="특수근무수당3" localSheetId="2">세입!#REF!</definedName>
    <definedName name="특수근무수당3">세입!#REF!</definedName>
    <definedName name="프로그램지원금" localSheetId="2">세입!#REF!</definedName>
  </definedNames>
  <calcPr calcId="124519"/>
</workbook>
</file>

<file path=xl/calcChain.xml><?xml version="1.0" encoding="utf-8"?>
<calcChain xmlns="http://schemas.openxmlformats.org/spreadsheetml/2006/main">
  <c r="K7" i="16"/>
  <c r="J7"/>
  <c r="G9"/>
  <c r="L9"/>
  <c r="E7"/>
  <c r="J6" i="18" l="1"/>
  <c r="D6"/>
  <c r="I6" l="1"/>
  <c r="C6"/>
  <c r="D5" i="5" l="1"/>
  <c r="D4"/>
  <c r="F53"/>
  <c r="H53"/>
  <c r="AC53"/>
  <c r="L18" i="16" l="1"/>
  <c r="L16"/>
  <c r="L15"/>
  <c r="F35" i="4"/>
  <c r="E35" s="1"/>
  <c r="AC97" i="5"/>
  <c r="I93" s="1"/>
  <c r="F99"/>
  <c r="F146"/>
  <c r="H88"/>
  <c r="H79" s="1"/>
  <c r="H78" s="1"/>
  <c r="H84"/>
  <c r="G84"/>
  <c r="G37"/>
  <c r="G14" i="4"/>
  <c r="AC146" i="5"/>
  <c r="F14" i="4"/>
  <c r="AC18" i="5" l="1"/>
  <c r="J10"/>
  <c r="F9" i="4"/>
  <c r="F8" s="1"/>
  <c r="F7" s="1"/>
  <c r="AC99" i="5"/>
  <c r="AC30"/>
  <c r="AC117"/>
  <c r="AC145"/>
  <c r="AC50"/>
  <c r="AC26"/>
  <c r="AC140"/>
  <c r="AC138" s="1"/>
  <c r="AC143"/>
  <c r="AC142" s="1"/>
  <c r="AC135"/>
  <c r="AC130"/>
  <c r="AC129" s="1"/>
  <c r="AC127"/>
  <c r="AC126" s="1"/>
  <c r="AB14" i="4"/>
  <c r="AB12" l="1"/>
  <c r="G9" s="1"/>
  <c r="AC23" i="5"/>
  <c r="H6"/>
  <c r="AB32" i="4"/>
  <c r="J32"/>
  <c r="F32"/>
  <c r="G32"/>
  <c r="H32"/>
  <c r="L37" i="5" l="1"/>
  <c r="Q12" l="1"/>
  <c r="E9" i="18"/>
  <c r="E8"/>
  <c r="E10"/>
  <c r="E11"/>
  <c r="E12"/>
  <c r="E13"/>
  <c r="E14"/>
  <c r="E17"/>
  <c r="E7"/>
  <c r="AC111" i="5"/>
  <c r="AC110" s="1"/>
  <c r="J37"/>
  <c r="I37"/>
  <c r="H37"/>
  <c r="F37"/>
  <c r="E37" l="1"/>
  <c r="AB9" i="4"/>
  <c r="AB8" s="1"/>
  <c r="AB7" s="1"/>
  <c r="E14"/>
  <c r="K14" s="1"/>
  <c r="L14" s="1"/>
  <c r="D32"/>
  <c r="K18" i="18"/>
  <c r="K16"/>
  <c r="K15"/>
  <c r="K14"/>
  <c r="K13"/>
  <c r="K12"/>
  <c r="K11"/>
  <c r="K9"/>
  <c r="K8"/>
  <c r="K7"/>
  <c r="AC62" i="5" l="1"/>
  <c r="AC61"/>
  <c r="G79" l="1"/>
  <c r="H58"/>
  <c r="AC139"/>
  <c r="AC121"/>
  <c r="AC118"/>
  <c r="AC119"/>
  <c r="I114" s="1"/>
  <c r="AC70"/>
  <c r="AC16"/>
  <c r="I26" i="4"/>
  <c r="AB26"/>
  <c r="I23"/>
  <c r="K19" i="18"/>
  <c r="K17"/>
  <c r="K10"/>
  <c r="E6"/>
  <c r="G12" i="16"/>
  <c r="G10"/>
  <c r="G13"/>
  <c r="G14"/>
  <c r="G15"/>
  <c r="G16"/>
  <c r="G8"/>
  <c r="F7"/>
  <c r="AB6" i="4"/>
  <c r="AC94" i="5"/>
  <c r="F93" s="1"/>
  <c r="I5"/>
  <c r="AB23" i="4"/>
  <c r="E84" i="5"/>
  <c r="F80"/>
  <c r="F79" s="1"/>
  <c r="F78" s="1"/>
  <c r="AC41"/>
  <c r="F41" s="1"/>
  <c r="D8" i="4"/>
  <c r="D7" s="1"/>
  <c r="D4" s="1"/>
  <c r="E33"/>
  <c r="E32" s="1"/>
  <c r="G7" i="16" l="1"/>
  <c r="G78" i="5"/>
  <c r="I92"/>
  <c r="I91" s="1"/>
  <c r="E23" i="4"/>
  <c r="K23" s="1"/>
  <c r="L23" s="1"/>
  <c r="I4"/>
  <c r="K6" i="18"/>
  <c r="E88" i="5"/>
  <c r="E79" s="1"/>
  <c r="E78" s="1"/>
  <c r="K32" i="4"/>
  <c r="L23" i="16"/>
  <c r="L22"/>
  <c r="L21"/>
  <c r="L20"/>
  <c r="L19"/>
  <c r="L17"/>
  <c r="L14"/>
  <c r="L13"/>
  <c r="L12"/>
  <c r="L11"/>
  <c r="L10"/>
  <c r="L8"/>
  <c r="L7" l="1"/>
  <c r="Q19" i="5"/>
  <c r="H106"/>
  <c r="AC60"/>
  <c r="H99"/>
  <c r="E99" s="1"/>
  <c r="K99" s="1"/>
  <c r="AC136"/>
  <c r="I113" s="1"/>
  <c r="AC47"/>
  <c r="AC46" s="1"/>
  <c r="Q20"/>
  <c r="N20"/>
  <c r="N19"/>
  <c r="N13"/>
  <c r="N12"/>
  <c r="Q13"/>
  <c r="AC13" s="1"/>
  <c r="D49"/>
  <c r="D6"/>
  <c r="AC37"/>
  <c r="I4" l="1"/>
  <c r="F46"/>
  <c r="E46" s="1"/>
  <c r="K46" s="1"/>
  <c r="AC15"/>
  <c r="K37"/>
  <c r="F110"/>
  <c r="E110" s="1"/>
  <c r="AC95"/>
  <c r="AC59"/>
  <c r="AC58" s="1"/>
  <c r="E58" s="1"/>
  <c r="D79"/>
  <c r="D78" s="1"/>
  <c r="D113"/>
  <c r="D92"/>
  <c r="D40"/>
  <c r="H26" i="4"/>
  <c r="G92" i="5"/>
  <c r="J92"/>
  <c r="J79"/>
  <c r="J78" s="1"/>
  <c r="G49"/>
  <c r="J49"/>
  <c r="G40"/>
  <c r="AC134"/>
  <c r="AC133"/>
  <c r="AC124"/>
  <c r="AC120"/>
  <c r="AC104"/>
  <c r="AC75"/>
  <c r="AC73"/>
  <c r="AC67"/>
  <c r="AC68"/>
  <c r="AC69"/>
  <c r="AC66"/>
  <c r="AC65"/>
  <c r="F58" l="1"/>
  <c r="F49" s="1"/>
  <c r="H114"/>
  <c r="H113" s="1"/>
  <c r="AC64"/>
  <c r="F64"/>
  <c r="H93"/>
  <c r="E93" s="1"/>
  <c r="AC93"/>
  <c r="AC116"/>
  <c r="H103"/>
  <c r="AC103"/>
  <c r="AC132"/>
  <c r="AC123"/>
  <c r="H64"/>
  <c r="H49" s="1"/>
  <c r="H5" s="1"/>
  <c r="F40"/>
  <c r="D91"/>
  <c r="AC24"/>
  <c r="AC22" s="1"/>
  <c r="G10" s="1"/>
  <c r="G6" s="1"/>
  <c r="AC12"/>
  <c r="AC9"/>
  <c r="AC8"/>
  <c r="H92" l="1"/>
  <c r="H91" s="1"/>
  <c r="E114"/>
  <c r="E113" s="1"/>
  <c r="AC114"/>
  <c r="AC113" s="1"/>
  <c r="J26"/>
  <c r="AC7"/>
  <c r="F7" s="1"/>
  <c r="G5"/>
  <c r="AC11"/>
  <c r="F10" l="1"/>
  <c r="AC10"/>
  <c r="K114"/>
  <c r="L114" s="1"/>
  <c r="Q27"/>
  <c r="F26"/>
  <c r="E7"/>
  <c r="F26" i="4"/>
  <c r="AB21"/>
  <c r="E26" l="1"/>
  <c r="K26" s="1"/>
  <c r="L26" s="1"/>
  <c r="F4"/>
  <c r="Q34" i="5"/>
  <c r="Q32"/>
  <c r="Q33" s="1"/>
  <c r="Q35"/>
  <c r="Q31"/>
  <c r="J21" i="4"/>
  <c r="H8"/>
  <c r="H7" s="1"/>
  <c r="J8"/>
  <c r="J7" s="1"/>
  <c r="H145" i="5"/>
  <c r="H4" s="1"/>
  <c r="J145"/>
  <c r="G145"/>
  <c r="F145"/>
  <c r="D145"/>
  <c r="G113"/>
  <c r="G91" s="1"/>
  <c r="G4" s="1"/>
  <c r="J113"/>
  <c r="J91" s="1"/>
  <c r="J4" s="1"/>
  <c r="AC84"/>
  <c r="L80"/>
  <c r="AC80"/>
  <c r="K80" s="1"/>
  <c r="AC72"/>
  <c r="AC49" s="1"/>
  <c r="J40"/>
  <c r="G8" i="4" l="1"/>
  <c r="G7" s="1"/>
  <c r="G4" s="1"/>
  <c r="E9"/>
  <c r="E8" s="1"/>
  <c r="E7" s="1"/>
  <c r="AC88" i="5"/>
  <c r="AC79" s="1"/>
  <c r="F113" l="1"/>
  <c r="E103"/>
  <c r="K35" i="4" l="1"/>
  <c r="L35" s="1"/>
  <c r="K33"/>
  <c r="AB5"/>
  <c r="H5" l="1"/>
  <c r="H4" s="1"/>
  <c r="K7" i="5"/>
  <c r="E5" i="4" l="1"/>
  <c r="K5" s="1"/>
  <c r="L5" s="1"/>
  <c r="E10" i="5"/>
  <c r="J6" l="1"/>
  <c r="E26" l="1"/>
  <c r="AC107"/>
  <c r="F106" l="1"/>
  <c r="E106" s="1"/>
  <c r="K106" s="1"/>
  <c r="AC106"/>
  <c r="AC92" s="1"/>
  <c r="AC91" s="1"/>
  <c r="E64"/>
  <c r="K64" s="1"/>
  <c r="L64" s="1"/>
  <c r="AC40"/>
  <c r="AB4" i="4"/>
  <c r="L7" i="5"/>
  <c r="E41"/>
  <c r="E50"/>
  <c r="L99"/>
  <c r="E146"/>
  <c r="L46"/>
  <c r="L106" l="1"/>
  <c r="K26"/>
  <c r="L26" s="1"/>
  <c r="K50"/>
  <c r="L50" s="1"/>
  <c r="K103"/>
  <c r="L103" s="1"/>
  <c r="K88"/>
  <c r="L88" s="1"/>
  <c r="AC78"/>
  <c r="E75"/>
  <c r="K75" s="1"/>
  <c r="L75" s="1"/>
  <c r="E72"/>
  <c r="K72" s="1"/>
  <c r="L72" s="1"/>
  <c r="K41"/>
  <c r="L41" s="1"/>
  <c r="K110"/>
  <c r="L110" s="1"/>
  <c r="K146"/>
  <c r="L146" s="1"/>
  <c r="E145"/>
  <c r="K145" s="1"/>
  <c r="L145" s="1"/>
  <c r="K113"/>
  <c r="L113" s="1"/>
  <c r="E44"/>
  <c r="K44" s="1"/>
  <c r="L44" s="1"/>
  <c r="E40" l="1"/>
  <c r="K40" s="1"/>
  <c r="L40" s="1"/>
  <c r="K58"/>
  <c r="L58" s="1"/>
  <c r="E21" i="4"/>
  <c r="K21" s="1"/>
  <c r="L21" s="1"/>
  <c r="K78" i="5"/>
  <c r="L78" s="1"/>
  <c r="K10"/>
  <c r="L10" s="1"/>
  <c r="E53"/>
  <c r="E49" s="1"/>
  <c r="J4" i="4" l="1"/>
  <c r="E4" s="1"/>
  <c r="K53" i="5"/>
  <c r="L53" s="1"/>
  <c r="K49"/>
  <c r="L49" s="1"/>
  <c r="L32" i="4"/>
  <c r="K4" l="1"/>
  <c r="L4" s="1"/>
  <c r="K9"/>
  <c r="L9" s="1"/>
  <c r="K8"/>
  <c r="L8" s="1"/>
  <c r="K7" l="1"/>
  <c r="L7" s="1"/>
  <c r="K79" i="5"/>
  <c r="L79" s="1"/>
  <c r="K84"/>
  <c r="L84" s="1"/>
  <c r="K93" l="1"/>
  <c r="L93" s="1"/>
  <c r="E92"/>
  <c r="E91" s="1"/>
  <c r="F92"/>
  <c r="F91" s="1"/>
  <c r="K92" l="1"/>
  <c r="L92" l="1"/>
  <c r="K91"/>
  <c r="L91" s="1"/>
  <c r="F30" l="1"/>
  <c r="AC6"/>
  <c r="AC5" s="1"/>
  <c r="AC4" s="1"/>
  <c r="F6" l="1"/>
  <c r="F5" s="1"/>
  <c r="F4" s="1"/>
  <c r="E4" s="1"/>
  <c r="K4" s="1"/>
  <c r="L4" s="1"/>
  <c r="E30"/>
  <c r="E6" s="1"/>
  <c r="K30" l="1"/>
  <c r="L30" s="1"/>
  <c r="E5"/>
  <c r="K5" s="1"/>
  <c r="L5" s="1"/>
  <c r="K6" l="1"/>
  <c r="L6" s="1"/>
</calcChain>
</file>

<file path=xl/sharedStrings.xml><?xml version="1.0" encoding="utf-8"?>
<sst xmlns="http://schemas.openxmlformats.org/spreadsheetml/2006/main" count="862" uniqueCount="408">
  <si>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</si>
  <si>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</si>
  <si>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</si>
  <si>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</si>
  <si>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</si>
  <si>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</si>
  <si>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</si>
  <si>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</si>
  <si>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</si>
  <si>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</si>
  <si>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</si>
  <si>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</si>
  <si>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</si>
  <si>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</si>
  <si>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</si>
  <si>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</si>
  <si>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</si>
  <si>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</si>
  <si>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</si>
  <si>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</si>
  <si>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</si>
  <si>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</si>
  <si>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</si>
  <si>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</si>
  <si>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</si>
  <si>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</si>
  <si>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</si>
  <si>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</si>
  <si>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</si>
  <si>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</si>
  <si>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</si>
  <si>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</si>
  <si>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</si>
  <si>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</si>
  <si>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</si>
  <si>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</si>
  <si>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</si>
  <si>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</si>
  <si>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</si>
  <si>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</si>
  <si>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</si>
  <si>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</si>
  <si>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</si>
  <si>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</si>
  <si>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</si>
  <si>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</si>
  <si>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</si>
  <si>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</si>
  <si>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</si>
  <si>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</si>
  <si>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</si>
  <si>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</si>
  <si>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</si>
  <si>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7" type="noConversion"/>
  </si>
  <si>
    <t>산              출               기              초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</si>
  <si>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</si>
  <si>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</si>
  <si>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</si>
  <si>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</si>
  <si>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</si>
  <si>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입  소</t>
    <phoneticPr fontId="7" type="noConversion"/>
  </si>
  <si>
    <t>비  용</t>
    <phoneticPr fontId="7" type="noConversion"/>
  </si>
  <si>
    <t xml:space="preserve"> 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</si>
  <si>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</si>
  <si>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</si>
  <si>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</si>
  <si>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&lt;보조금수입 합계&gt;</t>
    <phoneticPr fontId="7" type="noConversion"/>
  </si>
  <si>
    <t>원</t>
    <phoneticPr fontId="7" type="noConversion"/>
  </si>
  <si>
    <t>계</t>
    <phoneticPr fontId="7" type="noConversion"/>
  </si>
  <si>
    <t>총  계 :</t>
    <phoneticPr fontId="7" type="noConversion"/>
  </si>
  <si>
    <t>보조금</t>
    <phoneticPr fontId="7" type="noConversion"/>
  </si>
  <si>
    <t>총  계 :</t>
    <phoneticPr fontId="7" type="noConversion"/>
  </si>
  <si>
    <t>합    계 :</t>
    <phoneticPr fontId="7" type="noConversion"/>
  </si>
  <si>
    <t>÷</t>
    <phoneticPr fontId="7" type="noConversion"/>
  </si>
  <si>
    <t>=</t>
    <phoneticPr fontId="7" type="noConversion"/>
  </si>
  <si>
    <t>회</t>
    <phoneticPr fontId="7" type="noConversion"/>
  </si>
  <si>
    <t>전입금</t>
    <phoneticPr fontId="7" type="noConversion"/>
  </si>
  <si>
    <t>전년도</t>
    <phoneticPr fontId="7" type="noConversion"/>
  </si>
  <si>
    <t>잡수입</t>
    <phoneticPr fontId="7" type="noConversion"/>
  </si>
  <si>
    <t>소계</t>
    <phoneticPr fontId="7" type="noConversion"/>
  </si>
  <si>
    <t>&lt;잡수입 합계&gt;</t>
    <phoneticPr fontId="7" type="noConversion"/>
  </si>
  <si>
    <t>원</t>
    <phoneticPr fontId="7" type="noConversion"/>
  </si>
  <si>
    <t>※ 불용품매각대</t>
    <phoneticPr fontId="7" type="noConversion"/>
  </si>
  <si>
    <t>매각대</t>
    <phoneticPr fontId="7" type="noConversion"/>
  </si>
  <si>
    <t>※ 예금이자수입</t>
    <phoneticPr fontId="7" type="noConversion"/>
  </si>
  <si>
    <t>※기본급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</si>
  <si>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</si>
  <si>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</si>
  <si>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</si>
  <si>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</si>
  <si>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</si>
  <si>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</t>
    <phoneticPr fontId="7" type="noConversion"/>
  </si>
  <si>
    <t>합    계 :</t>
    <phoneticPr fontId="7" type="noConversion"/>
  </si>
  <si>
    <t>원</t>
    <phoneticPr fontId="7" type="noConversion"/>
  </si>
  <si>
    <t xml:space="preserve"> </t>
    <phoneticPr fontId="7" type="noConversion"/>
  </si>
  <si>
    <t>사회보험</t>
    <phoneticPr fontId="7" type="noConversion"/>
  </si>
  <si>
    <t>월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</si>
  <si>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</si>
  <si>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</si>
  <si>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</si>
  <si>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</si>
  <si>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</si>
  <si>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회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</si>
  <si>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</si>
  <si>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</si>
  <si>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</si>
  <si>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</si>
  <si>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</si>
  <si>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</si>
  <si>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</si>
  <si>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</si>
  <si>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</si>
  <si>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입소</t>
    <phoneticPr fontId="7" type="noConversion"/>
  </si>
  <si>
    <t>2.주부식비(보충액)</t>
    <phoneticPr fontId="7" type="noConversion"/>
  </si>
  <si>
    <t>원</t>
    <phoneticPr fontId="7" type="noConversion"/>
  </si>
  <si>
    <t>원</t>
    <phoneticPr fontId="7" type="noConversion"/>
  </si>
  <si>
    <t>입소자
부담금</t>
    <phoneticPr fontId="7" type="noConversion"/>
  </si>
  <si>
    <t>비  용</t>
  </si>
  <si>
    <t>법인
전입금</t>
    <phoneticPr fontId="7" type="noConversion"/>
  </si>
  <si>
    <t xml:space="preserve">총  계 : </t>
    <phoneticPr fontId="7" type="noConversion"/>
  </si>
  <si>
    <t>합계:</t>
    <phoneticPr fontId="7" type="noConversion"/>
  </si>
  <si>
    <t>법인</t>
    <phoneticPr fontId="7" type="noConversion"/>
  </si>
  <si>
    <t>전입금</t>
    <phoneticPr fontId="7" type="noConversion"/>
  </si>
  <si>
    <t>예금</t>
    <phoneticPr fontId="7" type="noConversion"/>
  </si>
  <si>
    <t>이자</t>
    <phoneticPr fontId="7" type="noConversion"/>
  </si>
  <si>
    <t>불용품</t>
    <phoneticPr fontId="7" type="noConversion"/>
  </si>
  <si>
    <t>입   소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</si>
  <si>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</si>
  <si>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</si>
  <si>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</si>
  <si>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업   무</t>
    <phoneticPr fontId="7" type="noConversion"/>
  </si>
  <si>
    <t>프로그램</t>
    <phoneticPr fontId="7" type="noConversion"/>
  </si>
  <si>
    <t>사업비</t>
    <phoneticPr fontId="7" type="noConversion"/>
  </si>
  <si>
    <t>※ 프로그램사업비 합계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</si>
  <si>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</si>
  <si>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</si>
  <si>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</si>
  <si>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</si>
  <si>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</si>
  <si>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</si>
  <si>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</si>
  <si>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</si>
  <si>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사무비</t>
    <phoneticPr fontId="7" type="noConversion"/>
  </si>
  <si>
    <t>세출총계</t>
    <phoneticPr fontId="7" type="noConversion"/>
  </si>
  <si>
    <t>운영비</t>
    <phoneticPr fontId="7" type="noConversion"/>
  </si>
  <si>
    <t xml:space="preserve"> * 교육 및 출장여비</t>
    <phoneticPr fontId="7" type="noConversion"/>
  </si>
  <si>
    <t>명</t>
  </si>
  <si>
    <t>회</t>
    <phoneticPr fontId="7" type="noConversion"/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</si>
  <si>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</si>
  <si>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</si>
  <si>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</si>
  <si>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</si>
  <si>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</si>
  <si>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</si>
  <si>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</si>
  <si>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</si>
  <si>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</si>
  <si>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</si>
  <si>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</si>
  <si>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</si>
  <si>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※ 보조금 반환금(수원시)</t>
    <phoneticPr fontId="7" type="noConversion"/>
  </si>
  <si>
    <t>유지비</t>
    <phoneticPr fontId="7" type="noConversion"/>
  </si>
  <si>
    <t>원</t>
    <phoneticPr fontId="7" type="noConversion"/>
  </si>
  <si>
    <t>2. 입소비용</t>
    <phoneticPr fontId="7" type="noConversion"/>
  </si>
  <si>
    <t>3. 법인전입금</t>
    <phoneticPr fontId="7" type="noConversion"/>
  </si>
  <si>
    <t>보조금
(7종)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</si>
  <si>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</si>
  <si>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</si>
  <si>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</si>
  <si>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</si>
  <si>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*사회재활교사</t>
    <phoneticPr fontId="7" type="noConversion"/>
  </si>
  <si>
    <t>월</t>
    <phoneticPr fontId="7" type="noConversion"/>
  </si>
  <si>
    <t>* 건강보험부담금</t>
    <phoneticPr fontId="7" type="noConversion"/>
  </si>
  <si>
    <t>* 고용보험부담금</t>
    <phoneticPr fontId="7" type="noConversion"/>
  </si>
  <si>
    <t>* 국민연금부담금</t>
    <phoneticPr fontId="7" type="noConversion"/>
  </si>
  <si>
    <t>* 회의관련 다과비등</t>
    <phoneticPr fontId="7" type="noConversion"/>
  </si>
  <si>
    <t>회</t>
    <phoneticPr fontId="7" type="noConversion"/>
  </si>
  <si>
    <t>소계:</t>
    <phoneticPr fontId="7" type="noConversion"/>
  </si>
  <si>
    <t>1. 사무용품비(문구류 )</t>
    <phoneticPr fontId="7" type="noConversion"/>
  </si>
  <si>
    <t>월</t>
    <phoneticPr fontId="7" type="noConversion"/>
  </si>
  <si>
    <t>원</t>
    <phoneticPr fontId="7" type="noConversion"/>
  </si>
  <si>
    <t>1. 화재보험료</t>
    <phoneticPr fontId="7" type="noConversion"/>
  </si>
  <si>
    <t>2. 상해보험료</t>
    <phoneticPr fontId="7" type="noConversion"/>
  </si>
  <si>
    <t>3. 소방안전점검</t>
    <phoneticPr fontId="7" type="noConversion"/>
  </si>
  <si>
    <t>4. 전기안전점검</t>
    <phoneticPr fontId="7" type="noConversion"/>
  </si>
  <si>
    <t>5. 가스안전점검</t>
    <phoneticPr fontId="7" type="noConversion"/>
  </si>
  <si>
    <t>* 차량유류대</t>
    <phoneticPr fontId="7" type="noConversion"/>
  </si>
  <si>
    <t>* 직원 외부교육비</t>
    <phoneticPr fontId="7" type="noConversion"/>
  </si>
  <si>
    <t>1.주부식비</t>
    <phoneticPr fontId="7" type="noConversion"/>
  </si>
  <si>
    <t>* 일상생활용품</t>
    <phoneticPr fontId="7" type="noConversion"/>
  </si>
  <si>
    <t>* 피복비</t>
    <phoneticPr fontId="7" type="noConversion"/>
  </si>
  <si>
    <t>명</t>
    <phoneticPr fontId="7" type="noConversion"/>
  </si>
  <si>
    <t>=</t>
    <phoneticPr fontId="7" type="noConversion"/>
  </si>
  <si>
    <t>* 입소자 건강진단비</t>
    <phoneticPr fontId="7" type="noConversion"/>
  </si>
  <si>
    <t>* 외래진료 및 의약품비 등</t>
    <phoneticPr fontId="7" type="noConversion"/>
  </si>
  <si>
    <t>* 취사용 연료비</t>
    <phoneticPr fontId="7" type="noConversion"/>
  </si>
  <si>
    <t>1.보조금 예금이자 이월금</t>
    <phoneticPr fontId="7" type="noConversion"/>
  </si>
  <si>
    <t>3. 김장비용</t>
    <phoneticPr fontId="7" type="noConversion"/>
  </si>
  <si>
    <t>원</t>
    <phoneticPr fontId="7" type="noConversion"/>
  </si>
  <si>
    <t>원</t>
    <phoneticPr fontId="7" type="noConversion"/>
  </si>
  <si>
    <t>세입총계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</si>
  <si>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</si>
  <si>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</si>
  <si>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</si>
  <si>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※ 기타후생경비</t>
    <phoneticPr fontId="7" type="noConversion"/>
  </si>
  <si>
    <t>* 종사자건강검진비용</t>
    <phoneticPr fontId="7" type="noConversion"/>
  </si>
  <si>
    <t>기타        후생경비</t>
    <phoneticPr fontId="7" type="noConversion"/>
  </si>
  <si>
    <t>2. 가족수당(보조금)</t>
    <phoneticPr fontId="7" type="noConversion"/>
  </si>
  <si>
    <t>4.종사자근무수당(7종)</t>
    <phoneticPr fontId="7" type="noConversion"/>
  </si>
  <si>
    <t>* 설 명절 휴가비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</si>
  <si>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</si>
  <si>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</si>
  <si>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</si>
  <si>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* 퇴직적립금(보조금)</t>
    <phoneticPr fontId="7" type="noConversion"/>
  </si>
  <si>
    <t>=</t>
    <phoneticPr fontId="7" type="noConversion"/>
  </si>
  <si>
    <t>2. 주방용품 구입 및 소규모수선비</t>
    <phoneticPr fontId="7" type="noConversion"/>
  </si>
  <si>
    <t>3.기타 수용비 및 수수료</t>
    <phoneticPr fontId="7" type="noConversion"/>
  </si>
  <si>
    <t>□ 세 입 · 세 출 총  괄  표</t>
    <phoneticPr fontId="28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</si>
  <si>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</si>
  <si>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</si>
  <si>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</si>
  <si>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</si>
  <si>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</si>
  <si>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</si>
  <si>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</si>
  <si>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</si>
  <si>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사무비</t>
    <phoneticPr fontId="7" type="noConversion"/>
  </si>
  <si>
    <t>인      건      비</t>
    <phoneticPr fontId="28" type="noConversion"/>
  </si>
  <si>
    <t>보조금  수입</t>
    <phoneticPr fontId="28" type="noConversion"/>
  </si>
  <si>
    <t>기타후생경비</t>
    <phoneticPr fontId="7" type="noConversion"/>
  </si>
  <si>
    <t>업 무   추 진 비</t>
    <phoneticPr fontId="28" type="noConversion"/>
  </si>
  <si>
    <t>운      영      비</t>
    <phoneticPr fontId="28" type="noConversion"/>
  </si>
  <si>
    <t>후원금  수입</t>
    <phoneticPr fontId="28" type="noConversion"/>
  </si>
  <si>
    <t>재산조성비</t>
    <phoneticPr fontId="28" type="noConversion"/>
  </si>
  <si>
    <t>시      설      비</t>
    <phoneticPr fontId="28" type="noConversion"/>
  </si>
  <si>
    <t>비지정   후원금</t>
    <phoneticPr fontId="28" type="noConversion"/>
  </si>
  <si>
    <t>자 산   취 득 비</t>
    <phoneticPr fontId="28" type="noConversion"/>
  </si>
  <si>
    <t>전    입    금</t>
    <phoneticPr fontId="28" type="noConversion"/>
  </si>
  <si>
    <t>법인      전입금</t>
    <phoneticPr fontId="28" type="noConversion"/>
  </si>
  <si>
    <t>시설장비유지비</t>
    <phoneticPr fontId="28" type="noConversion"/>
  </si>
  <si>
    <t>이    월    금</t>
    <phoneticPr fontId="28" type="noConversion"/>
  </si>
  <si>
    <t>전년도   이월금</t>
    <phoneticPr fontId="28" type="noConversion"/>
  </si>
  <si>
    <t>사   업   비</t>
    <phoneticPr fontId="28" type="noConversion"/>
  </si>
  <si>
    <t>생      계      비</t>
    <phoneticPr fontId="28" type="noConversion"/>
  </si>
  <si>
    <t>잡    수    입</t>
    <phoneticPr fontId="28" type="noConversion"/>
  </si>
  <si>
    <t>잡      수      입</t>
    <phoneticPr fontId="28" type="noConversion"/>
  </si>
  <si>
    <t>수용기관   경비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</si>
  <si>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</si>
  <si>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</si>
  <si>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</si>
  <si>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</si>
  <si>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보조금반환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</si>
  <si>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</si>
  <si>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</si>
  <si>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</si>
  <si>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</si>
  <si>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</si>
  <si>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* 종사자교육비용</t>
    <phoneticPr fontId="7" type="noConversion"/>
  </si>
  <si>
    <t>원</t>
    <phoneticPr fontId="7" type="noConversion"/>
  </si>
  <si>
    <t>※ 후원금</t>
    <phoneticPr fontId="7" type="noConversion"/>
  </si>
  <si>
    <t>※ 전년도 이월금</t>
    <phoneticPr fontId="7" type="noConversion"/>
  </si>
  <si>
    <t>* 비지정 후원금</t>
    <phoneticPr fontId="7" type="noConversion"/>
  </si>
  <si>
    <t>후원금</t>
    <phoneticPr fontId="7" type="noConversion"/>
  </si>
  <si>
    <t>비지정</t>
    <phoneticPr fontId="7" type="noConversion"/>
  </si>
  <si>
    <t>재산        조성비</t>
    <phoneticPr fontId="28" type="noConversion"/>
  </si>
  <si>
    <t>사 무 비</t>
    <phoneticPr fontId="28" type="noConversion"/>
  </si>
  <si>
    <t>사 업 비</t>
    <phoneticPr fontId="28" type="noConversion"/>
  </si>
  <si>
    <t>보조금     반환</t>
    <phoneticPr fontId="28" type="noConversion"/>
  </si>
  <si>
    <t>인 건 비</t>
    <phoneticPr fontId="28" type="noConversion"/>
  </si>
  <si>
    <t>업 무              추 진 비</t>
    <phoneticPr fontId="28" type="noConversion"/>
  </si>
  <si>
    <t>운 영 비</t>
    <phoneticPr fontId="28" type="noConversion"/>
  </si>
  <si>
    <t>시 설 비</t>
    <phoneticPr fontId="28" type="noConversion"/>
  </si>
  <si>
    <t>시설장비         유지비</t>
    <phoneticPr fontId="28" type="noConversion"/>
  </si>
  <si>
    <t>자 산              취 득 비</t>
    <phoneticPr fontId="28" type="noConversion"/>
  </si>
  <si>
    <t>생 계 비</t>
    <phoneticPr fontId="28" type="noConversion"/>
  </si>
  <si>
    <t>수용기관         경비</t>
    <phoneticPr fontId="28" type="noConversion"/>
  </si>
  <si>
    <t>피 복 비</t>
    <phoneticPr fontId="28" type="noConversion"/>
  </si>
  <si>
    <t>의 료 비</t>
    <phoneticPr fontId="28" type="noConversion"/>
  </si>
  <si>
    <t>연 료 비</t>
    <phoneticPr fontId="28" type="noConversion"/>
  </si>
  <si>
    <t>프로그램         사업비</t>
    <phoneticPr fontId="28" type="noConversion"/>
  </si>
  <si>
    <t>보조금            반납금</t>
    <phoneticPr fontId="28" type="noConversion"/>
  </si>
  <si>
    <t>입소비용     수입</t>
    <phoneticPr fontId="28" type="noConversion"/>
  </si>
  <si>
    <t>잡  수  입</t>
    <phoneticPr fontId="28" type="noConversion"/>
  </si>
  <si>
    <t>보조금        수입</t>
    <phoneticPr fontId="28" type="noConversion"/>
  </si>
  <si>
    <t>후원금        수입</t>
    <phoneticPr fontId="28" type="noConversion"/>
  </si>
  <si>
    <t>전 입 금</t>
    <phoneticPr fontId="28" type="noConversion"/>
  </si>
  <si>
    <t>이 월 금</t>
    <phoneticPr fontId="28" type="noConversion"/>
  </si>
  <si>
    <t>잡 수 입</t>
    <phoneticPr fontId="28" type="noConversion"/>
  </si>
  <si>
    <t>4. 후원금</t>
    <phoneticPr fontId="7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</si>
  <si>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 type="noConversion"/>
  </si>
  <si>
    <t>6. 신용보증보험</t>
    <phoneticPr fontId="7" type="noConversion"/>
  </si>
  <si>
    <t>* 2013년 시도보조금</t>
    <phoneticPr fontId="7" type="noConversion"/>
  </si>
  <si>
    <t>* 2013년 시군구보조금</t>
    <phoneticPr fontId="7" type="noConversion"/>
  </si>
  <si>
    <t>* 환경개선사업비(7종)시군구</t>
    <phoneticPr fontId="7" type="noConversion"/>
  </si>
  <si>
    <t>* 환경개선사업비(7종)시도</t>
    <phoneticPr fontId="7" type="noConversion"/>
  </si>
  <si>
    <t>* 종사자근무수당(시도)</t>
    <phoneticPr fontId="7" type="noConversion"/>
  </si>
  <si>
    <t>이월금</t>
    <phoneticPr fontId="7" type="noConversion"/>
  </si>
  <si>
    <t>1. 전화료 인터넷 요금(보조)</t>
    <phoneticPr fontId="7" type="noConversion"/>
  </si>
  <si>
    <t>2. 아파트관리비(보조)</t>
    <phoneticPr fontId="7" type="noConversion"/>
  </si>
  <si>
    <t>3. 전화료 인터넷 요금(입소)</t>
    <phoneticPr fontId="7" type="noConversion"/>
  </si>
  <si>
    <t>4. 아파트관리비(입소)</t>
    <phoneticPr fontId="7" type="noConversion"/>
  </si>
  <si>
    <t>* 장기요양보험부담금</t>
    <phoneticPr fontId="7" type="noConversion"/>
  </si>
  <si>
    <t>* 산재보험부담금</t>
    <phoneticPr fontId="7" type="noConversion"/>
  </si>
  <si>
    <t>=</t>
    <phoneticPr fontId="7" type="noConversion"/>
  </si>
  <si>
    <t>입소</t>
    <phoneticPr fontId="7" type="noConversion"/>
  </si>
  <si>
    <t>보조</t>
    <phoneticPr fontId="7" type="noConversion"/>
  </si>
  <si>
    <t>* 가족수당</t>
    <phoneticPr fontId="7" type="noConversion"/>
  </si>
  <si>
    <t>2013년
2차추가경정
예산액(A)
(단위:천원)</t>
    <phoneticPr fontId="7" type="noConversion"/>
  </si>
  <si>
    <t>2014년  본 예산액(단위:천원)</t>
    <phoneticPr fontId="7" type="noConversion"/>
  </si>
  <si>
    <t>2013년
2차추가경정예산
예산액(A)
(단위:천원)</t>
    <phoneticPr fontId="7" type="noConversion"/>
  </si>
  <si>
    <t>2014년 본 예산액(단위:천원)</t>
    <phoneticPr fontId="7" type="noConversion"/>
  </si>
  <si>
    <t>시도보조금</t>
    <phoneticPr fontId="28" type="noConversion"/>
  </si>
  <si>
    <t>시군구보조금</t>
    <phoneticPr fontId="28" type="noConversion"/>
  </si>
  <si>
    <t>* 종사자 건강검진비용</t>
    <phoneticPr fontId="7" type="noConversion"/>
  </si>
  <si>
    <t>종사자         건강검진비용</t>
    <phoneticPr fontId="7" type="noConversion"/>
  </si>
  <si>
    <t>구        분</t>
    <phoneticPr fontId="28" type="noConversion"/>
  </si>
  <si>
    <t>증감</t>
    <phoneticPr fontId="7" type="noConversion"/>
  </si>
  <si>
    <t>증감사유</t>
    <phoneticPr fontId="28" type="noConversion"/>
  </si>
  <si>
    <t>증감</t>
    <phoneticPr fontId="28" type="noConversion"/>
  </si>
  <si>
    <t>비지정후원금</t>
    <phoneticPr fontId="28" type="noConversion"/>
  </si>
  <si>
    <t>지정후원금</t>
    <phoneticPr fontId="28" type="noConversion"/>
  </si>
  <si>
    <t>법인전입금</t>
    <phoneticPr fontId="28" type="noConversion"/>
  </si>
  <si>
    <t>전년도이월금</t>
    <phoneticPr fontId="28" type="noConversion"/>
  </si>
  <si>
    <t>시도   보조금</t>
    <phoneticPr fontId="7" type="noConversion"/>
  </si>
  <si>
    <t>※ 2014년 시도보조금</t>
    <phoneticPr fontId="7" type="noConversion"/>
  </si>
  <si>
    <t>※ 입소자부담금수입</t>
    <phoneticPr fontId="7" type="noConversion"/>
  </si>
  <si>
    <t>* 입소자부담금수입</t>
    <phoneticPr fontId="7" type="noConversion"/>
  </si>
  <si>
    <t>※ 2014년 시군구보조금</t>
    <phoneticPr fontId="7" type="noConversion"/>
  </si>
  <si>
    <t>보조금     운영비</t>
    <phoneticPr fontId="7" type="noConversion"/>
  </si>
  <si>
    <t>시군구보조금</t>
    <phoneticPr fontId="7" type="noConversion"/>
  </si>
  <si>
    <t>보조금</t>
    <phoneticPr fontId="7" type="noConversion"/>
  </si>
  <si>
    <t>* 욕실 파티션</t>
    <phoneticPr fontId="7" type="noConversion"/>
  </si>
  <si>
    <t>3.연장근로수당(보조금)</t>
    <phoneticPr fontId="7" type="noConversion"/>
  </si>
  <si>
    <t>* 환경개선사업비 (에어컨설치)</t>
    <phoneticPr fontId="7" type="noConversion"/>
  </si>
  <si>
    <t>* 에어컨설치비용</t>
    <phoneticPr fontId="7" type="noConversion"/>
  </si>
  <si>
    <t>입소</t>
    <phoneticPr fontId="7" type="noConversion"/>
  </si>
  <si>
    <t>5호</t>
    <phoneticPr fontId="7" type="noConversion"/>
  </si>
  <si>
    <t>6호</t>
    <phoneticPr fontId="7" type="noConversion"/>
  </si>
  <si>
    <t>1. 미용실 이용</t>
    <phoneticPr fontId="7" type="noConversion"/>
  </si>
  <si>
    <t>2. 찜질방 이용</t>
    <phoneticPr fontId="7" type="noConversion"/>
  </si>
  <si>
    <t>3. 자전거활동</t>
    <phoneticPr fontId="7" type="noConversion"/>
  </si>
  <si>
    <t>4. 요리활동 및 외식</t>
    <phoneticPr fontId="7" type="noConversion"/>
  </si>
  <si>
    <t>4. 이용인생일</t>
    <phoneticPr fontId="7" type="noConversion"/>
  </si>
  <si>
    <t>A. 일상생활 지원 프로그램</t>
    <phoneticPr fontId="7" type="noConversion"/>
  </si>
  <si>
    <t>B.  직업활동 지원</t>
    <phoneticPr fontId="7" type="noConversion"/>
  </si>
  <si>
    <t>1.  작업활동 지원비</t>
    <phoneticPr fontId="7" type="noConversion"/>
  </si>
  <si>
    <t>C. 자치회의 프로그램</t>
    <phoneticPr fontId="7" type="noConversion"/>
  </si>
  <si>
    <t>1.  자치회의 비용</t>
    <phoneticPr fontId="7" type="noConversion"/>
  </si>
  <si>
    <t>D. 교육지원 프로그램</t>
    <phoneticPr fontId="7" type="noConversion"/>
  </si>
  <si>
    <t>1. 교육(학습)지원 비용</t>
    <phoneticPr fontId="7" type="noConversion"/>
  </si>
  <si>
    <t>E. 여가활동 (계절별 나들이)</t>
    <phoneticPr fontId="7" type="noConversion"/>
  </si>
  <si>
    <t>1. 봄</t>
    <phoneticPr fontId="7" type="noConversion"/>
  </si>
  <si>
    <t>2. 여름</t>
    <phoneticPr fontId="7" type="noConversion"/>
  </si>
  <si>
    <t>4. 겨울</t>
    <phoneticPr fontId="7" type="noConversion"/>
  </si>
  <si>
    <t>2. 가을</t>
    <phoneticPr fontId="7" type="noConversion"/>
  </si>
  <si>
    <t>G. 등산프로그램</t>
    <phoneticPr fontId="7" type="noConversion"/>
  </si>
  <si>
    <t>1. 등산프로그램</t>
    <phoneticPr fontId="7" type="noConversion"/>
  </si>
  <si>
    <t>F. 영화 문화생활 이용 프로그램</t>
    <phoneticPr fontId="7" type="noConversion"/>
  </si>
  <si>
    <t>1. 영화 및 뮤지컬 관람</t>
    <phoneticPr fontId="7" type="noConversion"/>
  </si>
  <si>
    <t>2., 문화생활 이용 비용</t>
    <phoneticPr fontId="7" type="noConversion"/>
  </si>
  <si>
    <t>후원</t>
    <phoneticPr fontId="7" type="noConversion"/>
  </si>
  <si>
    <t>입소</t>
    <phoneticPr fontId="7" type="noConversion"/>
  </si>
  <si>
    <t>* 추석 명절휴가비</t>
    <phoneticPr fontId="7" type="noConversion"/>
  </si>
  <si>
    <t>문화</t>
    <phoneticPr fontId="7" type="noConversion"/>
  </si>
  <si>
    <t>원</t>
    <phoneticPr fontId="7" type="noConversion"/>
  </si>
  <si>
    <t>* 종사자근무수당(시군구)</t>
    <phoneticPr fontId="7" type="noConversion"/>
  </si>
  <si>
    <t>입소</t>
    <phoneticPr fontId="7" type="noConversion"/>
  </si>
  <si>
    <t>4. 간식비</t>
    <phoneticPr fontId="7" type="noConversion"/>
  </si>
  <si>
    <t>시도보조금수입</t>
    <phoneticPr fontId="28" type="noConversion"/>
  </si>
  <si>
    <t>1.명절휴가비</t>
    <phoneticPr fontId="7" type="noConversion"/>
  </si>
  <si>
    <t>보조</t>
    <phoneticPr fontId="7" type="noConversion"/>
  </si>
  <si>
    <t>7종</t>
    <phoneticPr fontId="7" type="noConversion"/>
  </si>
  <si>
    <t>* LED 교체비용</t>
    <phoneticPr fontId="7" type="noConversion"/>
  </si>
  <si>
    <t>입소</t>
    <phoneticPr fontId="7" type="noConversion"/>
  </si>
  <si>
    <t>2. 보조금 7종 반납 (종사자건강검진비용)</t>
    <phoneticPr fontId="7" type="noConversion"/>
  </si>
  <si>
    <t>1. 보조금 이월금(반납 및 이자)</t>
    <phoneticPr fontId="7" type="noConversion"/>
  </si>
  <si>
    <t>&lt;2015년도 세입내역&gt;</t>
    <phoneticPr fontId="7" type="noConversion"/>
  </si>
  <si>
    <t>&lt;2015년도 세출내역&gt;</t>
    <phoneticPr fontId="7" type="noConversion"/>
  </si>
  <si>
    <t>□ 2015년도 본 예산 세 입 · 세 출 총  괄  표</t>
    <phoneticPr fontId="28" type="noConversion"/>
  </si>
  <si>
    <t>2014년
2차추가경정   예산</t>
    <phoneticPr fontId="28" type="noConversion"/>
  </si>
  <si>
    <t>2015년
본 예산</t>
    <phoneticPr fontId="28" type="noConversion"/>
  </si>
  <si>
    <t>2014년
2차추가경정  예산</t>
    <phoneticPr fontId="28" type="noConversion"/>
  </si>
  <si>
    <t>보조금    203,000원    입소비용   5,000,000  후원금    800,000</t>
    <phoneticPr fontId="7" type="noConversion"/>
  </si>
  <si>
    <t>입소자 변경에 따른 차액(5⟶4)</t>
    <phoneticPr fontId="7" type="noConversion"/>
  </si>
  <si>
    <t>보조금 인상으로 인한 비율 차액</t>
    <phoneticPr fontId="7" type="noConversion"/>
  </si>
  <si>
    <t>종사자 건강검진</t>
    <phoneticPr fontId="7" type="noConversion"/>
  </si>
  <si>
    <t>법인전입금 지원 중단</t>
    <phoneticPr fontId="7" type="noConversion"/>
  </si>
  <si>
    <t>공공요금 금액 감소</t>
    <phoneticPr fontId="7" type="noConversion"/>
  </si>
  <si>
    <t>호봉승급에 따른 인상분</t>
    <phoneticPr fontId="7" type="noConversion"/>
  </si>
  <si>
    <t>회의비 증가</t>
    <phoneticPr fontId="7" type="noConversion"/>
  </si>
  <si>
    <t>에어컨 구입</t>
    <phoneticPr fontId="7" type="noConversion"/>
  </si>
  <si>
    <t>LED 형광등 설치</t>
    <phoneticPr fontId="7" type="noConversion"/>
  </si>
  <si>
    <t>생계비 감소</t>
    <phoneticPr fontId="7" type="noConversion"/>
  </si>
  <si>
    <t>피복비 감소</t>
    <phoneticPr fontId="7" type="noConversion"/>
  </si>
  <si>
    <t>비상의약품 구입</t>
    <phoneticPr fontId="7" type="noConversion"/>
  </si>
  <si>
    <t>연료비 감소</t>
    <phoneticPr fontId="7" type="noConversion"/>
  </si>
  <si>
    <t>프로그램 증가로 인한 증액</t>
    <phoneticPr fontId="7" type="noConversion"/>
  </si>
  <si>
    <t>보조금 반납</t>
    <phoneticPr fontId="7" type="noConversion"/>
  </si>
  <si>
    <t>생필품 증액</t>
    <phoneticPr fontId="7" type="noConversion"/>
  </si>
  <si>
    <t>후원금 2회</t>
    <phoneticPr fontId="7" type="noConversion"/>
  </si>
  <si>
    <t>예금이자 감소</t>
    <phoneticPr fontId="7" type="noConversion"/>
  </si>
  <si>
    <t>2014년 2차추가경정 예산</t>
    <phoneticPr fontId="28" type="noConversion"/>
  </si>
  <si>
    <t>2015년 본 예산</t>
    <phoneticPr fontId="28" type="noConversion"/>
  </si>
  <si>
    <t>2014년
2차추가경정 예산</t>
    <phoneticPr fontId="7" type="noConversion"/>
  </si>
  <si>
    <t>2015년
본 예산</t>
    <phoneticPr fontId="28" type="noConversion"/>
  </si>
  <si>
    <t>시군구보조금수입</t>
    <phoneticPr fontId="28" type="noConversion"/>
  </si>
  <si>
    <t>지정      후원금</t>
    <phoneticPr fontId="28" type="noConversion"/>
  </si>
  <si>
    <t>종사자 건강검진</t>
    <phoneticPr fontId="7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</si>
</sst>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527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3" fillId="0" borderId="15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178" fontId="13" fillId="0" borderId="22" xfId="3" applyNumberFormat="1" applyFont="1" applyFill="1" applyBorder="1" applyAlignment="1">
      <alignment vertical="center"/>
    </xf>
    <xf numFmtId="177" fontId="13" fillId="0" borderId="22" xfId="3" applyNumberFormat="1" applyFont="1" applyFill="1" applyBorder="1" applyAlignment="1">
      <alignment vertical="center"/>
    </xf>
    <xf numFmtId="0" fontId="16" fillId="0" borderId="21" xfId="3" applyFont="1" applyFill="1" applyBorder="1" applyAlignment="1">
      <alignment vertical="center"/>
    </xf>
    <xf numFmtId="176" fontId="16" fillId="0" borderId="21" xfId="3" applyNumberFormat="1" applyFont="1" applyFill="1" applyBorder="1" applyAlignment="1">
      <alignment horizontal="center" vertical="center"/>
    </xf>
    <xf numFmtId="176" fontId="16" fillId="0" borderId="21" xfId="3" applyNumberFormat="1" applyFont="1" applyFill="1" applyBorder="1" applyAlignment="1">
      <alignment vertical="center"/>
    </xf>
    <xf numFmtId="176" fontId="16" fillId="0" borderId="23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7" fillId="0" borderId="26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9" fontId="13" fillId="0" borderId="26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178" fontId="13" fillId="0" borderId="26" xfId="3" applyNumberFormat="1" applyFont="1" applyFill="1" applyBorder="1" applyAlignment="1">
      <alignment vertical="center"/>
    </xf>
    <xf numFmtId="177" fontId="13" fillId="0" borderId="26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vertical="center"/>
    </xf>
    <xf numFmtId="0" fontId="16" fillId="0" borderId="30" xfId="3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3" fillId="0" borderId="32" xfId="3" applyFont="1" applyFill="1" applyBorder="1" applyAlignment="1">
      <alignment vertical="center" wrapText="1"/>
    </xf>
    <xf numFmtId="0" fontId="19" fillId="0" borderId="28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178" fontId="13" fillId="0" borderId="10" xfId="3" applyNumberFormat="1" applyFont="1" applyFill="1" applyBorder="1" applyAlignment="1">
      <alignment vertical="center"/>
    </xf>
    <xf numFmtId="177" fontId="13" fillId="0" borderId="10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2" xfId="3" applyFont="1" applyFill="1" applyBorder="1" applyAlignment="1">
      <alignment vertical="center"/>
    </xf>
    <xf numFmtId="176" fontId="13" fillId="0" borderId="12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180" fontId="13" fillId="0" borderId="0" xfId="1" applyNumberFormat="1" applyFont="1" applyFill="1" applyBorder="1" applyAlignment="1">
      <alignment vertical="center"/>
    </xf>
    <xf numFmtId="10" fontId="13" fillId="0" borderId="0" xfId="1" applyNumberFormat="1" applyFont="1" applyFill="1" applyBorder="1" applyAlignment="1">
      <alignment horizontal="center" vertical="center"/>
    </xf>
    <xf numFmtId="179" fontId="13" fillId="0" borderId="0" xfId="2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horizontal="right" vertical="center"/>
    </xf>
    <xf numFmtId="176" fontId="21" fillId="0" borderId="35" xfId="3" applyNumberFormat="1" applyFont="1" applyFill="1" applyBorder="1" applyAlignment="1">
      <alignment vertical="center"/>
    </xf>
    <xf numFmtId="9" fontId="13" fillId="0" borderId="10" xfId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vertical="center"/>
    </xf>
    <xf numFmtId="176" fontId="16" fillId="0" borderId="29" xfId="3" applyNumberFormat="1" applyFont="1" applyFill="1" applyBorder="1" applyAlignment="1">
      <alignment horizontal="right" vertical="center"/>
    </xf>
    <xf numFmtId="176" fontId="16" fillId="0" borderId="35" xfId="3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horizontal="right"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5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5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178" fontId="13" fillId="0" borderId="6" xfId="3" applyNumberFormat="1" applyFont="1" applyFill="1" applyBorder="1" applyAlignment="1">
      <alignment vertical="center"/>
    </xf>
    <xf numFmtId="177" fontId="13" fillId="0" borderId="6" xfId="3" applyNumberFormat="1" applyFont="1" applyFill="1" applyBorder="1" applyAlignment="1">
      <alignment vertical="center"/>
    </xf>
    <xf numFmtId="9" fontId="13" fillId="0" borderId="6" xfId="3" applyNumberFormat="1" applyFont="1" applyFill="1" applyBorder="1" applyAlignment="1">
      <alignment horizontal="center" vertical="center"/>
    </xf>
    <xf numFmtId="38" fontId="13" fillId="0" borderId="12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6" xfId="3" applyNumberFormat="1" applyFont="1" applyFill="1" applyBorder="1" applyAlignment="1">
      <alignment vertical="center"/>
    </xf>
    <xf numFmtId="38" fontId="13" fillId="0" borderId="26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0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6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3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38" fontId="26" fillId="0" borderId="1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5" fillId="0" borderId="0" xfId="5">
      <alignment vertical="center"/>
    </xf>
    <xf numFmtId="0" fontId="27" fillId="0" borderId="0" xfId="5" applyFont="1">
      <alignment vertical="center"/>
    </xf>
    <xf numFmtId="0" fontId="29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21" fillId="0" borderId="28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6" xfId="0" applyNumberFormat="1" applyFont="1" applyFill="1" applyBorder="1" applyAlignment="1">
      <alignment vertical="center"/>
    </xf>
    <xf numFmtId="38" fontId="26" fillId="0" borderId="10" xfId="4" applyNumberFormat="1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41" fontId="15" fillId="0" borderId="7" xfId="0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19" xfId="1" applyFont="1" applyFill="1" applyBorder="1" applyAlignment="1">
      <alignment horizontal="center" vertical="center"/>
    </xf>
    <xf numFmtId="9" fontId="13" fillId="0" borderId="12" xfId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vertical="center"/>
    </xf>
    <xf numFmtId="0" fontId="13" fillId="0" borderId="19" xfId="3" applyFont="1" applyFill="1" applyBorder="1" applyAlignment="1">
      <alignment horizontal="center" vertical="center" wrapText="1"/>
    </xf>
    <xf numFmtId="38" fontId="13" fillId="0" borderId="41" xfId="3" applyNumberFormat="1" applyFont="1" applyFill="1" applyBorder="1" applyAlignment="1">
      <alignment vertical="center"/>
    </xf>
    <xf numFmtId="38" fontId="13" fillId="0" borderId="19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0" fontId="15" fillId="0" borderId="53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19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82" fontId="13" fillId="0" borderId="0" xfId="3" applyNumberFormat="1" applyFont="1" applyFill="1" applyBorder="1" applyAlignment="1">
      <alignment horizontal="center" vertical="center"/>
    </xf>
    <xf numFmtId="183" fontId="13" fillId="0" borderId="0" xfId="2" applyNumberFormat="1" applyFont="1" applyFill="1" applyBorder="1" applyAlignment="1">
      <alignment horizontal="center" vertical="center"/>
    </xf>
    <xf numFmtId="184" fontId="13" fillId="0" borderId="0" xfId="2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3" fillId="0" borderId="26" xfId="0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right" vertical="center"/>
    </xf>
    <xf numFmtId="178" fontId="13" fillId="0" borderId="0" xfId="2" applyNumberFormat="1" applyFont="1" applyFill="1" applyBorder="1" applyAlignment="1">
      <alignment horizontal="center" vertical="center"/>
    </xf>
    <xf numFmtId="186" fontId="13" fillId="0" borderId="0" xfId="3" applyNumberFormat="1" applyFont="1" applyFill="1" applyBorder="1" applyAlignment="1">
      <alignment horizontal="center" vertical="center"/>
    </xf>
    <xf numFmtId="9" fontId="13" fillId="0" borderId="0" xfId="3" applyNumberFormat="1" applyFont="1" applyFill="1" applyBorder="1" applyAlignment="1">
      <alignment horizontal="center" vertical="center"/>
    </xf>
    <xf numFmtId="187" fontId="13" fillId="0" borderId="0" xfId="2" applyNumberFormat="1" applyFont="1" applyFill="1" applyBorder="1" applyAlignment="1">
      <alignment horizontal="center" vertical="center"/>
    </xf>
    <xf numFmtId="178" fontId="13" fillId="0" borderId="0" xfId="3" applyNumberFormat="1" applyFont="1" applyFill="1" applyBorder="1" applyAlignment="1">
      <alignment horizontal="left" vertical="center"/>
    </xf>
    <xf numFmtId="0" fontId="13" fillId="0" borderId="34" xfId="3" applyFont="1" applyFill="1" applyBorder="1" applyAlignment="1">
      <alignment vertical="center"/>
    </xf>
    <xf numFmtId="0" fontId="13" fillId="0" borderId="33" xfId="3" applyFont="1" applyFill="1" applyBorder="1" applyAlignment="1">
      <alignment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center" vertical="center"/>
    </xf>
    <xf numFmtId="42" fontId="13" fillId="0" borderId="30" xfId="3" applyNumberFormat="1" applyFont="1" applyFill="1" applyBorder="1" applyAlignment="1">
      <alignment horizontal="center" vertical="center"/>
    </xf>
    <xf numFmtId="10" fontId="13" fillId="0" borderId="30" xfId="1" applyNumberFormat="1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4" fillId="0" borderId="0" xfId="5" applyFont="1">
      <alignment vertical="center"/>
    </xf>
    <xf numFmtId="0" fontId="4" fillId="0" borderId="14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41" fontId="4" fillId="0" borderId="19" xfId="2" applyFont="1" applyBorder="1">
      <alignment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41" fontId="10" fillId="0" borderId="0" xfId="2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5" fillId="0" borderId="29" xfId="3" applyFont="1" applyFill="1" applyBorder="1" applyAlignment="1">
      <alignment vertical="center"/>
    </xf>
    <xf numFmtId="0" fontId="8" fillId="0" borderId="5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38" fontId="8" fillId="0" borderId="6" xfId="3" applyNumberFormat="1" applyFont="1" applyFill="1" applyBorder="1" applyAlignment="1">
      <alignment vertical="center"/>
    </xf>
    <xf numFmtId="9" fontId="8" fillId="0" borderId="6" xfId="1" applyFont="1" applyFill="1" applyBorder="1" applyAlignment="1">
      <alignment horizontal="center" vertical="center"/>
    </xf>
    <xf numFmtId="0" fontId="27" fillId="0" borderId="0" xfId="7" applyFont="1">
      <alignment vertical="center"/>
    </xf>
    <xf numFmtId="0" fontId="3" fillId="0" borderId="0" xfId="7">
      <alignment vertical="center"/>
    </xf>
    <xf numFmtId="0" fontId="29" fillId="0" borderId="0" xfId="7" applyFont="1" applyAlignment="1">
      <alignment horizontal="right"/>
    </xf>
    <xf numFmtId="41" fontId="13" fillId="0" borderId="0" xfId="2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26" xfId="3" applyFont="1" applyFill="1" applyBorder="1" applyAlignment="1">
      <alignment horizontal="center" vertical="center" wrapText="1"/>
    </xf>
    <xf numFmtId="38" fontId="26" fillId="0" borderId="26" xfId="3" applyNumberFormat="1" applyFont="1" applyFill="1" applyBorder="1" applyAlignment="1">
      <alignment vertical="center"/>
    </xf>
    <xf numFmtId="9" fontId="13" fillId="0" borderId="0" xfId="1" applyFont="1" applyFill="1" applyAlignment="1">
      <alignment horizontal="center" vertical="center"/>
    </xf>
    <xf numFmtId="178" fontId="23" fillId="0" borderId="0" xfId="0" applyNumberFormat="1" applyFont="1" applyBorder="1" applyAlignment="1">
      <alignment horizontal="center" vertical="center"/>
    </xf>
    <xf numFmtId="41" fontId="13" fillId="0" borderId="0" xfId="2" applyFont="1" applyFill="1">
      <alignment vertical="center"/>
    </xf>
    <xf numFmtId="41" fontId="31" fillId="0" borderId="0" xfId="2" applyFont="1" applyFill="1" applyAlignment="1">
      <alignment vertical="center"/>
    </xf>
    <xf numFmtId="38" fontId="24" fillId="0" borderId="26" xfId="3" applyNumberFormat="1" applyFont="1" applyFill="1" applyBorder="1" applyAlignment="1">
      <alignment vertical="center"/>
    </xf>
    <xf numFmtId="41" fontId="32" fillId="0" borderId="10" xfId="9" applyFont="1" applyBorder="1" applyAlignment="1">
      <alignment vertical="center"/>
    </xf>
    <xf numFmtId="181" fontId="32" fillId="0" borderId="57" xfId="10" applyNumberFormat="1" applyFont="1" applyBorder="1" applyAlignment="1">
      <alignment vertical="center"/>
    </xf>
    <xf numFmtId="181" fontId="32" fillId="0" borderId="13" xfId="10" applyNumberFormat="1" applyFont="1" applyBorder="1" applyAlignment="1">
      <alignment vertical="center"/>
    </xf>
    <xf numFmtId="181" fontId="32" fillId="0" borderId="37" xfId="10" applyNumberFormat="1" applyFont="1" applyBorder="1" applyAlignment="1">
      <alignment vertical="center"/>
    </xf>
    <xf numFmtId="0" fontId="29" fillId="0" borderId="14" xfId="7" applyFont="1" applyBorder="1" applyAlignment="1">
      <alignment horizontal="center" vertical="center" wrapText="1"/>
    </xf>
    <xf numFmtId="0" fontId="29" fillId="0" borderId="19" xfId="7" applyFont="1" applyBorder="1" applyAlignment="1">
      <alignment horizontal="center" vertical="center" wrapText="1"/>
    </xf>
    <xf numFmtId="41" fontId="32" fillId="0" borderId="19" xfId="9" applyFont="1" applyBorder="1">
      <alignment vertical="center"/>
    </xf>
    <xf numFmtId="181" fontId="32" fillId="0" borderId="41" xfId="10" applyNumberFormat="1" applyFont="1" applyBorder="1">
      <alignment vertical="center"/>
    </xf>
    <xf numFmtId="181" fontId="32" fillId="0" borderId="19" xfId="10" applyNumberFormat="1" applyFont="1" applyBorder="1">
      <alignment vertical="center"/>
    </xf>
    <xf numFmtId="41" fontId="32" fillId="0" borderId="0" xfId="2" applyFont="1" applyFill="1" applyAlignment="1">
      <alignment vertical="center"/>
    </xf>
    <xf numFmtId="0" fontId="29" fillId="0" borderId="14" xfId="7" applyFont="1" applyBorder="1" applyAlignment="1">
      <alignment horizontal="center" vertical="center"/>
    </xf>
    <xf numFmtId="41" fontId="32" fillId="0" borderId="3" xfId="9" applyFont="1" applyBorder="1">
      <alignment vertical="center"/>
    </xf>
    <xf numFmtId="0" fontId="29" fillId="0" borderId="15" xfId="7" applyFont="1" applyBorder="1" applyAlignment="1">
      <alignment horizontal="center" vertical="center" wrapText="1"/>
    </xf>
    <xf numFmtId="0" fontId="29" fillId="0" borderId="3" xfId="7" applyFont="1" applyBorder="1" applyAlignment="1">
      <alignment horizontal="center" vertical="center" wrapText="1"/>
    </xf>
    <xf numFmtId="181" fontId="32" fillId="0" borderId="3" xfId="10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2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center" vertical="center" wrapText="1"/>
    </xf>
    <xf numFmtId="0" fontId="29" fillId="0" borderId="15" xfId="7" applyFont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9" fontId="13" fillId="0" borderId="10" xfId="3" applyNumberFormat="1" applyFont="1" applyFill="1" applyBorder="1" applyAlignment="1">
      <alignment horizontal="center" vertical="center"/>
    </xf>
    <xf numFmtId="0" fontId="24" fillId="0" borderId="36" xfId="3" applyFont="1" applyFill="1" applyBorder="1" applyAlignment="1">
      <alignment vertical="center"/>
    </xf>
    <xf numFmtId="0" fontId="22" fillId="0" borderId="13" xfId="3" applyFont="1" applyFill="1" applyBorder="1" applyAlignment="1">
      <alignment vertical="center"/>
    </xf>
    <xf numFmtId="176" fontId="22" fillId="0" borderId="13" xfId="3" applyNumberFormat="1" applyFont="1" applyFill="1" applyBorder="1" applyAlignment="1">
      <alignment vertical="center"/>
    </xf>
    <xf numFmtId="177" fontId="13" fillId="0" borderId="25" xfId="3" applyNumberFormat="1" applyFont="1" applyFill="1" applyBorder="1" applyAlignment="1">
      <alignment vertical="center"/>
    </xf>
    <xf numFmtId="177" fontId="13" fillId="0" borderId="42" xfId="3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13" fillId="0" borderId="61" xfId="3" applyFont="1" applyFill="1" applyBorder="1" applyAlignment="1">
      <alignment vertical="center" wrapText="1"/>
    </xf>
    <xf numFmtId="176" fontId="15" fillId="0" borderId="12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4" fillId="0" borderId="38" xfId="3" applyFont="1" applyFill="1" applyBorder="1" applyAlignment="1">
      <alignment vertical="center"/>
    </xf>
    <xf numFmtId="0" fontId="34" fillId="0" borderId="12" xfId="3" applyFont="1" applyFill="1" applyBorder="1" applyAlignment="1">
      <alignment vertical="center"/>
    </xf>
    <xf numFmtId="176" fontId="34" fillId="0" borderId="12" xfId="3" applyNumberFormat="1" applyFont="1" applyFill="1" applyBorder="1" applyAlignment="1">
      <alignment vertical="center"/>
    </xf>
    <xf numFmtId="176" fontId="34" fillId="0" borderId="39" xfId="3" applyNumberFormat="1" applyFont="1" applyFill="1" applyBorder="1" applyAlignment="1">
      <alignment vertical="center"/>
    </xf>
    <xf numFmtId="0" fontId="2" fillId="0" borderId="19" xfId="5" applyFont="1" applyBorder="1" applyAlignment="1">
      <alignment horizontal="center" vertical="center"/>
    </xf>
    <xf numFmtId="0" fontId="13" fillId="0" borderId="1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1" fontId="35" fillId="0" borderId="41" xfId="10" applyNumberFormat="1" applyFont="1" applyBorder="1" applyAlignment="1">
      <alignment vertical="center" wrapText="1"/>
    </xf>
    <xf numFmtId="181" fontId="35" fillId="0" borderId="17" xfId="10" applyNumberFormat="1" applyFont="1" applyBorder="1" applyAlignment="1">
      <alignment horizontal="center" vertical="center" wrapText="1"/>
    </xf>
    <xf numFmtId="181" fontId="35" fillId="0" borderId="54" xfId="10" applyNumberFormat="1" applyFont="1" applyBorder="1" applyAlignment="1">
      <alignment vertical="center" wrapText="1"/>
    </xf>
    <xf numFmtId="181" fontId="35" fillId="0" borderId="54" xfId="10" applyNumberFormat="1" applyFont="1" applyBorder="1" applyAlignment="1">
      <alignment horizontal="center" vertical="center" wrapText="1"/>
    </xf>
    <xf numFmtId="181" fontId="35" fillId="0" borderId="54" xfId="10" applyNumberFormat="1" applyFont="1" applyBorder="1">
      <alignment vertical="center"/>
    </xf>
    <xf numFmtId="181" fontId="35" fillId="0" borderId="35" xfId="10" applyNumberFormat="1" applyFont="1" applyBorder="1">
      <alignment vertical="center"/>
    </xf>
    <xf numFmtId="181" fontId="35" fillId="0" borderId="41" xfId="10" applyNumberFormat="1" applyFont="1" applyBorder="1">
      <alignment vertical="center"/>
    </xf>
    <xf numFmtId="181" fontId="35" fillId="0" borderId="4" xfId="10" applyNumberFormat="1" applyFont="1" applyBorder="1">
      <alignment vertical="center"/>
    </xf>
    <xf numFmtId="0" fontId="4" fillId="0" borderId="52" xfId="5" applyFont="1" applyBorder="1" applyAlignment="1">
      <alignment horizontal="center" vertical="center"/>
    </xf>
    <xf numFmtId="0" fontId="4" fillId="0" borderId="30" xfId="5" applyFont="1" applyBorder="1" applyAlignment="1">
      <alignment horizontal="center" vertical="center"/>
    </xf>
    <xf numFmtId="0" fontId="4" fillId="0" borderId="31" xfId="5" applyFont="1" applyBorder="1" applyAlignment="1">
      <alignment horizontal="center" vertical="center"/>
    </xf>
    <xf numFmtId="0" fontId="4" fillId="0" borderId="2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46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39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 wrapText="1"/>
    </xf>
    <xf numFmtId="0" fontId="30" fillId="0" borderId="56" xfId="5" applyFont="1" applyBorder="1" applyAlignment="1">
      <alignment horizontal="center" vertical="center" wrapText="1"/>
    </xf>
    <xf numFmtId="0" fontId="30" fillId="0" borderId="19" xfId="5" applyFont="1" applyBorder="1" applyAlignment="1">
      <alignment horizontal="center" vertical="center" wrapText="1"/>
    </xf>
    <xf numFmtId="0" fontId="30" fillId="0" borderId="49" xfId="5" applyFont="1" applyBorder="1" applyAlignment="1">
      <alignment horizontal="center" vertical="center" wrapText="1"/>
    </xf>
    <xf numFmtId="0" fontId="30" fillId="0" borderId="43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30" fillId="0" borderId="9" xfId="5" applyFont="1" applyBorder="1" applyAlignment="1">
      <alignment horizontal="center" vertical="center"/>
    </xf>
    <xf numFmtId="0" fontId="30" fillId="0" borderId="8" xfId="5" applyFont="1" applyBorder="1" applyAlignment="1">
      <alignment horizontal="center" vertical="center"/>
    </xf>
    <xf numFmtId="0" fontId="30" fillId="0" borderId="14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30" fillId="0" borderId="48" xfId="5" applyFont="1" applyBorder="1" applyAlignment="1">
      <alignment horizontal="center" vertical="center"/>
    </xf>
    <xf numFmtId="0" fontId="30" fillId="0" borderId="49" xfId="5" applyFont="1" applyBorder="1" applyAlignment="1">
      <alignment horizontal="center" vertical="center"/>
    </xf>
    <xf numFmtId="0" fontId="30" fillId="0" borderId="41" xfId="5" applyFont="1" applyBorder="1" applyAlignment="1">
      <alignment horizontal="center" vertical="center"/>
    </xf>
    <xf numFmtId="0" fontId="30" fillId="0" borderId="50" xfId="5" applyFont="1" applyBorder="1" applyAlignment="1">
      <alignment horizontal="center" vertical="center"/>
    </xf>
    <xf numFmtId="0" fontId="30" fillId="0" borderId="17" xfId="5" applyFont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176" fontId="15" fillId="0" borderId="12" xfId="3" applyNumberFormat="1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8" fontId="14" fillId="0" borderId="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30" fillId="0" borderId="43" xfId="7" applyFont="1" applyBorder="1" applyAlignment="1">
      <alignment horizontal="center" vertical="center"/>
    </xf>
    <xf numFmtId="0" fontId="30" fillId="0" borderId="7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33" fillId="0" borderId="19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3" fillId="0" borderId="19" xfId="8" applyFont="1" applyBorder="1" applyAlignment="1">
      <alignment horizontal="center" vertical="center" wrapText="1"/>
    </xf>
    <xf numFmtId="0" fontId="33" fillId="0" borderId="49" xfId="8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56" xfId="7" applyFont="1" applyBorder="1" applyAlignment="1">
      <alignment horizontal="center" vertical="center" wrapText="1"/>
    </xf>
    <xf numFmtId="0" fontId="33" fillId="0" borderId="41" xfId="7" applyFont="1" applyBorder="1" applyAlignment="1">
      <alignment horizontal="center" vertical="center"/>
    </xf>
    <xf numFmtId="0" fontId="33" fillId="0" borderId="50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29" fillId="0" borderId="32" xfId="7" applyFont="1" applyBorder="1" applyAlignment="1">
      <alignment horizontal="center" vertical="center"/>
    </xf>
    <xf numFmtId="0" fontId="29" fillId="0" borderId="16" xfId="7" applyFont="1" applyBorder="1" applyAlignment="1">
      <alignment horizontal="center" vertical="center"/>
    </xf>
    <xf numFmtId="0" fontId="33" fillId="0" borderId="54" xfId="7" applyFont="1" applyBorder="1" applyAlignment="1">
      <alignment horizontal="center" vertical="center"/>
    </xf>
    <xf numFmtId="0" fontId="33" fillId="0" borderId="58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 wrapText="1"/>
    </xf>
    <xf numFmtId="0" fontId="29" fillId="0" borderId="16" xfId="7" applyFont="1" applyBorder="1" applyAlignment="1">
      <alignment horizontal="center" vertical="center" wrapText="1"/>
    </xf>
    <xf numFmtId="181" fontId="35" fillId="0" borderId="60" xfId="10" applyNumberFormat="1" applyFont="1" applyBorder="1" applyAlignment="1">
      <alignment horizontal="center" vertical="center" wrapText="1"/>
    </xf>
    <xf numFmtId="181" fontId="35" fillId="0" borderId="59" xfId="10" applyNumberFormat="1" applyFont="1" applyBorder="1" applyAlignment="1">
      <alignment horizontal="center" vertical="center" wrapText="1"/>
    </xf>
    <xf numFmtId="181" fontId="35" fillId="0" borderId="11" xfId="10" applyNumberFormat="1" applyFont="1" applyBorder="1" applyAlignment="1">
      <alignment horizontal="center" vertical="center" wrapText="1"/>
    </xf>
    <xf numFmtId="181" fontId="32" fillId="0" borderId="1" xfId="10" applyNumberFormat="1" applyFont="1" applyBorder="1" applyAlignment="1">
      <alignment horizontal="center" vertical="center"/>
    </xf>
    <xf numFmtId="181" fontId="32" fillId="0" borderId="26" xfId="10" applyNumberFormat="1" applyFont="1" applyBorder="1" applyAlignment="1">
      <alignment horizontal="center" vertical="center"/>
    </xf>
    <xf numFmtId="181" fontId="32" fillId="0" borderId="10" xfId="10" applyNumberFormat="1" applyFont="1" applyBorder="1" applyAlignment="1">
      <alignment horizontal="center" vertical="center"/>
    </xf>
    <xf numFmtId="41" fontId="32" fillId="0" borderId="1" xfId="9" applyFont="1" applyBorder="1" applyAlignment="1">
      <alignment horizontal="center" vertical="center"/>
    </xf>
    <xf numFmtId="41" fontId="32" fillId="0" borderId="26" xfId="9" applyFont="1" applyBorder="1" applyAlignment="1">
      <alignment horizontal="center" vertical="center"/>
    </xf>
    <xf numFmtId="41" fontId="32" fillId="0" borderId="10" xfId="9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29" fillId="0" borderId="26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 wrapText="1"/>
    </xf>
    <xf numFmtId="0" fontId="1" fillId="0" borderId="1" xfId="5" applyFont="1" applyBorder="1" applyAlignment="1">
      <alignment vertical="center"/>
    </xf>
    <xf numFmtId="41" fontId="0" fillId="0" borderId="1" xfId="6" applyFont="1" applyBorder="1" applyAlignment="1">
      <alignment vertical="center"/>
    </xf>
    <xf numFmtId="181" fontId="0" fillId="0" borderId="60" xfId="6" applyNumberFormat="1" applyFont="1" applyBorder="1" applyAlignment="1">
      <alignment vertical="center"/>
    </xf>
    <xf numFmtId="41" fontId="0" fillId="0" borderId="19" xfId="6" applyFont="1" applyBorder="1" applyAlignment="1">
      <alignment vertical="center"/>
    </xf>
    <xf numFmtId="181" fontId="0" fillId="0" borderId="17" xfId="6" applyNumberFormat="1" applyFont="1" applyBorder="1" applyAlignment="1">
      <alignment vertical="center"/>
    </xf>
    <xf numFmtId="0" fontId="1" fillId="0" borderId="19" xfId="5" applyFont="1" applyBorder="1" applyAlignment="1">
      <alignment vertical="center"/>
    </xf>
    <xf numFmtId="0" fontId="1" fillId="0" borderId="19" xfId="5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4"/>
  <sheetViews>
    <sheetView topLeftCell="C1" workbookViewId="0">
      <selection activeCell="D28" sqref="D28"/>
    </sheetView>
  </sheetViews>
  <sheetFormatPr defaultRowHeight="16.5"/>
  <cols>
    <col min="1" max="1" width="1.33203125" style="181" customWidth="1"/>
    <col min="2" max="2" width="11.5546875" style="181" hidden="1" customWidth="1"/>
    <col min="3" max="3" width="13.33203125" style="181" bestFit="1" customWidth="1"/>
    <col min="4" max="4" width="15.44140625" style="181" bestFit="1" customWidth="1"/>
    <col min="5" max="5" width="14.88671875" style="181" customWidth="1"/>
    <col min="6" max="6" width="15.109375" style="181" customWidth="1"/>
    <col min="7" max="7" width="11.44140625" style="181" customWidth="1"/>
    <col min="8" max="8" width="11.33203125" style="181" customWidth="1"/>
    <col min="9" max="9" width="14.6640625" style="181" customWidth="1"/>
    <col min="10" max="10" width="12" style="181" customWidth="1"/>
    <col min="11" max="11" width="15.5546875" style="181" customWidth="1"/>
    <col min="12" max="12" width="11.5546875" style="181" customWidth="1"/>
    <col min="13" max="16384" width="8.88671875" style="181"/>
  </cols>
  <sheetData>
    <row r="1" spans="2:13" ht="9.9499999999999993" customHeight="1"/>
    <row r="2" spans="2:13" ht="26.25">
      <c r="B2" s="308"/>
      <c r="C2" s="182" t="s">
        <v>217</v>
      </c>
      <c r="D2" s="308"/>
      <c r="E2" s="308"/>
      <c r="F2" s="308"/>
      <c r="G2" s="308"/>
      <c r="H2" s="308"/>
      <c r="I2" s="308"/>
      <c r="J2" s="308"/>
      <c r="K2" s="308"/>
      <c r="L2" s="183" t="s">
        <v>218</v>
      </c>
      <c r="M2" s="308"/>
    </row>
    <row r="3" spans="2:13" ht="9.9499999999999993" customHeight="1" thickBot="1"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2:13" ht="30" customHeight="1">
      <c r="B4" s="308"/>
      <c r="C4" s="433" t="s">
        <v>219</v>
      </c>
      <c r="D4" s="434"/>
      <c r="E4" s="434"/>
      <c r="F4" s="434"/>
      <c r="G4" s="435"/>
      <c r="H4" s="433" t="s">
        <v>220</v>
      </c>
      <c r="I4" s="434"/>
      <c r="J4" s="434"/>
      <c r="K4" s="434"/>
      <c r="L4" s="436"/>
      <c r="M4" s="308"/>
    </row>
    <row r="5" spans="2:13" ht="16.5" customHeight="1">
      <c r="B5" s="308"/>
      <c r="C5" s="437" t="s">
        <v>221</v>
      </c>
      <c r="D5" s="438"/>
      <c r="E5" s="429" t="s">
        <v>403</v>
      </c>
      <c r="F5" s="431" t="s">
        <v>404</v>
      </c>
      <c r="G5" s="441" t="s">
        <v>222</v>
      </c>
      <c r="H5" s="437" t="s">
        <v>221</v>
      </c>
      <c r="I5" s="438"/>
      <c r="J5" s="431" t="s">
        <v>401</v>
      </c>
      <c r="K5" s="431" t="s">
        <v>402</v>
      </c>
      <c r="L5" s="443" t="s">
        <v>222</v>
      </c>
      <c r="M5" s="308"/>
    </row>
    <row r="6" spans="2:13" ht="22.5" customHeight="1" thickBot="1">
      <c r="B6" s="308"/>
      <c r="C6" s="439"/>
      <c r="D6" s="440"/>
      <c r="E6" s="430"/>
      <c r="F6" s="432"/>
      <c r="G6" s="442"/>
      <c r="H6" s="439"/>
      <c r="I6" s="440"/>
      <c r="J6" s="432"/>
      <c r="K6" s="432"/>
      <c r="L6" s="444"/>
      <c r="M6" s="308"/>
    </row>
    <row r="7" spans="2:13" ht="24.95" customHeight="1" thickTop="1">
      <c r="B7" s="308"/>
      <c r="C7" s="424" t="s">
        <v>223</v>
      </c>
      <c r="D7" s="425"/>
      <c r="E7" s="184">
        <f>SUM(E8:E16)</f>
        <v>60858867</v>
      </c>
      <c r="F7" s="184">
        <f>SUM(F8:F16)</f>
        <v>64289000</v>
      </c>
      <c r="G7" s="185">
        <f>SUM(G8:G16)</f>
        <v>3430133</v>
      </c>
      <c r="H7" s="424" t="s">
        <v>223</v>
      </c>
      <c r="I7" s="425"/>
      <c r="J7" s="184">
        <f>SUM(J8:J21)</f>
        <v>60858867</v>
      </c>
      <c r="K7" s="184">
        <f>SUM(K8:K21)</f>
        <v>64289000</v>
      </c>
      <c r="L7" s="186">
        <f>SUM(L8:L23)</f>
        <v>3430133</v>
      </c>
      <c r="M7" s="308"/>
    </row>
    <row r="8" spans="2:13" ht="24.95" customHeight="1">
      <c r="B8" s="308"/>
      <c r="C8" s="309" t="s">
        <v>224</v>
      </c>
      <c r="D8" s="310" t="s">
        <v>225</v>
      </c>
      <c r="E8" s="187">
        <v>8749970</v>
      </c>
      <c r="F8" s="187">
        <v>7200000</v>
      </c>
      <c r="G8" s="188">
        <f>F8-E8</f>
        <v>-1549970</v>
      </c>
      <c r="H8" s="426" t="s">
        <v>226</v>
      </c>
      <c r="I8" s="310" t="s">
        <v>227</v>
      </c>
      <c r="J8" s="187">
        <v>35060130</v>
      </c>
      <c r="K8" s="187">
        <v>37441980</v>
      </c>
      <c r="L8" s="189">
        <f>K8-J8</f>
        <v>2381850</v>
      </c>
      <c r="M8" s="308"/>
    </row>
    <row r="9" spans="2:13" ht="24.95" customHeight="1">
      <c r="B9" s="308"/>
      <c r="C9" s="428" t="s">
        <v>228</v>
      </c>
      <c r="D9" s="403" t="s">
        <v>368</v>
      </c>
      <c r="E9" s="187">
        <v>3325000</v>
      </c>
      <c r="F9" s="187">
        <v>3504000</v>
      </c>
      <c r="G9" s="188">
        <f t="shared" ref="G9:G16" si="0">F9-E9</f>
        <v>179000</v>
      </c>
      <c r="H9" s="427"/>
      <c r="I9" s="310" t="s">
        <v>229</v>
      </c>
      <c r="J9" s="187">
        <v>0</v>
      </c>
      <c r="K9" s="187">
        <v>200000</v>
      </c>
      <c r="L9" s="189">
        <f>K9-J9</f>
        <v>200000</v>
      </c>
      <c r="M9" s="308"/>
    </row>
    <row r="10" spans="2:13" ht="24.95" customHeight="1">
      <c r="B10" s="308"/>
      <c r="C10" s="428"/>
      <c r="D10" s="520" t="s">
        <v>405</v>
      </c>
      <c r="E10" s="521">
        <v>46507737</v>
      </c>
      <c r="F10" s="521">
        <v>47171000</v>
      </c>
      <c r="G10" s="522">
        <f t="shared" si="0"/>
        <v>663263</v>
      </c>
      <c r="H10" s="427"/>
      <c r="I10" s="310" t="s">
        <v>230</v>
      </c>
      <c r="J10" s="187">
        <v>20000</v>
      </c>
      <c r="K10" s="187">
        <v>110000</v>
      </c>
      <c r="L10" s="189">
        <f t="shared" ref="L10:L22" si="1">K10-J10</f>
        <v>90000</v>
      </c>
      <c r="M10" s="308"/>
    </row>
    <row r="11" spans="2:13" ht="24.95" customHeight="1">
      <c r="B11" s="308"/>
      <c r="C11" s="428"/>
      <c r="D11" s="525" t="s">
        <v>407</v>
      </c>
      <c r="E11" s="523">
        <v>0</v>
      </c>
      <c r="F11" s="523">
        <v>200000</v>
      </c>
      <c r="G11" s="524">
        <v>200000</v>
      </c>
      <c r="H11" s="424"/>
      <c r="I11" s="310" t="s">
        <v>231</v>
      </c>
      <c r="J11" s="187">
        <v>5984500</v>
      </c>
      <c r="K11" s="187">
        <v>5875050</v>
      </c>
      <c r="L11" s="189">
        <f t="shared" si="1"/>
        <v>-109450</v>
      </c>
      <c r="M11" s="308"/>
    </row>
    <row r="12" spans="2:13" ht="24.95" customHeight="1">
      <c r="B12" s="308"/>
      <c r="C12" s="428" t="s">
        <v>232</v>
      </c>
      <c r="D12" s="526" t="s">
        <v>406</v>
      </c>
      <c r="E12" s="187">
        <v>0</v>
      </c>
      <c r="F12" s="187">
        <v>0</v>
      </c>
      <c r="G12" s="188">
        <f>F12-E12</f>
        <v>0</v>
      </c>
      <c r="H12" s="426" t="s">
        <v>233</v>
      </c>
      <c r="I12" s="310" t="s">
        <v>234</v>
      </c>
      <c r="J12" s="187">
        <v>0</v>
      </c>
      <c r="K12" s="187">
        <v>0</v>
      </c>
      <c r="L12" s="189">
        <f t="shared" si="1"/>
        <v>0</v>
      </c>
      <c r="M12" s="308"/>
    </row>
    <row r="13" spans="2:13" ht="24.95" customHeight="1">
      <c r="B13" s="308"/>
      <c r="C13" s="428"/>
      <c r="D13" s="310" t="s">
        <v>235</v>
      </c>
      <c r="E13" s="187">
        <v>300000</v>
      </c>
      <c r="F13" s="187">
        <v>200000</v>
      </c>
      <c r="G13" s="188">
        <f t="shared" si="0"/>
        <v>-100000</v>
      </c>
      <c r="H13" s="427"/>
      <c r="I13" s="310" t="s">
        <v>236</v>
      </c>
      <c r="J13" s="187">
        <v>1069900</v>
      </c>
      <c r="K13" s="187">
        <v>2200000</v>
      </c>
      <c r="L13" s="189">
        <f t="shared" si="1"/>
        <v>1130100</v>
      </c>
      <c r="M13" s="308"/>
    </row>
    <row r="14" spans="2:13" ht="24.95" customHeight="1">
      <c r="B14" s="308"/>
      <c r="C14" s="309" t="s">
        <v>237</v>
      </c>
      <c r="D14" s="310" t="s">
        <v>238</v>
      </c>
      <c r="E14" s="313">
        <v>1932160</v>
      </c>
      <c r="F14" s="313">
        <v>0</v>
      </c>
      <c r="G14" s="188">
        <f t="shared" si="0"/>
        <v>-1932160</v>
      </c>
      <c r="H14" s="424"/>
      <c r="I14" s="310" t="s">
        <v>239</v>
      </c>
      <c r="J14" s="187">
        <v>0</v>
      </c>
      <c r="K14" s="187">
        <v>1300000</v>
      </c>
      <c r="L14" s="189">
        <f t="shared" si="1"/>
        <v>1300000</v>
      </c>
      <c r="M14" s="308"/>
    </row>
    <row r="15" spans="2:13" ht="24.95" customHeight="1">
      <c r="B15" s="308"/>
      <c r="C15" s="309" t="s">
        <v>240</v>
      </c>
      <c r="D15" s="310" t="s">
        <v>241</v>
      </c>
      <c r="E15" s="187">
        <v>0</v>
      </c>
      <c r="F15" s="187">
        <v>6003000</v>
      </c>
      <c r="G15" s="188">
        <f t="shared" si="0"/>
        <v>6003000</v>
      </c>
      <c r="H15" s="426" t="s">
        <v>242</v>
      </c>
      <c r="I15" s="310" t="s">
        <v>243</v>
      </c>
      <c r="J15" s="187">
        <v>13432400</v>
      </c>
      <c r="K15" s="187">
        <v>10711970</v>
      </c>
      <c r="L15" s="189">
        <f>K15-J15</f>
        <v>-2720430</v>
      </c>
      <c r="M15" s="308"/>
    </row>
    <row r="16" spans="2:13" ht="24.95" customHeight="1">
      <c r="B16" s="308"/>
      <c r="C16" s="309" t="s">
        <v>244</v>
      </c>
      <c r="D16" s="310" t="s">
        <v>245</v>
      </c>
      <c r="E16" s="187">
        <v>44000</v>
      </c>
      <c r="F16" s="187">
        <v>11000</v>
      </c>
      <c r="G16" s="188">
        <f t="shared" si="0"/>
        <v>-33000</v>
      </c>
      <c r="H16" s="427"/>
      <c r="I16" s="310" t="s">
        <v>246</v>
      </c>
      <c r="J16" s="187">
        <v>459084</v>
      </c>
      <c r="K16" s="187">
        <v>750000</v>
      </c>
      <c r="L16" s="189">
        <f>K16-J16</f>
        <v>290916</v>
      </c>
      <c r="M16" s="308"/>
    </row>
    <row r="17" spans="2:13" ht="24.95" customHeight="1">
      <c r="B17" s="308"/>
      <c r="C17" s="415"/>
      <c r="D17" s="416"/>
      <c r="E17" s="416"/>
      <c r="F17" s="416"/>
      <c r="G17" s="417"/>
      <c r="H17" s="427"/>
      <c r="I17" s="310" t="s">
        <v>247</v>
      </c>
      <c r="J17" s="187">
        <v>1355000</v>
      </c>
      <c r="K17" s="187">
        <v>320000</v>
      </c>
      <c r="L17" s="189">
        <f t="shared" si="1"/>
        <v>-1035000</v>
      </c>
      <c r="M17" s="308"/>
    </row>
    <row r="18" spans="2:13" ht="24.95" customHeight="1">
      <c r="B18" s="308"/>
      <c r="C18" s="418"/>
      <c r="D18" s="419"/>
      <c r="E18" s="419"/>
      <c r="F18" s="419"/>
      <c r="G18" s="420"/>
      <c r="H18" s="427"/>
      <c r="I18" s="310" t="s">
        <v>248</v>
      </c>
      <c r="J18" s="187">
        <v>192600</v>
      </c>
      <c r="K18" s="187">
        <v>197000</v>
      </c>
      <c r="L18" s="189">
        <f>K18-J18</f>
        <v>4400</v>
      </c>
      <c r="M18" s="308"/>
    </row>
    <row r="19" spans="2:13" ht="24.95" customHeight="1">
      <c r="B19" s="308"/>
      <c r="C19" s="418"/>
      <c r="D19" s="419"/>
      <c r="E19" s="419"/>
      <c r="F19" s="419"/>
      <c r="G19" s="420"/>
      <c r="H19" s="427"/>
      <c r="I19" s="310" t="s">
        <v>249</v>
      </c>
      <c r="J19" s="187">
        <v>129000</v>
      </c>
      <c r="K19" s="187">
        <v>90000</v>
      </c>
      <c r="L19" s="189">
        <f t="shared" si="1"/>
        <v>-39000</v>
      </c>
      <c r="M19" s="308"/>
    </row>
    <row r="20" spans="2:13" ht="24.95" customHeight="1">
      <c r="B20" s="308"/>
      <c r="C20" s="418"/>
      <c r="D20" s="419"/>
      <c r="E20" s="419"/>
      <c r="F20" s="419"/>
      <c r="G20" s="420"/>
      <c r="H20" s="424"/>
      <c r="I20" s="310" t="s">
        <v>250</v>
      </c>
      <c r="J20" s="187">
        <v>2844043</v>
      </c>
      <c r="K20" s="187">
        <v>4890000</v>
      </c>
      <c r="L20" s="189">
        <f t="shared" si="1"/>
        <v>2045957</v>
      </c>
      <c r="M20" s="308"/>
    </row>
    <row r="21" spans="2:13" ht="24.95" customHeight="1">
      <c r="B21" s="308"/>
      <c r="C21" s="418"/>
      <c r="D21" s="419"/>
      <c r="E21" s="419"/>
      <c r="F21" s="419"/>
      <c r="G21" s="420"/>
      <c r="H21" s="309" t="s">
        <v>251</v>
      </c>
      <c r="I21" s="310" t="s">
        <v>252</v>
      </c>
      <c r="J21" s="187">
        <v>312210</v>
      </c>
      <c r="K21" s="187">
        <v>203000</v>
      </c>
      <c r="L21" s="189">
        <f t="shared" si="1"/>
        <v>-109210</v>
      </c>
      <c r="M21" s="308"/>
    </row>
    <row r="22" spans="2:13" ht="24.95" customHeight="1">
      <c r="B22" s="308"/>
      <c r="C22" s="418"/>
      <c r="D22" s="419"/>
      <c r="E22" s="419"/>
      <c r="F22" s="419"/>
      <c r="G22" s="420"/>
      <c r="H22" s="309" t="s">
        <v>253</v>
      </c>
      <c r="I22" s="310" t="s">
        <v>254</v>
      </c>
      <c r="J22" s="187">
        <v>0</v>
      </c>
      <c r="K22" s="187">
        <v>0</v>
      </c>
      <c r="L22" s="189">
        <f t="shared" si="1"/>
        <v>0</v>
      </c>
      <c r="M22" s="308"/>
    </row>
    <row r="23" spans="2:13" ht="17.25" thickBot="1">
      <c r="B23" s="308"/>
      <c r="C23" s="421"/>
      <c r="D23" s="422"/>
      <c r="E23" s="422"/>
      <c r="F23" s="422"/>
      <c r="G23" s="423"/>
      <c r="H23" s="311" t="s">
        <v>255</v>
      </c>
      <c r="I23" s="312" t="s">
        <v>256</v>
      </c>
      <c r="J23" s="190">
        <v>0</v>
      </c>
      <c r="K23" s="190">
        <v>0</v>
      </c>
      <c r="L23" s="191">
        <f>K23-J23</f>
        <v>0</v>
      </c>
      <c r="M23" s="308"/>
    </row>
    <row r="24" spans="2:13"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</row>
  </sheetData>
  <mergeCells count="18"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  <mergeCell ref="C17:G23"/>
    <mergeCell ref="C7:D7"/>
    <mergeCell ref="H7:I7"/>
    <mergeCell ref="H8:H11"/>
    <mergeCell ref="C9:C11"/>
    <mergeCell ref="C12:C13"/>
    <mergeCell ref="H12:H14"/>
    <mergeCell ref="H15:H20"/>
  </mergeCells>
  <phoneticPr fontId="7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7"/>
  <sheetViews>
    <sheetView zoomScale="83" zoomScaleNormal="83" zoomScaleSheetLayoutView="85" workbookViewId="0">
      <selection activeCell="Z19" sqref="Z19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19.5" customHeight="1" thickBot="1">
      <c r="A1" s="452" t="s">
        <v>376</v>
      </c>
      <c r="B1" s="452"/>
      <c r="C1" s="452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453" t="s">
        <v>65</v>
      </c>
      <c r="B2" s="454"/>
      <c r="C2" s="454"/>
      <c r="D2" s="455" t="s">
        <v>309</v>
      </c>
      <c r="E2" s="457" t="s">
        <v>310</v>
      </c>
      <c r="F2" s="458"/>
      <c r="G2" s="458"/>
      <c r="H2" s="458"/>
      <c r="I2" s="458"/>
      <c r="J2" s="458"/>
      <c r="K2" s="448" t="s">
        <v>23</v>
      </c>
      <c r="L2" s="448"/>
      <c r="M2" s="448" t="s">
        <v>55</v>
      </c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9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456"/>
      <c r="E3" s="365" t="s">
        <v>127</v>
      </c>
      <c r="F3" s="391" t="s">
        <v>328</v>
      </c>
      <c r="G3" s="365" t="s">
        <v>165</v>
      </c>
      <c r="H3" s="365" t="s">
        <v>116</v>
      </c>
      <c r="I3" s="365" t="s">
        <v>262</v>
      </c>
      <c r="J3" s="365" t="s">
        <v>118</v>
      </c>
      <c r="K3" s="201" t="s">
        <v>128</v>
      </c>
      <c r="L3" s="27" t="s">
        <v>4</v>
      </c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1"/>
      <c r="AD3" s="9"/>
    </row>
    <row r="4" spans="1:30" s="3" customFormat="1" ht="19.5" customHeight="1">
      <c r="A4" s="459" t="s">
        <v>24</v>
      </c>
      <c r="B4" s="460"/>
      <c r="C4" s="461"/>
      <c r="D4" s="28">
        <f>D5+D7+D21+D26+D32+D23+D14</f>
        <v>36727</v>
      </c>
      <c r="E4" s="84">
        <f>(F4+G4+H4+I4+J4)</f>
        <v>64289</v>
      </c>
      <c r="F4" s="28">
        <f>F5+F7+F21+F26+F32+F14</f>
        <v>48339</v>
      </c>
      <c r="G4" s="28">
        <f>G5+G7+G21+G26+G32+G14</f>
        <v>2750</v>
      </c>
      <c r="H4" s="28">
        <f>H5+H7+H21+H26+H32</f>
        <v>12200</v>
      </c>
      <c r="I4" s="28">
        <f>I5+I7+I21+I23+I26+I32</f>
        <v>1000</v>
      </c>
      <c r="J4" s="28">
        <f>J5+J7+J21+J26+J32</f>
        <v>0</v>
      </c>
      <c r="K4" s="29">
        <f>E4-D4</f>
        <v>27562</v>
      </c>
      <c r="L4" s="45">
        <f>IF(D4=0,0,K4/D4)</f>
        <v>0.75045606774307727</v>
      </c>
      <c r="M4" s="30" t="s">
        <v>200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SUM(AB5,AB7,AB21,AB26,AB32,AB23)</f>
        <v>64289000</v>
      </c>
      <c r="AC4" s="33" t="s">
        <v>199</v>
      </c>
      <c r="AD4" s="9"/>
    </row>
    <row r="5" spans="1:30" ht="21" customHeight="1" thickBot="1">
      <c r="A5" s="41" t="s">
        <v>60</v>
      </c>
      <c r="B5" s="370" t="s">
        <v>60</v>
      </c>
      <c r="C5" s="364" t="s">
        <v>126</v>
      </c>
      <c r="D5" s="43">
        <v>3750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3450</v>
      </c>
      <c r="L5" s="45">
        <f>IF(D5=0,0,K5/D5)</f>
        <v>0.92</v>
      </c>
      <c r="M5" s="46" t="s">
        <v>325</v>
      </c>
      <c r="N5" s="197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0" ht="21" customHeight="1">
      <c r="A6" s="51" t="s">
        <v>61</v>
      </c>
      <c r="B6" s="371" t="s">
        <v>117</v>
      </c>
      <c r="C6" s="53" t="s">
        <v>117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326</v>
      </c>
      <c r="N6" s="60"/>
      <c r="O6" s="61"/>
      <c r="P6" s="61"/>
      <c r="Q6" s="368">
        <v>150000</v>
      </c>
      <c r="R6" s="368" t="s">
        <v>57</v>
      </c>
      <c r="S6" s="369" t="s">
        <v>58</v>
      </c>
      <c r="T6" s="368">
        <v>4</v>
      </c>
      <c r="U6" s="368" t="s">
        <v>56</v>
      </c>
      <c r="V6" s="369" t="s">
        <v>58</v>
      </c>
      <c r="W6" s="62">
        <v>12</v>
      </c>
      <c r="X6" s="262" t="s">
        <v>0</v>
      </c>
      <c r="Y6" s="262" t="s">
        <v>53</v>
      </c>
      <c r="Z6" s="262"/>
      <c r="AA6" s="368"/>
      <c r="AB6" s="368">
        <f>Q6*T6*W6</f>
        <v>7200000</v>
      </c>
      <c r="AC6" s="64" t="s">
        <v>57</v>
      </c>
    </row>
    <row r="7" spans="1:30" s="12" customFormat="1" ht="19.5" customHeight="1">
      <c r="A7" s="41" t="s">
        <v>30</v>
      </c>
      <c r="B7" s="445" t="s">
        <v>17</v>
      </c>
      <c r="C7" s="446"/>
      <c r="D7" s="243">
        <f>D8</f>
        <v>7955</v>
      </c>
      <c r="E7" s="243">
        <f t="shared" ref="E7:J7" si="0">E8</f>
        <v>3504</v>
      </c>
      <c r="F7" s="243">
        <f>F8</f>
        <v>3224</v>
      </c>
      <c r="G7" s="243">
        <f t="shared" si="0"/>
        <v>280</v>
      </c>
      <c r="H7" s="243">
        <f t="shared" si="0"/>
        <v>0</v>
      </c>
      <c r="I7" s="243">
        <v>0</v>
      </c>
      <c r="J7" s="243">
        <f t="shared" si="0"/>
        <v>0</v>
      </c>
      <c r="K7" s="244">
        <f>E7-D7</f>
        <v>-4451</v>
      </c>
      <c r="L7" s="245">
        <f>IF(D7=0,0,K7/D7)</f>
        <v>-0.55952231301068511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50875000</v>
      </c>
      <c r="AC7" s="50" t="s">
        <v>25</v>
      </c>
      <c r="AD7" s="6"/>
    </row>
    <row r="8" spans="1:30" ht="21" customHeight="1" thickBot="1">
      <c r="A8" s="51"/>
      <c r="B8" s="226" t="s">
        <v>70</v>
      </c>
      <c r="C8" s="370" t="s">
        <v>68</v>
      </c>
      <c r="D8" s="43">
        <f>D9</f>
        <v>7955</v>
      </c>
      <c r="E8" s="43">
        <f t="shared" ref="E8:J8" si="1">E9</f>
        <v>3504</v>
      </c>
      <c r="F8" s="43">
        <f>F9</f>
        <v>3224</v>
      </c>
      <c r="G8" s="43">
        <f t="shared" si="1"/>
        <v>280</v>
      </c>
      <c r="H8" s="43">
        <f t="shared" si="1"/>
        <v>0</v>
      </c>
      <c r="I8" s="243">
        <v>0</v>
      </c>
      <c r="J8" s="43">
        <f t="shared" si="1"/>
        <v>0</v>
      </c>
      <c r="K8" s="44">
        <f>E8-D8</f>
        <v>-4451</v>
      </c>
      <c r="L8" s="45">
        <f>IF(D8=0,0,K8/D8)</f>
        <v>-0.55952231301068511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50875000</v>
      </c>
      <c r="AC8" s="77" t="s">
        <v>67</v>
      </c>
    </row>
    <row r="9" spans="1:30" ht="21" customHeight="1" thickBot="1">
      <c r="A9" s="51"/>
      <c r="B9" s="371"/>
      <c r="C9" s="462" t="s">
        <v>323</v>
      </c>
      <c r="D9" s="43">
        <v>7955</v>
      </c>
      <c r="E9" s="43">
        <f>AB9/1000</f>
        <v>3504</v>
      </c>
      <c r="F9" s="43">
        <f>(AB10)/1000</f>
        <v>3224</v>
      </c>
      <c r="G9" s="43">
        <f>SUM(AB11:AB12)/1000</f>
        <v>280</v>
      </c>
      <c r="H9" s="43">
        <v>0</v>
      </c>
      <c r="I9" s="43">
        <v>0</v>
      </c>
      <c r="J9" s="43">
        <v>0</v>
      </c>
      <c r="K9" s="44">
        <f>E9-D9</f>
        <v>-4451</v>
      </c>
      <c r="L9" s="45">
        <f>IF(D9=0,0,K9/D9)</f>
        <v>-0.55952231301068511</v>
      </c>
      <c r="M9" s="198" t="s">
        <v>324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SUM(AB10:AB12)</f>
        <v>3504000</v>
      </c>
      <c r="AC9" s="104" t="s">
        <v>25</v>
      </c>
    </row>
    <row r="10" spans="1:30" ht="21" customHeight="1">
      <c r="A10" s="51"/>
      <c r="B10" s="371"/>
      <c r="C10" s="463"/>
      <c r="D10" s="54"/>
      <c r="E10" s="54"/>
      <c r="F10" s="54"/>
      <c r="G10" s="54"/>
      <c r="H10" s="54"/>
      <c r="I10" s="54"/>
      <c r="J10" s="54"/>
      <c r="K10" s="376"/>
      <c r="L10" s="37"/>
      <c r="M10" s="270" t="s">
        <v>291</v>
      </c>
      <c r="N10" s="268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71"/>
      <c r="AB10" s="272">
        <v>3224000</v>
      </c>
      <c r="AC10" s="273" t="s">
        <v>57</v>
      </c>
    </row>
    <row r="11" spans="1:30" ht="21" customHeight="1">
      <c r="A11" s="51"/>
      <c r="B11" s="371"/>
      <c r="C11" s="371"/>
      <c r="D11" s="54"/>
      <c r="E11" s="54"/>
      <c r="F11" s="54"/>
      <c r="G11" s="54"/>
      <c r="H11" s="54"/>
      <c r="I11" s="54"/>
      <c r="J11" s="54"/>
      <c r="K11" s="376"/>
      <c r="L11" s="37"/>
      <c r="M11" s="270" t="s">
        <v>294</v>
      </c>
      <c r="N11" s="274"/>
      <c r="O11" s="275"/>
      <c r="P11" s="275"/>
      <c r="Q11" s="368"/>
      <c r="R11" s="368"/>
      <c r="S11" s="369"/>
      <c r="T11" s="368"/>
      <c r="U11" s="368"/>
      <c r="V11" s="369"/>
      <c r="W11" s="368"/>
      <c r="X11" s="368"/>
      <c r="Y11" s="368"/>
      <c r="Z11" s="368"/>
      <c r="AA11" s="84"/>
      <c r="AB11" s="84">
        <v>150000</v>
      </c>
      <c r="AC11" s="64" t="s">
        <v>57</v>
      </c>
    </row>
    <row r="12" spans="1:30" ht="21" customHeight="1">
      <c r="A12" s="51"/>
      <c r="B12" s="371"/>
      <c r="C12" s="371"/>
      <c r="D12" s="54"/>
      <c r="E12" s="54"/>
      <c r="F12" s="54"/>
      <c r="G12" s="54"/>
      <c r="H12" s="54"/>
      <c r="I12" s="54"/>
      <c r="J12" s="54"/>
      <c r="K12" s="376"/>
      <c r="L12" s="37"/>
      <c r="M12" s="270" t="s">
        <v>295</v>
      </c>
      <c r="N12" s="268"/>
      <c r="O12" s="269"/>
      <c r="P12" s="269"/>
      <c r="Q12" s="395">
        <v>10850</v>
      </c>
      <c r="R12" s="395" t="s">
        <v>57</v>
      </c>
      <c r="S12" s="396" t="s">
        <v>58</v>
      </c>
      <c r="T12" s="395">
        <v>1</v>
      </c>
      <c r="U12" s="395" t="s">
        <v>56</v>
      </c>
      <c r="V12" s="396" t="s">
        <v>58</v>
      </c>
      <c r="W12" s="395">
        <v>12</v>
      </c>
      <c r="X12" s="395" t="s">
        <v>0</v>
      </c>
      <c r="Y12" s="395" t="s">
        <v>53</v>
      </c>
      <c r="Z12" s="395"/>
      <c r="AA12" s="84"/>
      <c r="AB12" s="84">
        <f>SUM(Q12*T12*W12)-200</f>
        <v>130000</v>
      </c>
      <c r="AC12" s="64" t="s">
        <v>57</v>
      </c>
    </row>
    <row r="13" spans="1:30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77"/>
      <c r="L13" s="372"/>
      <c r="M13" s="373"/>
      <c r="N13" s="374"/>
      <c r="O13" s="375"/>
      <c r="P13" s="375"/>
      <c r="Q13" s="366"/>
      <c r="R13" s="366"/>
      <c r="S13" s="367"/>
      <c r="T13" s="366"/>
      <c r="U13" s="366"/>
      <c r="V13" s="367"/>
      <c r="W13" s="366"/>
      <c r="X13" s="366"/>
      <c r="Y13" s="366"/>
      <c r="Z13" s="366"/>
      <c r="AA13" s="89"/>
      <c r="AB13" s="89"/>
      <c r="AC13" s="90"/>
    </row>
    <row r="14" spans="1:30" ht="21" customHeight="1" thickBot="1">
      <c r="A14" s="51"/>
      <c r="B14" s="371"/>
      <c r="C14" s="462" t="s">
        <v>329</v>
      </c>
      <c r="D14" s="54">
        <v>18562</v>
      </c>
      <c r="E14" s="43">
        <f>AB14/1000</f>
        <v>47371</v>
      </c>
      <c r="F14" s="54">
        <f>SUM(AB15)/1000</f>
        <v>44901</v>
      </c>
      <c r="G14" s="54">
        <f>SUM(AB16:AB18)/1000</f>
        <v>2470</v>
      </c>
      <c r="H14" s="43">
        <v>0</v>
      </c>
      <c r="I14" s="43">
        <v>0</v>
      </c>
      <c r="J14" s="43">
        <v>0</v>
      </c>
      <c r="K14" s="44">
        <f>E14-D14</f>
        <v>28809</v>
      </c>
      <c r="L14" s="45">
        <f>IF(D14=0,0,K14/D14)</f>
        <v>1.5520418058398879</v>
      </c>
      <c r="M14" s="198" t="s">
        <v>327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SUM(AB15:AB18)</f>
        <v>47371000</v>
      </c>
      <c r="AC14" s="104" t="s">
        <v>25</v>
      </c>
    </row>
    <row r="15" spans="1:30" ht="21" customHeight="1">
      <c r="A15" s="51"/>
      <c r="B15" s="371"/>
      <c r="C15" s="463"/>
      <c r="D15" s="54"/>
      <c r="E15" s="54"/>
      <c r="F15" s="54"/>
      <c r="G15" s="54"/>
      <c r="H15" s="54"/>
      <c r="I15" s="54"/>
      <c r="J15" s="54"/>
      <c r="K15" s="55"/>
      <c r="L15" s="37"/>
      <c r="M15" s="270" t="s">
        <v>292</v>
      </c>
      <c r="N15" s="268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71"/>
      <c r="AB15" s="272">
        <v>44901000</v>
      </c>
      <c r="AC15" s="273" t="s">
        <v>57</v>
      </c>
    </row>
    <row r="16" spans="1:30" ht="21" customHeight="1">
      <c r="A16" s="51"/>
      <c r="B16" s="371"/>
      <c r="C16" s="371"/>
      <c r="D16" s="54"/>
      <c r="E16" s="54"/>
      <c r="F16" s="54"/>
      <c r="G16" s="54"/>
      <c r="H16" s="54"/>
      <c r="I16" s="54"/>
      <c r="J16" s="54"/>
      <c r="K16" s="55"/>
      <c r="L16" s="37"/>
      <c r="M16" s="270" t="s">
        <v>293</v>
      </c>
      <c r="N16" s="274"/>
      <c r="O16" s="275"/>
      <c r="P16" s="275"/>
      <c r="Q16" s="368"/>
      <c r="R16" s="368"/>
      <c r="S16" s="369"/>
      <c r="T16" s="368"/>
      <c r="U16" s="368"/>
      <c r="V16" s="369"/>
      <c r="W16" s="368"/>
      <c r="X16" s="368"/>
      <c r="Y16" s="368"/>
      <c r="Z16" s="368"/>
      <c r="AA16" s="84"/>
      <c r="AB16" s="84">
        <v>850000</v>
      </c>
      <c r="AC16" s="64" t="s">
        <v>57</v>
      </c>
    </row>
    <row r="17" spans="1:31" ht="21" customHeight="1">
      <c r="A17" s="51"/>
      <c r="B17" s="371"/>
      <c r="C17" s="371"/>
      <c r="D17" s="54"/>
      <c r="E17" s="54"/>
      <c r="F17" s="54"/>
      <c r="G17" s="54"/>
      <c r="H17" s="54"/>
      <c r="I17" s="54"/>
      <c r="J17" s="54"/>
      <c r="K17" s="55"/>
      <c r="L17" s="37"/>
      <c r="M17" s="270" t="s">
        <v>313</v>
      </c>
      <c r="N17" s="274"/>
      <c r="O17" s="275"/>
      <c r="P17" s="275"/>
      <c r="Q17" s="368"/>
      <c r="R17" s="368"/>
      <c r="S17" s="369"/>
      <c r="T17" s="368"/>
      <c r="U17" s="368"/>
      <c r="V17" s="369"/>
      <c r="W17" s="368"/>
      <c r="X17" s="368"/>
      <c r="Y17" s="368"/>
      <c r="Z17" s="368"/>
      <c r="AA17" s="84"/>
      <c r="AB17" s="84">
        <v>200000</v>
      </c>
      <c r="AC17" s="64" t="s">
        <v>57</v>
      </c>
    </row>
    <row r="18" spans="1:31" ht="21" customHeight="1">
      <c r="A18" s="51"/>
      <c r="B18" s="371"/>
      <c r="C18" s="371"/>
      <c r="D18" s="54"/>
      <c r="E18" s="54"/>
      <c r="F18" s="54"/>
      <c r="G18" s="54"/>
      <c r="H18" s="54"/>
      <c r="I18" s="54"/>
      <c r="J18" s="54"/>
      <c r="K18" s="55"/>
      <c r="L18" s="37"/>
      <c r="M18" s="270" t="s">
        <v>365</v>
      </c>
      <c r="N18" s="268"/>
      <c r="O18" s="269"/>
      <c r="P18" s="269"/>
      <c r="Q18" s="368">
        <v>118350</v>
      </c>
      <c r="R18" s="368" t="s">
        <v>57</v>
      </c>
      <c r="S18" s="369" t="s">
        <v>58</v>
      </c>
      <c r="T18" s="368">
        <v>1</v>
      </c>
      <c r="U18" s="368" t="s">
        <v>56</v>
      </c>
      <c r="V18" s="369" t="s">
        <v>58</v>
      </c>
      <c r="W18" s="368">
        <v>12</v>
      </c>
      <c r="X18" s="368" t="s">
        <v>0</v>
      </c>
      <c r="Y18" s="368" t="s">
        <v>53</v>
      </c>
      <c r="Z18" s="368"/>
      <c r="AA18" s="84"/>
      <c r="AB18" s="84">
        <v>1420000</v>
      </c>
      <c r="AC18" s="64" t="s">
        <v>57</v>
      </c>
    </row>
    <row r="19" spans="1:31" s="12" customFormat="1" ht="19.5" customHeight="1">
      <c r="A19" s="51"/>
      <c r="B19" s="392"/>
      <c r="C19" s="392"/>
      <c r="D19" s="54"/>
      <c r="E19" s="54"/>
      <c r="F19" s="54"/>
      <c r="G19" s="54"/>
      <c r="H19" s="54"/>
      <c r="I19" s="54"/>
      <c r="J19" s="54"/>
      <c r="K19" s="55"/>
      <c r="L19" s="87"/>
      <c r="M19" s="83"/>
      <c r="N19" s="395"/>
      <c r="O19" s="61"/>
      <c r="P19" s="61"/>
      <c r="Q19" s="395"/>
      <c r="R19" s="395"/>
      <c r="S19" s="395"/>
      <c r="T19" s="395"/>
      <c r="U19" s="395"/>
      <c r="V19" s="396"/>
      <c r="W19" s="396"/>
      <c r="X19" s="396"/>
      <c r="Y19" s="396"/>
      <c r="Z19" s="396"/>
      <c r="AA19" s="396"/>
      <c r="AB19" s="395"/>
      <c r="AC19" s="64"/>
      <c r="AD19" s="6"/>
    </row>
    <row r="20" spans="1:31" s="12" customFormat="1" ht="19.5" customHeight="1">
      <c r="A20" s="51"/>
      <c r="B20" s="392"/>
      <c r="C20" s="392"/>
      <c r="D20" s="54"/>
      <c r="E20" s="54"/>
      <c r="F20" s="54"/>
      <c r="G20" s="54"/>
      <c r="H20" s="54"/>
      <c r="I20" s="54"/>
      <c r="J20" s="54"/>
      <c r="K20" s="55"/>
      <c r="L20" s="87"/>
      <c r="M20" s="83"/>
      <c r="N20" s="395"/>
      <c r="O20" s="61"/>
      <c r="P20" s="61"/>
      <c r="Q20" s="395"/>
      <c r="R20" s="395"/>
      <c r="S20" s="395"/>
      <c r="T20" s="395"/>
      <c r="U20" s="395"/>
      <c r="V20" s="396"/>
      <c r="W20" s="396"/>
      <c r="X20" s="396"/>
      <c r="Y20" s="396"/>
      <c r="Z20" s="396"/>
      <c r="AA20" s="396"/>
      <c r="AB20" s="395"/>
      <c r="AC20" s="64"/>
      <c r="AD20" s="6"/>
    </row>
    <row r="21" spans="1:31" ht="21" customHeight="1" thickBot="1">
      <c r="A21" s="41" t="s">
        <v>76</v>
      </c>
      <c r="B21" s="370" t="s">
        <v>13</v>
      </c>
      <c r="C21" s="370" t="s">
        <v>121</v>
      </c>
      <c r="D21" s="43">
        <v>6350</v>
      </c>
      <c r="E21" s="43">
        <f>SUM(F21:J21)</f>
        <v>0</v>
      </c>
      <c r="F21" s="43">
        <v>0</v>
      </c>
      <c r="G21" s="43">
        <v>0</v>
      </c>
      <c r="H21" s="43">
        <v>0</v>
      </c>
      <c r="I21" s="43">
        <v>0</v>
      </c>
      <c r="J21" s="43">
        <f>AB21/1000</f>
        <v>0</v>
      </c>
      <c r="K21" s="44">
        <f>E21-D21</f>
        <v>-6350</v>
      </c>
      <c r="L21" s="45">
        <f>IF(D21=0,0,K21/D21)</f>
        <v>-1</v>
      </c>
      <c r="M21" s="46" t="s">
        <v>31</v>
      </c>
      <c r="N21" s="112"/>
      <c r="O21" s="36"/>
      <c r="P21" s="36"/>
      <c r="Q21" s="36"/>
      <c r="R21" s="36"/>
      <c r="S21" s="36"/>
      <c r="T21" s="36"/>
      <c r="U21" s="113" t="s">
        <v>71</v>
      </c>
      <c r="V21" s="113"/>
      <c r="W21" s="113"/>
      <c r="X21" s="113"/>
      <c r="Y21" s="113"/>
      <c r="Z21" s="113"/>
      <c r="AA21" s="114"/>
      <c r="AB21" s="114">
        <f>SUM(AB22:AB22)</f>
        <v>0</v>
      </c>
      <c r="AC21" s="115" t="s">
        <v>25</v>
      </c>
      <c r="AD21" s="23"/>
      <c r="AE21" s="24"/>
    </row>
    <row r="22" spans="1:31" ht="21" customHeight="1">
      <c r="A22" s="51"/>
      <c r="B22" s="371"/>
      <c r="C22" s="371" t="s">
        <v>122</v>
      </c>
      <c r="D22" s="54"/>
      <c r="E22" s="54"/>
      <c r="F22" s="54"/>
      <c r="G22" s="54"/>
      <c r="H22" s="54"/>
      <c r="I22" s="54"/>
      <c r="J22" s="54"/>
      <c r="K22" s="55"/>
      <c r="L22" s="35"/>
      <c r="M22" s="369"/>
      <c r="N22" s="369"/>
      <c r="O22" s="368"/>
      <c r="P22" s="368"/>
      <c r="Q22" s="85"/>
      <c r="R22" s="86"/>
      <c r="S22" s="276"/>
      <c r="T22" s="91"/>
      <c r="U22" s="277"/>
      <c r="V22" s="278"/>
      <c r="W22" s="262"/>
      <c r="X22" s="262"/>
      <c r="Y22" s="262"/>
      <c r="Z22" s="368"/>
      <c r="AA22" s="84"/>
      <c r="AB22" s="84"/>
      <c r="AC22" s="64"/>
      <c r="AD22" s="23"/>
      <c r="AE22" s="24"/>
    </row>
    <row r="23" spans="1:31" s="4" customFormat="1" ht="21" customHeight="1" thickBot="1">
      <c r="A23" s="41" t="s">
        <v>262</v>
      </c>
      <c r="B23" s="371" t="s">
        <v>262</v>
      </c>
      <c r="C23" s="371" t="s">
        <v>263</v>
      </c>
      <c r="D23" s="54">
        <v>100</v>
      </c>
      <c r="E23" s="54">
        <f>I23</f>
        <v>200</v>
      </c>
      <c r="F23" s="54"/>
      <c r="G23" s="54"/>
      <c r="H23" s="54"/>
      <c r="I23" s="54">
        <f>AB24/1000</f>
        <v>200</v>
      </c>
      <c r="J23" s="54"/>
      <c r="K23" s="44">
        <f>E23-D23</f>
        <v>100</v>
      </c>
      <c r="L23" s="45">
        <f>IF(D23=0,0,K23/D23)</f>
        <v>1</v>
      </c>
      <c r="M23" s="46" t="s">
        <v>259</v>
      </c>
      <c r="N23" s="321"/>
      <c r="O23" s="248"/>
      <c r="P23" s="248"/>
      <c r="Q23" s="85"/>
      <c r="R23" s="86"/>
      <c r="S23" s="276"/>
      <c r="T23" s="91"/>
      <c r="U23" s="113" t="s">
        <v>69</v>
      </c>
      <c r="V23" s="113"/>
      <c r="W23" s="113"/>
      <c r="X23" s="113"/>
      <c r="Y23" s="113"/>
      <c r="Z23" s="113"/>
      <c r="AA23" s="114"/>
      <c r="AB23" s="114">
        <f>SUM(AB24:AB25)</f>
        <v>200000</v>
      </c>
      <c r="AC23" s="115" t="s">
        <v>25</v>
      </c>
      <c r="AD23" s="319"/>
      <c r="AE23" s="320"/>
    </row>
    <row r="24" spans="1:31" ht="21" customHeight="1">
      <c r="A24" s="51"/>
      <c r="B24" s="371"/>
      <c r="C24" s="371" t="s">
        <v>262</v>
      </c>
      <c r="D24" s="54"/>
      <c r="E24" s="54"/>
      <c r="F24" s="54"/>
      <c r="G24" s="54"/>
      <c r="H24" s="54"/>
      <c r="I24" s="54"/>
      <c r="J24" s="54"/>
      <c r="K24" s="55"/>
      <c r="L24" s="35"/>
      <c r="M24" s="369" t="s">
        <v>261</v>
      </c>
      <c r="N24" s="249"/>
      <c r="O24" s="248"/>
      <c r="P24" s="248"/>
      <c r="Q24" s="85"/>
      <c r="R24" s="86"/>
      <c r="S24" s="276"/>
      <c r="T24" s="91"/>
      <c r="U24" s="277"/>
      <c r="V24" s="278"/>
      <c r="W24" s="262"/>
      <c r="X24" s="262"/>
      <c r="Y24" s="262"/>
      <c r="Z24" s="368"/>
      <c r="AA24" s="84"/>
      <c r="AB24" s="84">
        <v>200000</v>
      </c>
      <c r="AC24" s="64" t="s">
        <v>258</v>
      </c>
      <c r="AD24" s="23"/>
      <c r="AE24" s="24"/>
    </row>
    <row r="25" spans="1:31" s="4" customFormat="1" ht="21" customHeight="1">
      <c r="A25" s="51"/>
      <c r="B25" s="371"/>
      <c r="C25" s="371"/>
      <c r="D25" s="54"/>
      <c r="E25" s="54"/>
      <c r="F25" s="54"/>
      <c r="G25" s="54"/>
      <c r="H25" s="54"/>
      <c r="I25" s="54"/>
      <c r="J25" s="54"/>
      <c r="K25" s="55"/>
      <c r="L25" s="87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116"/>
      <c r="AC25" s="64"/>
      <c r="AD25" s="7"/>
    </row>
    <row r="26" spans="1:31" ht="21" customHeight="1" thickBot="1">
      <c r="A26" s="41" t="s">
        <v>14</v>
      </c>
      <c r="B26" s="370" t="s">
        <v>14</v>
      </c>
      <c r="C26" s="370" t="s">
        <v>77</v>
      </c>
      <c r="D26" s="43">
        <v>0</v>
      </c>
      <c r="E26" s="43">
        <f>SUM(F26:J26)</f>
        <v>6003</v>
      </c>
      <c r="F26" s="43">
        <f>ROUND(SUM(AB27),-3)/1000</f>
        <v>203</v>
      </c>
      <c r="G26" s="43">
        <v>0</v>
      </c>
      <c r="H26" s="43">
        <f>AB28/1000</f>
        <v>5000</v>
      </c>
      <c r="I26" s="43">
        <f>AB30/1000</f>
        <v>800</v>
      </c>
      <c r="J26" s="43">
        <v>0</v>
      </c>
      <c r="K26" s="44">
        <f>E26-D26</f>
        <v>6003</v>
      </c>
      <c r="L26" s="45">
        <f>IF(D26=0,0,K26/D26)</f>
        <v>0</v>
      </c>
      <c r="M26" s="46" t="s">
        <v>260</v>
      </c>
      <c r="N26" s="112"/>
      <c r="O26" s="48"/>
      <c r="P26" s="48"/>
      <c r="Q26" s="48"/>
      <c r="R26" s="48"/>
      <c r="S26" s="48"/>
      <c r="T26" s="48"/>
      <c r="U26" s="113" t="s">
        <v>69</v>
      </c>
      <c r="V26" s="113"/>
      <c r="W26" s="113"/>
      <c r="X26" s="113"/>
      <c r="Y26" s="113"/>
      <c r="Z26" s="113"/>
      <c r="AA26" s="114"/>
      <c r="AB26" s="114">
        <f>SUM(AB27:AB30)</f>
        <v>6003000</v>
      </c>
      <c r="AC26" s="115" t="s">
        <v>25</v>
      </c>
    </row>
    <row r="27" spans="1:31" ht="21" customHeight="1">
      <c r="A27" s="51"/>
      <c r="B27" s="371"/>
      <c r="C27" s="371" t="s">
        <v>296</v>
      </c>
      <c r="D27" s="54"/>
      <c r="E27" s="54"/>
      <c r="F27" s="54"/>
      <c r="G27" s="54"/>
      <c r="H27" s="54"/>
      <c r="I27" s="54"/>
      <c r="J27" s="54"/>
      <c r="K27" s="55"/>
      <c r="L27" s="87"/>
      <c r="M27" s="83" t="s">
        <v>375</v>
      </c>
      <c r="N27" s="369"/>
      <c r="O27" s="368"/>
      <c r="P27" s="368"/>
      <c r="Q27" s="368"/>
      <c r="R27" s="368"/>
      <c r="S27" s="368"/>
      <c r="T27" s="368"/>
      <c r="U27" s="60"/>
      <c r="V27" s="60"/>
      <c r="W27" s="60"/>
      <c r="X27" s="368"/>
      <c r="Y27" s="368"/>
      <c r="Z27" s="368"/>
      <c r="AA27" s="84"/>
      <c r="AB27" s="84">
        <v>203000</v>
      </c>
      <c r="AC27" s="64" t="s">
        <v>162</v>
      </c>
    </row>
    <row r="28" spans="1:31" ht="21" customHeight="1">
      <c r="A28" s="51"/>
      <c r="B28" s="371"/>
      <c r="C28" s="371"/>
      <c r="D28" s="54"/>
      <c r="E28" s="54"/>
      <c r="F28" s="54"/>
      <c r="G28" s="54"/>
      <c r="H28" s="54"/>
      <c r="I28" s="54"/>
      <c r="J28" s="54"/>
      <c r="K28" s="55"/>
      <c r="L28" s="87"/>
      <c r="M28" s="83" t="s">
        <v>163</v>
      </c>
      <c r="N28" s="369"/>
      <c r="O28" s="368"/>
      <c r="P28" s="368"/>
      <c r="Q28" s="368"/>
      <c r="R28" s="36"/>
      <c r="S28" s="368"/>
      <c r="T28" s="368"/>
      <c r="U28" s="368"/>
      <c r="V28" s="368"/>
      <c r="W28" s="368"/>
      <c r="X28" s="368"/>
      <c r="Y28" s="368"/>
      <c r="Z28" s="368"/>
      <c r="AA28" s="368"/>
      <c r="AB28" s="368">
        <v>5000000</v>
      </c>
      <c r="AC28" s="64" t="s">
        <v>162</v>
      </c>
    </row>
    <row r="29" spans="1:31" ht="21" customHeight="1">
      <c r="A29" s="51"/>
      <c r="B29" s="371"/>
      <c r="C29" s="371"/>
      <c r="D29" s="54"/>
      <c r="E29" s="54"/>
      <c r="F29" s="54"/>
      <c r="G29" s="54"/>
      <c r="H29" s="54"/>
      <c r="I29" s="54"/>
      <c r="J29" s="54"/>
      <c r="K29" s="55"/>
      <c r="L29" s="87"/>
      <c r="M29" s="83" t="s">
        <v>164</v>
      </c>
      <c r="N29" s="369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>
        <v>0</v>
      </c>
      <c r="AC29" s="64" t="s">
        <v>162</v>
      </c>
    </row>
    <row r="30" spans="1:31" ht="21" customHeight="1">
      <c r="A30" s="51"/>
      <c r="B30" s="371"/>
      <c r="C30" s="371"/>
      <c r="D30" s="54"/>
      <c r="E30" s="54"/>
      <c r="F30" s="54"/>
      <c r="G30" s="54"/>
      <c r="H30" s="54"/>
      <c r="I30" s="54"/>
      <c r="J30" s="54"/>
      <c r="K30" s="55"/>
      <c r="L30" s="87"/>
      <c r="M30" s="83" t="s">
        <v>288</v>
      </c>
      <c r="N30" s="369"/>
      <c r="O30" s="368"/>
      <c r="P30" s="368"/>
      <c r="Q30" s="368"/>
      <c r="R30" s="36"/>
      <c r="S30" s="368"/>
      <c r="T30" s="368"/>
      <c r="U30" s="368"/>
      <c r="V30" s="368"/>
      <c r="W30" s="368"/>
      <c r="X30" s="368"/>
      <c r="Y30" s="368"/>
      <c r="Z30" s="368"/>
      <c r="AA30" s="368"/>
      <c r="AB30" s="368">
        <v>800000</v>
      </c>
      <c r="AC30" s="64" t="s">
        <v>57</v>
      </c>
    </row>
    <row r="31" spans="1:31" ht="21" customHeight="1">
      <c r="A31" s="51"/>
      <c r="B31" s="371"/>
      <c r="C31" s="371"/>
      <c r="D31" s="54"/>
      <c r="E31" s="54"/>
      <c r="F31" s="54"/>
      <c r="G31" s="54"/>
      <c r="H31" s="54"/>
      <c r="I31" s="54"/>
      <c r="J31" s="54"/>
      <c r="K31" s="55"/>
      <c r="L31" s="87"/>
      <c r="M31" s="83"/>
      <c r="N31" s="369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64"/>
    </row>
    <row r="32" spans="1:31" ht="21" customHeight="1">
      <c r="A32" s="41" t="s">
        <v>78</v>
      </c>
      <c r="B32" s="108" t="s">
        <v>16</v>
      </c>
      <c r="C32" s="108" t="s">
        <v>79</v>
      </c>
      <c r="D32" s="43">
        <f>D35</f>
        <v>10</v>
      </c>
      <c r="E32" s="43">
        <f>SUM(E33,E35)</f>
        <v>11</v>
      </c>
      <c r="F32" s="43">
        <f>SUM(F33,F35)</f>
        <v>11</v>
      </c>
      <c r="G32" s="43">
        <f>SUM(G33,G35)</f>
        <v>0</v>
      </c>
      <c r="H32" s="43">
        <f>SUM(H33,H35)</f>
        <v>0</v>
      </c>
      <c r="I32" s="43">
        <v>0</v>
      </c>
      <c r="J32" s="43">
        <f>SUM(J33,J35)</f>
        <v>0</v>
      </c>
      <c r="K32" s="44">
        <f>E32-D32</f>
        <v>1</v>
      </c>
      <c r="L32" s="45">
        <f>IF(D32=0,0,K32/D32)</f>
        <v>0.1</v>
      </c>
      <c r="M32" s="67" t="s">
        <v>80</v>
      </c>
      <c r="N32" s="69"/>
      <c r="O32" s="48"/>
      <c r="P32" s="48"/>
      <c r="Q32" s="48"/>
      <c r="R32" s="48"/>
      <c r="S32" s="48"/>
      <c r="T32" s="48"/>
      <c r="U32" s="48" t="s">
        <v>119</v>
      </c>
      <c r="V32" s="48"/>
      <c r="W32" s="48"/>
      <c r="X32" s="48"/>
      <c r="Y32" s="48"/>
      <c r="Z32" s="48"/>
      <c r="AA32" s="49"/>
      <c r="AB32" s="49">
        <f>AB33+AB35</f>
        <v>11000</v>
      </c>
      <c r="AC32" s="50" t="s">
        <v>25</v>
      </c>
    </row>
    <row r="33" spans="1:30" ht="21" customHeight="1">
      <c r="A33" s="51"/>
      <c r="B33" s="120"/>
      <c r="C33" s="108" t="s">
        <v>125</v>
      </c>
      <c r="D33" s="43">
        <v>0</v>
      </c>
      <c r="E33" s="43">
        <f>SUM(F33:J33)</f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4">
        <f>E33-D33</f>
        <v>0</v>
      </c>
      <c r="L33" s="45"/>
      <c r="M33" s="121" t="s">
        <v>82</v>
      </c>
      <c r="N33" s="253"/>
      <c r="O33" s="252"/>
      <c r="P33" s="252"/>
      <c r="Q33" s="252"/>
      <c r="R33" s="252"/>
      <c r="S33" s="252"/>
      <c r="T33" s="252"/>
      <c r="U33" s="252" t="s">
        <v>120</v>
      </c>
      <c r="V33" s="252"/>
      <c r="W33" s="252"/>
      <c r="X33" s="252"/>
      <c r="Y33" s="252"/>
      <c r="Z33" s="252"/>
      <c r="AA33" s="118"/>
      <c r="AB33" s="118">
        <v>0</v>
      </c>
      <c r="AC33" s="119" t="s">
        <v>81</v>
      </c>
    </row>
    <row r="34" spans="1:30" s="12" customFormat="1" ht="19.5" customHeight="1">
      <c r="A34" s="70"/>
      <c r="B34" s="122"/>
      <c r="C34" s="66" t="s">
        <v>83</v>
      </c>
      <c r="D34" s="78"/>
      <c r="E34" s="78"/>
      <c r="F34" s="78"/>
      <c r="G34" s="78"/>
      <c r="H34" s="78"/>
      <c r="I34" s="78"/>
      <c r="J34" s="78"/>
      <c r="K34" s="79"/>
      <c r="L34" s="105"/>
      <c r="M34" s="88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90"/>
      <c r="AD34" s="6"/>
    </row>
    <row r="35" spans="1:30" ht="21" customHeight="1">
      <c r="A35" s="51"/>
      <c r="B35" s="371"/>
      <c r="C35" s="371" t="s">
        <v>123</v>
      </c>
      <c r="D35" s="54">
        <v>10</v>
      </c>
      <c r="E35" s="43">
        <f>SUM(F35:J35)</f>
        <v>11</v>
      </c>
      <c r="F35" s="43">
        <f>AB35/1000</f>
        <v>11</v>
      </c>
      <c r="G35" s="43">
        <v>0</v>
      </c>
      <c r="H35" s="43">
        <v>0</v>
      </c>
      <c r="I35" s="43">
        <v>0</v>
      </c>
      <c r="J35" s="43">
        <v>0</v>
      </c>
      <c r="K35" s="55">
        <f>E35-D35</f>
        <v>1</v>
      </c>
      <c r="L35" s="45">
        <f>IF(D35=0,0,K35/D35)</f>
        <v>0.1</v>
      </c>
      <c r="M35" s="123" t="s">
        <v>84</v>
      </c>
      <c r="N35" s="249"/>
      <c r="O35" s="248"/>
      <c r="P35" s="248"/>
      <c r="Q35" s="248"/>
      <c r="R35" s="248"/>
      <c r="S35" s="248"/>
      <c r="T35" s="248"/>
      <c r="U35" s="248" t="s">
        <v>120</v>
      </c>
      <c r="V35" s="248"/>
      <c r="W35" s="248"/>
      <c r="X35" s="248"/>
      <c r="Y35" s="248"/>
      <c r="Z35" s="248"/>
      <c r="AA35" s="58"/>
      <c r="AB35" s="58">
        <v>11000</v>
      </c>
      <c r="AC35" s="40" t="s">
        <v>25</v>
      </c>
    </row>
    <row r="36" spans="1:30" s="12" customFormat="1" ht="19.5" customHeight="1" thickBot="1">
      <c r="A36" s="384"/>
      <c r="B36" s="125"/>
      <c r="C36" s="126" t="s">
        <v>124</v>
      </c>
      <c r="D36" s="127"/>
      <c r="E36" s="127"/>
      <c r="F36" s="127"/>
      <c r="G36" s="127"/>
      <c r="H36" s="127"/>
      <c r="I36" s="127"/>
      <c r="J36" s="127"/>
      <c r="K36" s="128"/>
      <c r="L36" s="129"/>
      <c r="M36" s="80"/>
      <c r="N36" s="82"/>
      <c r="O36" s="82"/>
      <c r="P36" s="82"/>
      <c r="Q36" s="82"/>
      <c r="R36" s="82"/>
      <c r="S36" s="82"/>
      <c r="T36" s="82"/>
      <c r="U36" s="447"/>
      <c r="V36" s="447"/>
      <c r="W36" s="82"/>
      <c r="X36" s="82"/>
      <c r="Y36" s="82"/>
      <c r="Z36" s="82"/>
      <c r="AA36" s="82"/>
      <c r="AB36" s="385"/>
      <c r="AC36" s="386" t="s">
        <v>25</v>
      </c>
      <c r="AD36" s="6"/>
    </row>
    <row r="47" spans="1:30" ht="19.5" customHeight="1">
      <c r="AD47" s="6" t="s">
        <v>64</v>
      </c>
    </row>
  </sheetData>
  <mergeCells count="11">
    <mergeCell ref="B7:C7"/>
    <mergeCell ref="U36:V36"/>
    <mergeCell ref="K2:L2"/>
    <mergeCell ref="M2:AC3"/>
    <mergeCell ref="A1:C1"/>
    <mergeCell ref="A2:C2"/>
    <mergeCell ref="D2:D3"/>
    <mergeCell ref="E2:J2"/>
    <mergeCell ref="A4:C4"/>
    <mergeCell ref="C9:C10"/>
    <mergeCell ref="C14:C15"/>
  </mergeCells>
  <phoneticPr fontId="7" type="noConversion"/>
  <printOptions horizontalCentered="1" verticalCentered="1"/>
  <pageMargins left="0" right="0" top="0.35433070866141736" bottom="0.35433070866141736" header="0.15748031496062992" footer="0.16"/>
  <pageSetup paperSize="9" scale="65" firstPageNumber="16" orientation="landscape" r:id="rId1"/>
  <headerFooter differentFirst="1" scaleWithDoc="0">
    <oddFooter>&amp;C&amp;P/&amp;N&amp;R장애인공동생활가정 바르나바의 집</oddFooter>
    <firstFooter>&amp;R장애인공동생활가정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G148"/>
  <sheetViews>
    <sheetView zoomScale="76" zoomScaleNormal="76" zoomScaleSheetLayoutView="100" workbookViewId="0">
      <selection activeCell="AC99" sqref="AC99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42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52" t="s">
        <v>377</v>
      </c>
      <c r="B1" s="452"/>
      <c r="C1" s="452"/>
      <c r="D1" s="130"/>
      <c r="E1" s="130"/>
      <c r="F1" s="130"/>
      <c r="G1" s="130"/>
      <c r="H1" s="130"/>
      <c r="I1" s="130"/>
      <c r="J1" s="130"/>
      <c r="K1" s="130"/>
      <c r="L1" s="224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1" s="3" customFormat="1" ht="21" customHeight="1">
      <c r="A2" s="453" t="s">
        <v>22</v>
      </c>
      <c r="B2" s="454"/>
      <c r="C2" s="454"/>
      <c r="D2" s="455" t="s">
        <v>307</v>
      </c>
      <c r="E2" s="457" t="s">
        <v>308</v>
      </c>
      <c r="F2" s="458"/>
      <c r="G2" s="458"/>
      <c r="H2" s="458"/>
      <c r="I2" s="458"/>
      <c r="J2" s="458"/>
      <c r="K2" s="448" t="s">
        <v>23</v>
      </c>
      <c r="L2" s="448"/>
      <c r="M2" s="475" t="s">
        <v>54</v>
      </c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7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56"/>
      <c r="E3" s="202" t="s">
        <v>127</v>
      </c>
      <c r="F3" s="362" t="s">
        <v>330</v>
      </c>
      <c r="G3" s="263" t="s">
        <v>165</v>
      </c>
      <c r="H3" s="202" t="s">
        <v>116</v>
      </c>
      <c r="I3" s="314" t="s">
        <v>262</v>
      </c>
      <c r="J3" s="202" t="s">
        <v>118</v>
      </c>
      <c r="K3" s="201" t="s">
        <v>128</v>
      </c>
      <c r="L3" s="131" t="s">
        <v>4</v>
      </c>
      <c r="M3" s="478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80"/>
    </row>
    <row r="4" spans="1:31" s="12" customFormat="1" ht="21" customHeight="1">
      <c r="A4" s="483" t="s">
        <v>32</v>
      </c>
      <c r="B4" s="484"/>
      <c r="C4" s="484"/>
      <c r="D4" s="217">
        <f>SUM(D5,D78,D91,D145)-1</f>
        <v>36727</v>
      </c>
      <c r="E4" s="217">
        <f>SUM(F4,G4,H4,J4,I4)</f>
        <v>64289.335960000011</v>
      </c>
      <c r="F4" s="217">
        <f>SUM(F5,F78,F91,F145)</f>
        <v>48339.000000000007</v>
      </c>
      <c r="G4" s="217">
        <f>SUM(G5,G78,G91,G145)</f>
        <v>2750</v>
      </c>
      <c r="H4" s="217">
        <f>SUM(H5,H78,H91,H145)</f>
        <v>12200.33596</v>
      </c>
      <c r="I4" s="217">
        <f>SUM(I5,I78,I91,I145,I113)</f>
        <v>1000</v>
      </c>
      <c r="J4" s="217">
        <f>SUM(J5,J78,J91,J145)</f>
        <v>0</v>
      </c>
      <c r="K4" s="216">
        <f>E4-D4</f>
        <v>27562.335960000011</v>
      </c>
      <c r="L4" s="218">
        <f>IF(D4=0,0,K4/D4)</f>
        <v>0.75046521523674714</v>
      </c>
      <c r="M4" s="219" t="s">
        <v>143</v>
      </c>
      <c r="N4" s="220"/>
      <c r="O4" s="220"/>
      <c r="P4" s="220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>
        <f>SUM(AC5,AC78,AC91,AC145)</f>
        <v>64289000</v>
      </c>
      <c r="AD4" s="222" t="s">
        <v>25</v>
      </c>
      <c r="AE4" s="2"/>
    </row>
    <row r="5" spans="1:31" s="12" customFormat="1" ht="21" customHeight="1">
      <c r="A5" s="137" t="s">
        <v>6</v>
      </c>
      <c r="B5" s="481" t="s">
        <v>7</v>
      </c>
      <c r="C5" s="482"/>
      <c r="D5" s="214">
        <f>SUM(D6,D40,D49)</f>
        <v>24297</v>
      </c>
      <c r="E5" s="214">
        <f t="shared" ref="E5:I5" si="0">SUM(E6,E40,E49)</f>
        <v>43626.98</v>
      </c>
      <c r="F5" s="214">
        <f t="shared" si="0"/>
        <v>40464.030000000006</v>
      </c>
      <c r="G5" s="214">
        <f>SUM(G6,G40,G49)</f>
        <v>1750</v>
      </c>
      <c r="H5" s="214">
        <f>SUM(H6,H40,H49)</f>
        <v>1413.3359599999999</v>
      </c>
      <c r="I5" s="214">
        <f t="shared" si="0"/>
        <v>0</v>
      </c>
      <c r="J5" s="214">
        <v>0</v>
      </c>
      <c r="K5" s="132">
        <f>E5-D5</f>
        <v>19329.980000000003</v>
      </c>
      <c r="L5" s="223">
        <f>IF(D5=0,0,K5/D5)</f>
        <v>0.7955706465818827</v>
      </c>
      <c r="M5" s="249" t="s">
        <v>142</v>
      </c>
      <c r="N5" s="207"/>
      <c r="O5" s="207"/>
      <c r="P5" s="207"/>
      <c r="Q5" s="206"/>
      <c r="R5" s="248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>
        <f>SUM(AC6,AC40,AC49)</f>
        <v>43627030</v>
      </c>
      <c r="AD5" s="40" t="s">
        <v>25</v>
      </c>
      <c r="AE5" s="2"/>
    </row>
    <row r="6" spans="1:31" s="12" customFormat="1" ht="21" customHeight="1">
      <c r="A6" s="51"/>
      <c r="B6" s="42" t="s">
        <v>8</v>
      </c>
      <c r="C6" s="226" t="s">
        <v>5</v>
      </c>
      <c r="D6" s="227">
        <f>SUM(D7,D10,D26,D30,D37)</f>
        <v>20736</v>
      </c>
      <c r="E6" s="225">
        <f>SUM(E7,E37,E10,E26,E30)</f>
        <v>37641.980000000003</v>
      </c>
      <c r="F6" s="225">
        <f>F7+F10+F26+F30</f>
        <v>35891.980000000003</v>
      </c>
      <c r="G6" s="225">
        <f>SUM(G7,G10,G26,G30,G37)</f>
        <v>1750</v>
      </c>
      <c r="H6" s="225">
        <f>SUM(H7,H10,H26,H30)</f>
        <v>0</v>
      </c>
      <c r="I6" s="225">
        <v>0</v>
      </c>
      <c r="J6" s="225">
        <f>SUM(J7,J10,J26,J30)</f>
        <v>0</v>
      </c>
      <c r="K6" s="228">
        <f>E6-D6</f>
        <v>16905.980000000003</v>
      </c>
      <c r="L6" s="229">
        <f>IF(D6=0,0,K6/D6)</f>
        <v>0.81529610339506187</v>
      </c>
      <c r="M6" s="230" t="s">
        <v>141</v>
      </c>
      <c r="N6" s="230"/>
      <c r="O6" s="230"/>
      <c r="P6" s="230"/>
      <c r="Q6" s="231"/>
      <c r="R6" s="304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>
        <f>SUM(AC7,AC10,AC26,AC30,AC37)</f>
        <v>37641980</v>
      </c>
      <c r="AD6" s="232" t="s">
        <v>25</v>
      </c>
      <c r="AE6" s="2"/>
    </row>
    <row r="7" spans="1:31" s="12" customFormat="1" ht="21" customHeight="1">
      <c r="A7" s="51"/>
      <c r="B7" s="52"/>
      <c r="C7" s="42" t="s">
        <v>33</v>
      </c>
      <c r="D7" s="210">
        <v>13587</v>
      </c>
      <c r="E7" s="139">
        <f>F7</f>
        <v>23658</v>
      </c>
      <c r="F7" s="139">
        <f>AC7/1000</f>
        <v>23658</v>
      </c>
      <c r="G7" s="139">
        <v>0</v>
      </c>
      <c r="H7" s="139">
        <v>0</v>
      </c>
      <c r="I7" s="139"/>
      <c r="J7" s="139">
        <v>0</v>
      </c>
      <c r="K7" s="138">
        <f>E7-D7</f>
        <v>10071</v>
      </c>
      <c r="L7" s="146">
        <f>IF(D7=0,0,K7/D7)</f>
        <v>0.74122322808567009</v>
      </c>
      <c r="M7" s="267" t="s">
        <v>85</v>
      </c>
      <c r="N7" s="267"/>
      <c r="O7" s="253"/>
      <c r="P7" s="253"/>
      <c r="Q7" s="253"/>
      <c r="R7" s="253"/>
      <c r="S7" s="252"/>
      <c r="T7" s="252"/>
      <c r="U7" s="252"/>
      <c r="V7" s="266" t="s">
        <v>129</v>
      </c>
      <c r="W7" s="266"/>
      <c r="X7" s="266"/>
      <c r="Y7" s="266"/>
      <c r="Z7" s="266"/>
      <c r="AA7" s="266"/>
      <c r="AB7" s="233"/>
      <c r="AC7" s="233">
        <f>SUM(AC8:AC9)</f>
        <v>23658000</v>
      </c>
      <c r="AD7" s="232" t="s">
        <v>57</v>
      </c>
      <c r="AE7" s="1"/>
    </row>
    <row r="8" spans="1:31" s="12" customFormat="1" ht="21" customHeight="1">
      <c r="A8" s="51"/>
      <c r="B8" s="52"/>
      <c r="C8" s="52"/>
      <c r="D8" s="208"/>
      <c r="E8" s="282"/>
      <c r="F8" s="282"/>
      <c r="G8" s="282"/>
      <c r="H8" s="282"/>
      <c r="I8" s="282"/>
      <c r="J8" s="282"/>
      <c r="K8" s="133"/>
      <c r="L8" s="87"/>
      <c r="M8" s="85" t="s">
        <v>170</v>
      </c>
      <c r="N8" s="283" t="s">
        <v>336</v>
      </c>
      <c r="O8" s="264"/>
      <c r="P8" s="264"/>
      <c r="Q8" s="85">
        <v>1933000</v>
      </c>
      <c r="R8" s="85"/>
      <c r="S8" s="86" t="s">
        <v>166</v>
      </c>
      <c r="T8" s="86" t="s">
        <v>167</v>
      </c>
      <c r="U8" s="86">
        <v>1</v>
      </c>
      <c r="V8" s="86" t="s">
        <v>168</v>
      </c>
      <c r="W8" s="86" t="s">
        <v>167</v>
      </c>
      <c r="X8" s="284">
        <v>5</v>
      </c>
      <c r="Y8" s="86" t="s">
        <v>29</v>
      </c>
      <c r="Z8" s="86" t="s">
        <v>169</v>
      </c>
      <c r="AA8" s="405" t="s">
        <v>370</v>
      </c>
      <c r="AB8" s="84"/>
      <c r="AC8" s="84">
        <f t="shared" ref="AC8:AC9" si="1">Q8*U8*X8</f>
        <v>9665000</v>
      </c>
      <c r="AD8" s="64" t="s">
        <v>25</v>
      </c>
      <c r="AE8" s="1"/>
    </row>
    <row r="9" spans="1:31" s="12" customFormat="1" ht="21" customHeight="1">
      <c r="A9" s="51"/>
      <c r="B9" s="52"/>
      <c r="C9" s="66"/>
      <c r="D9" s="209"/>
      <c r="E9" s="136"/>
      <c r="F9" s="136"/>
      <c r="G9" s="136"/>
      <c r="H9" s="136"/>
      <c r="I9" s="136"/>
      <c r="J9" s="136"/>
      <c r="K9" s="136"/>
      <c r="L9" s="105"/>
      <c r="M9" s="85"/>
      <c r="N9" s="283" t="s">
        <v>337</v>
      </c>
      <c r="O9" s="264"/>
      <c r="P9" s="264"/>
      <c r="Q9" s="85">
        <v>1999000</v>
      </c>
      <c r="R9" s="85"/>
      <c r="S9" s="86" t="s">
        <v>166</v>
      </c>
      <c r="T9" s="86" t="s">
        <v>167</v>
      </c>
      <c r="U9" s="86">
        <v>1</v>
      </c>
      <c r="V9" s="86" t="s">
        <v>168</v>
      </c>
      <c r="W9" s="86" t="s">
        <v>167</v>
      </c>
      <c r="X9" s="284">
        <v>7</v>
      </c>
      <c r="Y9" s="86" t="s">
        <v>29</v>
      </c>
      <c r="Z9" s="86" t="s">
        <v>169</v>
      </c>
      <c r="AA9" s="405" t="s">
        <v>370</v>
      </c>
      <c r="AB9" s="84"/>
      <c r="AC9" s="84">
        <f t="shared" si="1"/>
        <v>13993000</v>
      </c>
      <c r="AD9" s="64" t="s">
        <v>25</v>
      </c>
      <c r="AE9" s="1"/>
    </row>
    <row r="10" spans="1:31" s="12" customFormat="1" ht="21" customHeight="1">
      <c r="A10" s="51"/>
      <c r="B10" s="52"/>
      <c r="C10" s="42" t="s">
        <v>34</v>
      </c>
      <c r="D10" s="210">
        <v>4039</v>
      </c>
      <c r="E10" s="139">
        <f>F10+G10+H10+J10</f>
        <v>8152.45</v>
      </c>
      <c r="F10" s="139">
        <f>SUM(명절휴가비,AC15,AC18)/1000</f>
        <v>6602.45</v>
      </c>
      <c r="G10" s="139">
        <f>SUM(AC22)/1000</f>
        <v>1550</v>
      </c>
      <c r="H10" s="139">
        <v>0</v>
      </c>
      <c r="I10" s="139">
        <v>0</v>
      </c>
      <c r="J10" s="139">
        <f>0</f>
        <v>0</v>
      </c>
      <c r="K10" s="138">
        <f>E10-D10</f>
        <v>4113.45</v>
      </c>
      <c r="L10" s="146">
        <f>IF(D10=0,0,K10/D10)</f>
        <v>1.0184327803911859</v>
      </c>
      <c r="M10" s="121" t="s">
        <v>35</v>
      </c>
      <c r="N10" s="230"/>
      <c r="O10" s="117"/>
      <c r="P10" s="117"/>
      <c r="Q10" s="117"/>
      <c r="R10" s="253"/>
      <c r="S10" s="110"/>
      <c r="T10" s="110"/>
      <c r="U10" s="110"/>
      <c r="V10" s="231" t="s">
        <v>129</v>
      </c>
      <c r="W10" s="231"/>
      <c r="X10" s="231"/>
      <c r="Y10" s="231"/>
      <c r="Z10" s="231"/>
      <c r="AA10" s="231"/>
      <c r="AB10" s="233"/>
      <c r="AC10" s="233">
        <f>SUM(명절휴가비,연장근로수당,AC15,AC22)</f>
        <v>8152450</v>
      </c>
      <c r="AD10" s="232" t="s">
        <v>57</v>
      </c>
      <c r="AE10" s="1"/>
    </row>
    <row r="11" spans="1:31" s="12" customFormat="1" ht="21" customHeight="1">
      <c r="A11" s="51"/>
      <c r="B11" s="52"/>
      <c r="C11" s="52"/>
      <c r="D11" s="208"/>
      <c r="E11" s="133"/>
      <c r="F11" s="133"/>
      <c r="G11" s="133"/>
      <c r="H11" s="133"/>
      <c r="I11" s="133"/>
      <c r="J11" s="133"/>
      <c r="K11" s="133"/>
      <c r="L11" s="87"/>
      <c r="M11" s="404" t="s">
        <v>369</v>
      </c>
      <c r="N11" s="154"/>
      <c r="O11" s="154"/>
      <c r="P11" s="154"/>
      <c r="Q11" s="154"/>
      <c r="R11" s="307"/>
      <c r="S11" s="153"/>
      <c r="T11" s="153"/>
      <c r="U11" s="153"/>
      <c r="V11" s="164" t="s">
        <v>72</v>
      </c>
      <c r="W11" s="164"/>
      <c r="X11" s="164"/>
      <c r="Y11" s="164"/>
      <c r="Z11" s="164"/>
      <c r="AA11" s="164"/>
      <c r="AB11" s="89" t="s">
        <v>91</v>
      </c>
      <c r="AC11" s="89">
        <f>SUM(AC12:AC13)</f>
        <v>2359200</v>
      </c>
      <c r="AD11" s="90" t="s">
        <v>57</v>
      </c>
      <c r="AE11" s="18"/>
    </row>
    <row r="12" spans="1:31" s="12" customFormat="1" ht="21" customHeight="1">
      <c r="A12" s="51"/>
      <c r="B12" s="52"/>
      <c r="C12" s="52"/>
      <c r="D12" s="208"/>
      <c r="E12" s="133"/>
      <c r="F12" s="133"/>
      <c r="G12" s="133"/>
      <c r="H12" s="133"/>
      <c r="I12" s="133"/>
      <c r="J12" s="133"/>
      <c r="K12" s="133"/>
      <c r="L12" s="87"/>
      <c r="M12" s="289" t="s">
        <v>209</v>
      </c>
      <c r="N12" s="302" t="str">
        <f>N8</f>
        <v>5호</v>
      </c>
      <c r="O12" s="154"/>
      <c r="P12" s="154"/>
      <c r="Q12" s="85">
        <f>Q8</f>
        <v>1933000</v>
      </c>
      <c r="R12" s="85"/>
      <c r="S12" s="86" t="s">
        <v>166</v>
      </c>
      <c r="T12" s="86" t="s">
        <v>167</v>
      </c>
      <c r="U12" s="285">
        <v>1</v>
      </c>
      <c r="V12" s="86" t="s">
        <v>167</v>
      </c>
      <c r="W12" s="286">
        <v>0.6</v>
      </c>
      <c r="X12" s="287">
        <v>1</v>
      </c>
      <c r="Y12" s="288" t="s">
        <v>171</v>
      </c>
      <c r="Z12" s="86" t="s">
        <v>169</v>
      </c>
      <c r="AA12" s="405" t="s">
        <v>370</v>
      </c>
      <c r="AB12" s="84"/>
      <c r="AC12" s="84">
        <f t="shared" ref="AC12" si="2">Q12*U12*W12*X12</f>
        <v>1159800</v>
      </c>
      <c r="AD12" s="64" t="s">
        <v>166</v>
      </c>
      <c r="AE12" s="18"/>
    </row>
    <row r="13" spans="1:31" s="12" customFormat="1" ht="21" customHeight="1">
      <c r="A13" s="51"/>
      <c r="B13" s="52"/>
      <c r="C13" s="52"/>
      <c r="D13" s="208"/>
      <c r="E13" s="133"/>
      <c r="F13" s="133"/>
      <c r="G13" s="133"/>
      <c r="H13" s="133"/>
      <c r="I13" s="133"/>
      <c r="J13" s="133"/>
      <c r="K13" s="133"/>
      <c r="L13" s="87"/>
      <c r="M13" s="396" t="s">
        <v>362</v>
      </c>
      <c r="N13" s="302" t="str">
        <f>N9</f>
        <v>6호</v>
      </c>
      <c r="O13" s="154"/>
      <c r="P13" s="154"/>
      <c r="Q13" s="85">
        <f>Q9</f>
        <v>1999000</v>
      </c>
      <c r="R13" s="85"/>
      <c r="S13" s="86" t="s">
        <v>166</v>
      </c>
      <c r="T13" s="86" t="s">
        <v>167</v>
      </c>
      <c r="U13" s="285">
        <v>1</v>
      </c>
      <c r="V13" s="86" t="s">
        <v>167</v>
      </c>
      <c r="W13" s="286">
        <v>0.6</v>
      </c>
      <c r="X13" s="287">
        <v>1</v>
      </c>
      <c r="Y13" s="288" t="s">
        <v>29</v>
      </c>
      <c r="Z13" s="86" t="s">
        <v>169</v>
      </c>
      <c r="AA13" s="405" t="s">
        <v>370</v>
      </c>
      <c r="AB13" s="84"/>
      <c r="AC13" s="84">
        <f>Q13*U13*W13*X13</f>
        <v>1199400</v>
      </c>
      <c r="AD13" s="64" t="s">
        <v>166</v>
      </c>
      <c r="AE13" s="18"/>
    </row>
    <row r="14" spans="1:31" s="12" customFormat="1" ht="21" customHeight="1">
      <c r="A14" s="51"/>
      <c r="B14" s="52"/>
      <c r="C14" s="52"/>
      <c r="D14" s="208"/>
      <c r="E14" s="133"/>
      <c r="F14" s="133"/>
      <c r="G14" s="133"/>
      <c r="H14" s="133"/>
      <c r="I14" s="133"/>
      <c r="J14" s="133"/>
      <c r="K14" s="133"/>
      <c r="L14" s="87"/>
      <c r="M14" s="298"/>
      <c r="N14" s="302"/>
      <c r="O14" s="298"/>
      <c r="P14" s="298"/>
      <c r="Q14" s="85"/>
      <c r="R14" s="85"/>
      <c r="S14" s="86"/>
      <c r="T14" s="86"/>
      <c r="U14" s="285"/>
      <c r="V14" s="86"/>
      <c r="W14" s="286"/>
      <c r="X14" s="287"/>
      <c r="Y14" s="288"/>
      <c r="Z14" s="86"/>
      <c r="AA14" s="297"/>
      <c r="AB14" s="84"/>
      <c r="AC14" s="84"/>
      <c r="AD14" s="64"/>
      <c r="AE14" s="18"/>
    </row>
    <row r="15" spans="1:31" s="12" customFormat="1" ht="21" customHeight="1">
      <c r="A15" s="51"/>
      <c r="B15" s="52"/>
      <c r="C15" s="52"/>
      <c r="D15" s="208"/>
      <c r="E15" s="133"/>
      <c r="F15" s="133"/>
      <c r="G15" s="133"/>
      <c r="H15" s="133"/>
      <c r="I15" s="133"/>
      <c r="J15" s="133"/>
      <c r="K15" s="133"/>
      <c r="L15" s="87"/>
      <c r="M15" s="294" t="s">
        <v>207</v>
      </c>
      <c r="N15" s="302"/>
      <c r="O15" s="298"/>
      <c r="P15" s="298"/>
      <c r="Q15" s="85"/>
      <c r="R15" s="85"/>
      <c r="S15" s="86"/>
      <c r="T15" s="86"/>
      <c r="U15" s="285"/>
      <c r="V15" s="293" t="s">
        <v>72</v>
      </c>
      <c r="W15" s="293"/>
      <c r="X15" s="293"/>
      <c r="Y15" s="293"/>
      <c r="Z15" s="293"/>
      <c r="AA15" s="293"/>
      <c r="AB15" s="89" t="s">
        <v>62</v>
      </c>
      <c r="AC15" s="89">
        <f>SUM(AC16:AC16)</f>
        <v>0</v>
      </c>
      <c r="AD15" s="90" t="s">
        <v>57</v>
      </c>
      <c r="AE15" s="18"/>
    </row>
    <row r="16" spans="1:31" s="12" customFormat="1" ht="21" customHeight="1">
      <c r="A16" s="51"/>
      <c r="B16" s="52"/>
      <c r="C16" s="52"/>
      <c r="D16" s="208"/>
      <c r="E16" s="133"/>
      <c r="F16" s="133"/>
      <c r="G16" s="133"/>
      <c r="H16" s="133"/>
      <c r="I16" s="133"/>
      <c r="J16" s="133"/>
      <c r="K16" s="133"/>
      <c r="L16" s="87"/>
      <c r="M16" s="358" t="s">
        <v>306</v>
      </c>
      <c r="N16" s="302"/>
      <c r="O16" s="298"/>
      <c r="P16" s="298"/>
      <c r="Q16" s="85">
        <v>0</v>
      </c>
      <c r="R16" s="85"/>
      <c r="S16" s="86" t="s">
        <v>210</v>
      </c>
      <c r="T16" s="86"/>
      <c r="U16" s="285"/>
      <c r="V16" s="86"/>
      <c r="W16" s="286"/>
      <c r="X16" s="287">
        <v>12</v>
      </c>
      <c r="Y16" s="288" t="s">
        <v>211</v>
      </c>
      <c r="Z16" s="86"/>
      <c r="AA16" s="297"/>
      <c r="AB16" s="84"/>
      <c r="AC16" s="84">
        <f>Q16*X16</f>
        <v>0</v>
      </c>
      <c r="AD16" s="64" t="s">
        <v>212</v>
      </c>
      <c r="AE16" s="18"/>
    </row>
    <row r="17" spans="1:31" s="12" customFormat="1" ht="21" customHeight="1">
      <c r="A17" s="51"/>
      <c r="B17" s="52"/>
      <c r="C17" s="52"/>
      <c r="D17" s="208"/>
      <c r="E17" s="133"/>
      <c r="F17" s="133"/>
      <c r="G17" s="133"/>
      <c r="H17" s="133"/>
      <c r="I17" s="133"/>
      <c r="J17" s="133"/>
      <c r="K17" s="133"/>
      <c r="L17" s="87"/>
      <c r="M17" s="205"/>
      <c r="N17" s="154"/>
      <c r="O17" s="154"/>
      <c r="P17" s="154"/>
      <c r="Q17" s="154"/>
      <c r="R17" s="307"/>
      <c r="S17" s="153"/>
      <c r="T17" s="153"/>
      <c r="U17" s="153"/>
      <c r="V17" s="153"/>
      <c r="W17" s="153"/>
      <c r="X17" s="153"/>
      <c r="Y17" s="153"/>
      <c r="Z17" s="153"/>
      <c r="AA17" s="153"/>
      <c r="AB17" s="84"/>
      <c r="AC17" s="84"/>
      <c r="AD17" s="64"/>
      <c r="AE17" s="18"/>
    </row>
    <row r="18" spans="1:31" s="12" customFormat="1" ht="21" customHeight="1">
      <c r="A18" s="51"/>
      <c r="B18" s="52"/>
      <c r="C18" s="52"/>
      <c r="D18" s="208"/>
      <c r="E18" s="133"/>
      <c r="F18" s="133"/>
      <c r="G18" s="133"/>
      <c r="H18" s="133"/>
      <c r="I18" s="133"/>
      <c r="J18" s="133"/>
      <c r="K18" s="133"/>
      <c r="L18" s="87"/>
      <c r="M18" s="388" t="s">
        <v>332</v>
      </c>
      <c r="N18" s="154"/>
      <c r="O18" s="154"/>
      <c r="P18" s="154"/>
      <c r="Q18" s="154"/>
      <c r="R18" s="307"/>
      <c r="S18" s="153"/>
      <c r="T18" s="153"/>
      <c r="U18" s="153"/>
      <c r="V18" s="164" t="s">
        <v>72</v>
      </c>
      <c r="W18" s="164"/>
      <c r="X18" s="164"/>
      <c r="Y18" s="164"/>
      <c r="Z18" s="164"/>
      <c r="AA18" s="164"/>
      <c r="AB18" s="89" t="s">
        <v>91</v>
      </c>
      <c r="AC18" s="89">
        <f>SUM(AC19:AC20)</f>
        <v>4243250</v>
      </c>
      <c r="AD18" s="90" t="s">
        <v>57</v>
      </c>
      <c r="AE18" s="18"/>
    </row>
    <row r="19" spans="1:31" s="12" customFormat="1" ht="21" customHeight="1">
      <c r="A19" s="51"/>
      <c r="B19" s="52"/>
      <c r="C19" s="52"/>
      <c r="D19" s="208"/>
      <c r="E19" s="133"/>
      <c r="F19" s="133"/>
      <c r="G19" s="133"/>
      <c r="H19" s="133"/>
      <c r="I19" s="133"/>
      <c r="J19" s="133"/>
      <c r="K19" s="133"/>
      <c r="L19" s="87"/>
      <c r="M19" s="205"/>
      <c r="N19" s="302" t="str">
        <f>N8</f>
        <v>5호</v>
      </c>
      <c r="O19" s="264"/>
      <c r="P19" s="264"/>
      <c r="Q19" s="85">
        <f>Q8</f>
        <v>1933000</v>
      </c>
      <c r="R19" s="86" t="s">
        <v>57</v>
      </c>
      <c r="S19" s="86" t="s">
        <v>58</v>
      </c>
      <c r="T19" s="276">
        <v>25</v>
      </c>
      <c r="U19" s="91" t="s">
        <v>58</v>
      </c>
      <c r="V19" s="277">
        <v>5</v>
      </c>
      <c r="W19" s="278">
        <v>1.5</v>
      </c>
      <c r="X19" s="262" t="s">
        <v>73</v>
      </c>
      <c r="Y19" s="262">
        <v>209</v>
      </c>
      <c r="Z19" s="262" t="s">
        <v>53</v>
      </c>
      <c r="AA19" s="405" t="s">
        <v>370</v>
      </c>
      <c r="AB19" s="84"/>
      <c r="AC19" s="84">
        <v>1735740</v>
      </c>
      <c r="AD19" s="64" t="s">
        <v>57</v>
      </c>
      <c r="AE19" s="18"/>
    </row>
    <row r="20" spans="1:31" s="12" customFormat="1" ht="21" customHeight="1">
      <c r="A20" s="51"/>
      <c r="B20" s="52"/>
      <c r="C20" s="52"/>
      <c r="D20" s="208"/>
      <c r="E20" s="133"/>
      <c r="F20" s="133"/>
      <c r="G20" s="133"/>
      <c r="H20" s="133"/>
      <c r="I20" s="133"/>
      <c r="J20" s="133"/>
      <c r="K20" s="133"/>
      <c r="L20" s="87"/>
      <c r="M20" s="205"/>
      <c r="N20" s="302" t="str">
        <f>N9</f>
        <v>6호</v>
      </c>
      <c r="O20" s="248"/>
      <c r="P20" s="248"/>
      <c r="Q20" s="85">
        <f>Q9</f>
        <v>1999000</v>
      </c>
      <c r="R20" s="86" t="s">
        <v>57</v>
      </c>
      <c r="S20" s="86" t="s">
        <v>58</v>
      </c>
      <c r="T20" s="276">
        <v>25</v>
      </c>
      <c r="U20" s="91" t="s">
        <v>58</v>
      </c>
      <c r="V20" s="277">
        <v>7</v>
      </c>
      <c r="W20" s="278">
        <v>1.5</v>
      </c>
      <c r="X20" s="262" t="s">
        <v>73</v>
      </c>
      <c r="Y20" s="262">
        <v>209</v>
      </c>
      <c r="Z20" s="262" t="s">
        <v>53</v>
      </c>
      <c r="AA20" s="405" t="s">
        <v>370</v>
      </c>
      <c r="AB20" s="84"/>
      <c r="AC20" s="84">
        <v>2507510</v>
      </c>
      <c r="AD20" s="64" t="s">
        <v>57</v>
      </c>
      <c r="AE20" s="18"/>
    </row>
    <row r="21" spans="1:31" s="12" customFormat="1" ht="21" customHeight="1">
      <c r="A21" s="51"/>
      <c r="B21" s="52"/>
      <c r="C21" s="52"/>
      <c r="D21" s="208"/>
      <c r="E21" s="133"/>
      <c r="F21" s="133"/>
      <c r="G21" s="133"/>
      <c r="H21" s="133"/>
      <c r="I21" s="133"/>
      <c r="J21" s="133"/>
      <c r="K21" s="133"/>
      <c r="L21" s="87"/>
      <c r="M21" s="205"/>
      <c r="N21" s="56"/>
      <c r="O21" s="56"/>
      <c r="P21" s="56"/>
      <c r="Q21" s="56"/>
      <c r="R21" s="307"/>
      <c r="S21" s="57"/>
      <c r="T21" s="57"/>
      <c r="U21" s="57"/>
      <c r="V21" s="57"/>
      <c r="W21" s="57"/>
      <c r="X21" s="57"/>
      <c r="Y21" s="57"/>
      <c r="Z21" s="57"/>
      <c r="AA21" s="57"/>
      <c r="AB21" s="84"/>
      <c r="AC21" s="84"/>
      <c r="AD21" s="64"/>
      <c r="AE21" s="18"/>
    </row>
    <row r="22" spans="1:31" s="12" customFormat="1" ht="21" customHeight="1">
      <c r="A22" s="51"/>
      <c r="B22" s="52"/>
      <c r="C22" s="52"/>
      <c r="D22" s="208"/>
      <c r="E22" s="133"/>
      <c r="F22" s="133"/>
      <c r="G22" s="133"/>
      <c r="H22" s="133"/>
      <c r="I22" s="133"/>
      <c r="J22" s="133"/>
      <c r="K22" s="133"/>
      <c r="L22" s="87"/>
      <c r="M22" s="294" t="s">
        <v>208</v>
      </c>
      <c r="N22" s="56"/>
      <c r="O22" s="56"/>
      <c r="P22" s="56"/>
      <c r="Q22" s="56"/>
      <c r="R22" s="307"/>
      <c r="S22" s="57"/>
      <c r="T22" s="57"/>
      <c r="U22" s="57"/>
      <c r="V22" s="97" t="s">
        <v>92</v>
      </c>
      <c r="W22" s="97"/>
      <c r="X22" s="97"/>
      <c r="Y22" s="97"/>
      <c r="Z22" s="97"/>
      <c r="AA22" s="97"/>
      <c r="AB22" s="89" t="s">
        <v>94</v>
      </c>
      <c r="AC22" s="89">
        <f>SUM(AC23:AC24)</f>
        <v>1550000</v>
      </c>
      <c r="AD22" s="90" t="s">
        <v>93</v>
      </c>
      <c r="AE22" s="18"/>
    </row>
    <row r="23" spans="1:31" s="12" customFormat="1" ht="21" customHeight="1">
      <c r="A23" s="51"/>
      <c r="B23" s="387"/>
      <c r="C23" s="387"/>
      <c r="D23" s="208"/>
      <c r="E23" s="133"/>
      <c r="F23" s="133"/>
      <c r="G23" s="133"/>
      <c r="H23" s="133"/>
      <c r="I23" s="133"/>
      <c r="J23" s="133"/>
      <c r="K23" s="133"/>
      <c r="L23" s="87"/>
      <c r="M23" s="390"/>
      <c r="N23" s="390"/>
      <c r="O23" s="390"/>
      <c r="P23" s="390"/>
      <c r="Q23" s="85">
        <v>100000</v>
      </c>
      <c r="R23" s="85"/>
      <c r="S23" s="86" t="s">
        <v>57</v>
      </c>
      <c r="T23" s="86" t="s">
        <v>58</v>
      </c>
      <c r="U23" s="86">
        <v>1</v>
      </c>
      <c r="V23" s="86" t="s">
        <v>56</v>
      </c>
      <c r="W23" s="86" t="s">
        <v>58</v>
      </c>
      <c r="X23" s="284">
        <v>5</v>
      </c>
      <c r="Y23" s="86" t="s">
        <v>29</v>
      </c>
      <c r="Z23" s="86" t="s">
        <v>53</v>
      </c>
      <c r="AA23" s="405" t="s">
        <v>370</v>
      </c>
      <c r="AB23" s="84"/>
      <c r="AC23" s="84">
        <f t="shared" ref="AC23" si="3">Q23*U23*X23</f>
        <v>500000</v>
      </c>
      <c r="AD23" s="64" t="s">
        <v>25</v>
      </c>
      <c r="AE23" s="18"/>
    </row>
    <row r="24" spans="1:31" s="12" customFormat="1" ht="21" customHeight="1">
      <c r="A24" s="51"/>
      <c r="B24" s="52"/>
      <c r="C24" s="52"/>
      <c r="D24" s="208"/>
      <c r="E24" s="133"/>
      <c r="F24" s="133"/>
      <c r="G24" s="133"/>
      <c r="H24" s="133"/>
      <c r="I24" s="133"/>
      <c r="J24" s="133"/>
      <c r="K24" s="133"/>
      <c r="L24" s="87"/>
      <c r="M24" s="265"/>
      <c r="N24" s="265"/>
      <c r="O24" s="265"/>
      <c r="P24" s="265"/>
      <c r="Q24" s="85">
        <v>150000</v>
      </c>
      <c r="R24" s="85"/>
      <c r="S24" s="86" t="s">
        <v>166</v>
      </c>
      <c r="T24" s="86" t="s">
        <v>167</v>
      </c>
      <c r="U24" s="86">
        <v>1</v>
      </c>
      <c r="V24" s="86" t="s">
        <v>168</v>
      </c>
      <c r="W24" s="86" t="s">
        <v>167</v>
      </c>
      <c r="X24" s="284">
        <v>7</v>
      </c>
      <c r="Y24" s="86" t="s">
        <v>29</v>
      </c>
      <c r="Z24" s="86" t="s">
        <v>169</v>
      </c>
      <c r="AA24" s="405" t="s">
        <v>370</v>
      </c>
      <c r="AB24" s="84"/>
      <c r="AC24" s="84">
        <f t="shared" ref="AC24" si="4">Q24*U24*X24</f>
        <v>1050000</v>
      </c>
      <c r="AD24" s="64" t="s">
        <v>25</v>
      </c>
      <c r="AE24" s="18"/>
    </row>
    <row r="25" spans="1:31" s="12" customFormat="1" ht="21" customHeight="1">
      <c r="A25" s="51"/>
      <c r="B25" s="52"/>
      <c r="C25" s="52"/>
      <c r="D25" s="208"/>
      <c r="E25" s="133"/>
      <c r="F25" s="133"/>
      <c r="G25" s="133"/>
      <c r="H25" s="133"/>
      <c r="I25" s="133"/>
      <c r="J25" s="133"/>
      <c r="K25" s="133"/>
      <c r="L25" s="87"/>
      <c r="M25" s="205"/>
      <c r="N25" s="56"/>
      <c r="O25" s="56"/>
      <c r="P25" s="56"/>
      <c r="Q25" s="57"/>
      <c r="R25" s="306"/>
      <c r="S25" s="61"/>
      <c r="T25" s="149"/>
      <c r="U25" s="61"/>
      <c r="V25" s="147"/>
      <c r="W25" s="147"/>
      <c r="X25" s="57"/>
      <c r="Y25" s="57"/>
      <c r="Z25" s="57"/>
      <c r="AA25" s="57"/>
      <c r="AB25" s="57"/>
      <c r="AC25" s="57"/>
      <c r="AD25" s="64"/>
      <c r="AE25" s="18"/>
    </row>
    <row r="26" spans="1:31" s="12" customFormat="1" ht="21" customHeight="1">
      <c r="A26" s="51"/>
      <c r="B26" s="52"/>
      <c r="C26" s="42" t="s">
        <v>9</v>
      </c>
      <c r="D26" s="210">
        <v>1469</v>
      </c>
      <c r="E26" s="139">
        <f>F26+G26+H26+J26</f>
        <v>2650.8</v>
      </c>
      <c r="F26" s="139">
        <f>AC27/1000</f>
        <v>2650.8</v>
      </c>
      <c r="G26" s="139">
        <v>0</v>
      </c>
      <c r="H26" s="139">
        <v>0</v>
      </c>
      <c r="I26" s="139">
        <v>0</v>
      </c>
      <c r="J26" s="139">
        <f>AC28/1000</f>
        <v>0</v>
      </c>
      <c r="K26" s="138">
        <f>E26-D26</f>
        <v>1181.8000000000002</v>
      </c>
      <c r="L26" s="146">
        <f>IF(D26=0,0,K26/D26)</f>
        <v>0.80449285228046308</v>
      </c>
      <c r="M26" s="121" t="s">
        <v>36</v>
      </c>
      <c r="N26" s="230"/>
      <c r="O26" s="204"/>
      <c r="P26" s="117"/>
      <c r="Q26" s="117"/>
      <c r="R26" s="253"/>
      <c r="S26" s="110"/>
      <c r="T26" s="110"/>
      <c r="U26" s="110"/>
      <c r="V26" s="295" t="s">
        <v>201</v>
      </c>
      <c r="W26" s="295"/>
      <c r="X26" s="295"/>
      <c r="Y26" s="295"/>
      <c r="Z26" s="295"/>
      <c r="AA26" s="295"/>
      <c r="AB26" s="233" t="s">
        <v>202</v>
      </c>
      <c r="AC26" s="233">
        <f>AC27+AC28</f>
        <v>2650800</v>
      </c>
      <c r="AD26" s="232" t="s">
        <v>203</v>
      </c>
      <c r="AE26" s="2"/>
    </row>
    <row r="27" spans="1:31" s="12" customFormat="1" ht="21" customHeight="1">
      <c r="A27" s="51"/>
      <c r="B27" s="52"/>
      <c r="C27" s="52"/>
      <c r="D27" s="211"/>
      <c r="E27" s="133"/>
      <c r="F27" s="133"/>
      <c r="G27" s="133"/>
      <c r="H27" s="133"/>
      <c r="I27" s="133"/>
      <c r="J27" s="133"/>
      <c r="K27" s="140"/>
      <c r="L27" s="87"/>
      <c r="M27" s="298" t="s">
        <v>213</v>
      </c>
      <c r="N27" s="56"/>
      <c r="O27" s="56"/>
      <c r="P27" s="56"/>
      <c r="Q27" s="180">
        <f>AC7+명절휴가비+AC15+AC22+AC18</f>
        <v>31810450</v>
      </c>
      <c r="R27" s="306"/>
      <c r="S27" s="111" t="s">
        <v>57</v>
      </c>
      <c r="T27" s="111" t="s">
        <v>73</v>
      </c>
      <c r="U27" s="94">
        <v>12</v>
      </c>
      <c r="V27" s="91" t="s">
        <v>0</v>
      </c>
      <c r="W27" s="153"/>
      <c r="X27" s="153"/>
      <c r="Y27" s="153"/>
      <c r="Z27" s="153" t="s">
        <v>74</v>
      </c>
      <c r="AA27" s="405" t="s">
        <v>370</v>
      </c>
      <c r="AB27" s="84"/>
      <c r="AC27" s="84">
        <v>2650800</v>
      </c>
      <c r="AD27" s="64" t="s">
        <v>67</v>
      </c>
      <c r="AE27" s="2"/>
    </row>
    <row r="28" spans="1:31" s="12" customFormat="1" ht="21" customHeight="1">
      <c r="A28" s="51"/>
      <c r="B28" s="52"/>
      <c r="C28" s="52"/>
      <c r="D28" s="211"/>
      <c r="E28" s="133"/>
      <c r="F28" s="133"/>
      <c r="G28" s="133"/>
      <c r="H28" s="133"/>
      <c r="I28" s="133"/>
      <c r="J28" s="133"/>
      <c r="K28" s="140"/>
      <c r="L28" s="87"/>
      <c r="M28" s="298"/>
      <c r="N28" s="298"/>
      <c r="O28" s="298"/>
      <c r="P28" s="298"/>
      <c r="Q28" s="297"/>
      <c r="R28" s="306"/>
      <c r="S28" s="262"/>
      <c r="T28" s="262"/>
      <c r="U28" s="94"/>
      <c r="V28" s="91"/>
      <c r="W28" s="297"/>
      <c r="X28" s="297"/>
      <c r="Y28" s="297"/>
      <c r="Z28" s="297"/>
      <c r="AA28" s="297"/>
      <c r="AB28" s="84"/>
      <c r="AC28" s="84"/>
      <c r="AD28" s="64"/>
      <c r="AE28" s="2"/>
    </row>
    <row r="29" spans="1:31" s="12" customFormat="1" ht="21" customHeight="1">
      <c r="A29" s="51"/>
      <c r="B29" s="52"/>
      <c r="C29" s="52"/>
      <c r="D29" s="212"/>
      <c r="E29" s="133"/>
      <c r="F29" s="133"/>
      <c r="G29" s="133"/>
      <c r="H29" s="133"/>
      <c r="I29" s="133"/>
      <c r="J29" s="133"/>
      <c r="K29" s="140"/>
      <c r="L29" s="87"/>
      <c r="M29" s="38"/>
      <c r="N29" s="38"/>
      <c r="O29" s="38"/>
      <c r="P29" s="38"/>
      <c r="Q29" s="38"/>
      <c r="R29" s="249"/>
      <c r="S29" s="39"/>
      <c r="T29" s="39"/>
      <c r="U29" s="39"/>
      <c r="V29" s="39"/>
      <c r="W29" s="39"/>
      <c r="X29" s="39"/>
      <c r="Y29" s="39"/>
      <c r="Z29" s="39"/>
      <c r="AA29" s="39"/>
      <c r="AB29" s="58"/>
      <c r="AC29" s="58"/>
      <c r="AD29" s="40"/>
      <c r="AE29" s="2"/>
    </row>
    <row r="30" spans="1:31" s="12" customFormat="1" ht="21" customHeight="1">
      <c r="A30" s="51"/>
      <c r="B30" s="52"/>
      <c r="C30" s="150" t="s">
        <v>95</v>
      </c>
      <c r="D30" s="210">
        <v>1641</v>
      </c>
      <c r="E30" s="139">
        <f>F30</f>
        <v>2980.73</v>
      </c>
      <c r="F30" s="139">
        <f>AC30/1000</f>
        <v>2980.73</v>
      </c>
      <c r="G30" s="139">
        <v>0</v>
      </c>
      <c r="H30" s="139">
        <v>0</v>
      </c>
      <c r="I30" s="139">
        <v>0</v>
      </c>
      <c r="J30" s="139">
        <v>0</v>
      </c>
      <c r="K30" s="151">
        <f>E30-D30</f>
        <v>1339.73</v>
      </c>
      <c r="L30" s="146">
        <f>IF(D30=0,0,K30/D30)</f>
        <v>0.81641072516758073</v>
      </c>
      <c r="M30" s="121" t="s">
        <v>37</v>
      </c>
      <c r="N30" s="230"/>
      <c r="O30" s="117"/>
      <c r="P30" s="117"/>
      <c r="Q30" s="117"/>
      <c r="R30" s="253"/>
      <c r="S30" s="110"/>
      <c r="T30" s="110"/>
      <c r="U30" s="110"/>
      <c r="V30" s="231" t="s">
        <v>129</v>
      </c>
      <c r="W30" s="231"/>
      <c r="X30" s="231"/>
      <c r="Y30" s="330" t="s">
        <v>289</v>
      </c>
      <c r="Z30" s="231"/>
      <c r="AA30" s="231"/>
      <c r="AB30" s="233"/>
      <c r="AC30" s="233">
        <f>SUM(AC31:AC35)</f>
        <v>2980730</v>
      </c>
      <c r="AD30" s="232" t="s">
        <v>25</v>
      </c>
    </row>
    <row r="31" spans="1:31" s="12" customFormat="1" ht="21" customHeight="1">
      <c r="A31" s="51"/>
      <c r="B31" s="52"/>
      <c r="C31" s="335"/>
      <c r="D31" s="208"/>
      <c r="E31" s="282"/>
      <c r="F31" s="282"/>
      <c r="G31" s="282"/>
      <c r="H31" s="282"/>
      <c r="I31" s="282"/>
      <c r="J31" s="282"/>
      <c r="K31" s="336"/>
      <c r="L31" s="87"/>
      <c r="M31" s="332" t="s">
        <v>174</v>
      </c>
      <c r="N31" s="249"/>
      <c r="O31" s="249"/>
      <c r="P31" s="249"/>
      <c r="Q31" s="331">
        <f>AC7+AC10</f>
        <v>31810450</v>
      </c>
      <c r="R31" s="331"/>
      <c r="S31" s="262" t="s">
        <v>57</v>
      </c>
      <c r="T31" s="262" t="s">
        <v>26</v>
      </c>
      <c r="U31" s="337">
        <v>0.09</v>
      </c>
      <c r="V31" s="262" t="s">
        <v>73</v>
      </c>
      <c r="W31" s="329">
        <v>2</v>
      </c>
      <c r="X31" s="338"/>
      <c r="Y31" s="93"/>
      <c r="Z31" s="262" t="s">
        <v>53</v>
      </c>
      <c r="AA31" s="405" t="s">
        <v>370</v>
      </c>
      <c r="AB31" s="84"/>
      <c r="AC31" s="84">
        <v>1431470</v>
      </c>
      <c r="AD31" s="64" t="s">
        <v>57</v>
      </c>
    </row>
    <row r="32" spans="1:31" s="12" customFormat="1" ht="21" customHeight="1">
      <c r="A32" s="51"/>
      <c r="B32" s="52"/>
      <c r="C32" s="52"/>
      <c r="D32" s="208"/>
      <c r="E32" s="133"/>
      <c r="F32" s="133"/>
      <c r="G32" s="133"/>
      <c r="H32" s="133"/>
      <c r="I32" s="133"/>
      <c r="J32" s="133"/>
      <c r="K32" s="133"/>
      <c r="L32" s="87"/>
      <c r="M32" s="358" t="s">
        <v>172</v>
      </c>
      <c r="N32" s="154"/>
      <c r="O32" s="154"/>
      <c r="P32" s="154"/>
      <c r="Q32" s="357">
        <f>AC7+AC10</f>
        <v>31810450</v>
      </c>
      <c r="R32" s="331"/>
      <c r="S32" s="262" t="s">
        <v>57</v>
      </c>
      <c r="T32" s="262" t="s">
        <v>26</v>
      </c>
      <c r="U32" s="337">
        <v>5.8000000000000003E-2</v>
      </c>
      <c r="V32" s="262" t="s">
        <v>73</v>
      </c>
      <c r="W32" s="329">
        <v>2</v>
      </c>
      <c r="X32" s="338"/>
      <c r="Y32" s="93"/>
      <c r="Z32" s="247" t="s">
        <v>53</v>
      </c>
      <c r="AA32" s="405" t="s">
        <v>370</v>
      </c>
      <c r="AB32" s="84"/>
      <c r="AC32" s="84">
        <v>952700</v>
      </c>
      <c r="AD32" s="64" t="s">
        <v>67</v>
      </c>
      <c r="AE32" s="2"/>
    </row>
    <row r="33" spans="1:31" s="12" customFormat="1" ht="21" customHeight="1">
      <c r="A33" s="51"/>
      <c r="B33" s="52"/>
      <c r="C33" s="52"/>
      <c r="D33" s="208"/>
      <c r="E33" s="133"/>
      <c r="F33" s="133"/>
      <c r="G33" s="133"/>
      <c r="H33" s="133"/>
      <c r="I33" s="133"/>
      <c r="J33" s="133"/>
      <c r="K33" s="133"/>
      <c r="L33" s="87"/>
      <c r="M33" s="358" t="s">
        <v>301</v>
      </c>
      <c r="N33" s="332"/>
      <c r="O33" s="332"/>
      <c r="P33" s="332"/>
      <c r="Q33" s="357">
        <f>AC32</f>
        <v>952700</v>
      </c>
      <c r="R33" s="331"/>
      <c r="S33" s="262" t="s">
        <v>57</v>
      </c>
      <c r="T33" s="262" t="s">
        <v>26</v>
      </c>
      <c r="U33" s="337">
        <v>6.5500000000000003E-2</v>
      </c>
      <c r="V33" s="262"/>
      <c r="W33" s="329"/>
      <c r="X33" s="338"/>
      <c r="Y33" s="93"/>
      <c r="Z33" s="262" t="s">
        <v>53</v>
      </c>
      <c r="AA33" s="405" t="s">
        <v>370</v>
      </c>
      <c r="AB33" s="84"/>
      <c r="AC33" s="84">
        <v>62310</v>
      </c>
      <c r="AD33" s="64" t="s">
        <v>57</v>
      </c>
      <c r="AE33" s="2"/>
    </row>
    <row r="34" spans="1:31" s="12" customFormat="1" ht="21" customHeight="1">
      <c r="A34" s="51"/>
      <c r="B34" s="52"/>
      <c r="C34" s="52"/>
      <c r="D34" s="208"/>
      <c r="E34" s="133"/>
      <c r="F34" s="133"/>
      <c r="G34" s="133"/>
      <c r="H34" s="133"/>
      <c r="I34" s="133"/>
      <c r="J34" s="133"/>
      <c r="K34" s="133"/>
      <c r="L34" s="87"/>
      <c r="M34" s="358" t="s">
        <v>173</v>
      </c>
      <c r="N34" s="154"/>
      <c r="O34" s="154"/>
      <c r="P34" s="154"/>
      <c r="Q34" s="357">
        <f>AC7+AC10</f>
        <v>31810450</v>
      </c>
      <c r="R34" s="331"/>
      <c r="S34" s="262" t="s">
        <v>57</v>
      </c>
      <c r="T34" s="262" t="s">
        <v>26</v>
      </c>
      <c r="U34" s="337">
        <v>8.9999999999999993E-3</v>
      </c>
      <c r="V34" s="262"/>
      <c r="W34" s="329"/>
      <c r="X34" s="338"/>
      <c r="Y34" s="93"/>
      <c r="Z34" s="262" t="s">
        <v>53</v>
      </c>
      <c r="AA34" s="405" t="s">
        <v>370</v>
      </c>
      <c r="AB34" s="84"/>
      <c r="AC34" s="84">
        <v>286210</v>
      </c>
      <c r="AD34" s="64" t="s">
        <v>67</v>
      </c>
      <c r="AE34" s="2"/>
    </row>
    <row r="35" spans="1:31" s="12" customFormat="1" ht="21" customHeight="1">
      <c r="A35" s="51"/>
      <c r="B35" s="52"/>
      <c r="C35" s="52"/>
      <c r="D35" s="208"/>
      <c r="E35" s="133"/>
      <c r="F35" s="133"/>
      <c r="G35" s="133"/>
      <c r="H35" s="133"/>
      <c r="I35" s="133"/>
      <c r="J35" s="133"/>
      <c r="K35" s="133"/>
      <c r="L35" s="87"/>
      <c r="M35" s="358" t="s">
        <v>302</v>
      </c>
      <c r="N35" s="358"/>
      <c r="O35" s="358"/>
      <c r="P35" s="358"/>
      <c r="Q35" s="357">
        <f>AC10+AC7</f>
        <v>31810450</v>
      </c>
      <c r="R35" s="357"/>
      <c r="S35" s="262" t="s">
        <v>57</v>
      </c>
      <c r="T35" s="262" t="s">
        <v>26</v>
      </c>
      <c r="U35" s="337">
        <v>7.7999999999999996E-3</v>
      </c>
      <c r="V35" s="262"/>
      <c r="W35" s="329"/>
      <c r="X35" s="338"/>
      <c r="Y35" s="93"/>
      <c r="Z35" s="262" t="s">
        <v>303</v>
      </c>
      <c r="AA35" s="405" t="s">
        <v>370</v>
      </c>
      <c r="AB35" s="84"/>
      <c r="AC35" s="84">
        <v>248040</v>
      </c>
      <c r="AD35" s="64" t="s">
        <v>57</v>
      </c>
      <c r="AE35" s="2"/>
    </row>
    <row r="36" spans="1:31" s="12" customFormat="1" ht="21" customHeight="1">
      <c r="A36" s="51"/>
      <c r="B36" s="52"/>
      <c r="C36" s="52"/>
      <c r="D36" s="208"/>
      <c r="E36" s="133"/>
      <c r="F36" s="133"/>
      <c r="G36" s="133"/>
      <c r="H36" s="133"/>
      <c r="I36" s="133"/>
      <c r="J36" s="133"/>
      <c r="K36" s="133"/>
      <c r="L36" s="87"/>
      <c r="M36" s="298"/>
      <c r="N36" s="298"/>
      <c r="O36" s="298"/>
      <c r="P36" s="298"/>
      <c r="Q36" s="297"/>
      <c r="R36" s="306"/>
      <c r="S36" s="262"/>
      <c r="T36" s="91"/>
      <c r="U36" s="95"/>
      <c r="V36" s="91"/>
      <c r="W36" s="96"/>
      <c r="X36" s="93"/>
      <c r="Y36" s="93"/>
      <c r="Z36" s="262"/>
      <c r="AA36" s="297"/>
      <c r="AB36" s="84"/>
      <c r="AC36" s="84"/>
      <c r="AD36" s="64"/>
      <c r="AE36" s="2"/>
    </row>
    <row r="37" spans="1:31" s="12" customFormat="1" ht="33" customHeight="1">
      <c r="A37" s="51"/>
      <c r="B37" s="52"/>
      <c r="C37" s="42" t="s">
        <v>206</v>
      </c>
      <c r="D37" s="210">
        <v>0</v>
      </c>
      <c r="E37" s="138">
        <f>SUM(F37:J37)</f>
        <v>200</v>
      </c>
      <c r="F37" s="138">
        <f>AC39</f>
        <v>0</v>
      </c>
      <c r="G37" s="138">
        <f>AC38/1000</f>
        <v>200</v>
      </c>
      <c r="H37" s="138">
        <f>AE39</f>
        <v>0</v>
      </c>
      <c r="I37" s="138">
        <f>AF39</f>
        <v>0</v>
      </c>
      <c r="J37" s="138">
        <f>AG39</f>
        <v>0</v>
      </c>
      <c r="K37" s="151">
        <f>E37-D37</f>
        <v>200</v>
      </c>
      <c r="L37" s="146">
        <f>IF(D37=0,0,K37/D37)</f>
        <v>0</v>
      </c>
      <c r="M37" s="121" t="s">
        <v>204</v>
      </c>
      <c r="N37" s="296"/>
      <c r="O37" s="213"/>
      <c r="P37" s="213"/>
      <c r="Q37" s="109"/>
      <c r="R37" s="109"/>
      <c r="S37" s="299"/>
      <c r="T37" s="300"/>
      <c r="U37" s="301"/>
      <c r="V37" s="295" t="s">
        <v>63</v>
      </c>
      <c r="W37" s="295"/>
      <c r="X37" s="295"/>
      <c r="Y37" s="295"/>
      <c r="Z37" s="295"/>
      <c r="AA37" s="295"/>
      <c r="AB37" s="233"/>
      <c r="AC37" s="233">
        <f>AC38</f>
        <v>200000</v>
      </c>
      <c r="AD37" s="232" t="s">
        <v>25</v>
      </c>
      <c r="AE37" s="2"/>
    </row>
    <row r="38" spans="1:31" s="12" customFormat="1" ht="21" customHeight="1">
      <c r="A38" s="51"/>
      <c r="B38" s="52"/>
      <c r="C38" s="52"/>
      <c r="D38" s="208"/>
      <c r="E38" s="133"/>
      <c r="F38" s="133"/>
      <c r="G38" s="133"/>
      <c r="H38" s="133"/>
      <c r="I38" s="133"/>
      <c r="J38" s="133"/>
      <c r="K38" s="133"/>
      <c r="L38" s="87"/>
      <c r="M38" s="298" t="s">
        <v>205</v>
      </c>
      <c r="N38" s="298"/>
      <c r="O38" s="298"/>
      <c r="P38" s="298"/>
      <c r="Q38" s="297"/>
      <c r="R38" s="306"/>
      <c r="S38" s="262"/>
      <c r="T38" s="91"/>
      <c r="U38" s="95"/>
      <c r="V38" s="91"/>
      <c r="W38" s="96"/>
      <c r="X38" s="93"/>
      <c r="Y38" s="93"/>
      <c r="Z38" s="262"/>
      <c r="AA38" s="405" t="s">
        <v>370</v>
      </c>
      <c r="AB38" s="84"/>
      <c r="AC38" s="84">
        <v>200000</v>
      </c>
      <c r="AD38" s="199" t="s">
        <v>25</v>
      </c>
      <c r="AE38" s="2"/>
    </row>
    <row r="39" spans="1:31" s="12" customFormat="1" ht="21" customHeight="1">
      <c r="A39" s="51"/>
      <c r="B39" s="66"/>
      <c r="C39" s="66"/>
      <c r="D39" s="209"/>
      <c r="E39" s="136"/>
      <c r="F39" s="136"/>
      <c r="G39" s="136"/>
      <c r="H39" s="136"/>
      <c r="I39" s="136"/>
      <c r="J39" s="136"/>
      <c r="K39" s="136"/>
      <c r="L39" s="105"/>
      <c r="M39" s="203"/>
      <c r="N39" s="98"/>
      <c r="O39" s="98"/>
      <c r="P39" s="98"/>
      <c r="Q39" s="97"/>
      <c r="R39" s="303"/>
      <c r="S39" s="107"/>
      <c r="T39" s="107"/>
      <c r="U39" s="107"/>
      <c r="V39" s="97"/>
      <c r="W39" s="107"/>
      <c r="X39" s="107"/>
      <c r="Y39" s="107"/>
      <c r="Z39" s="97"/>
      <c r="AA39" s="107"/>
      <c r="AB39" s="107"/>
      <c r="AC39" s="97"/>
      <c r="AD39" s="152"/>
      <c r="AE39" s="2"/>
    </row>
    <row r="40" spans="1:31" s="12" customFormat="1" ht="21" customHeight="1">
      <c r="A40" s="51"/>
      <c r="B40" s="52" t="s">
        <v>130</v>
      </c>
      <c r="C40" s="52" t="s">
        <v>5</v>
      </c>
      <c r="D40" s="133">
        <f>SUM(D41,D44,D46)</f>
        <v>0</v>
      </c>
      <c r="E40" s="133">
        <f>SUM(E41,E44,E46)</f>
        <v>110</v>
      </c>
      <c r="F40" s="133">
        <f>F41+F44+F46</f>
        <v>110</v>
      </c>
      <c r="G40" s="133">
        <f t="shared" ref="G40" si="5">SUM(G41,G44,G46)</f>
        <v>0</v>
      </c>
      <c r="H40" s="133">
        <v>0</v>
      </c>
      <c r="I40" s="133">
        <v>0</v>
      </c>
      <c r="J40" s="133">
        <f t="shared" ref="J40" si="6">SUM(J41,J44,J46)</f>
        <v>0</v>
      </c>
      <c r="K40" s="133">
        <f>E40-D40</f>
        <v>110</v>
      </c>
      <c r="L40" s="87">
        <f>IF(D40=0,0,K40/D40)</f>
        <v>0</v>
      </c>
      <c r="M40" s="249" t="s">
        <v>138</v>
      </c>
      <c r="N40" s="38"/>
      <c r="O40" s="38"/>
      <c r="P40" s="38"/>
      <c r="Q40" s="39"/>
      <c r="R40" s="248"/>
      <c r="S40" s="39"/>
      <c r="T40" s="39"/>
      <c r="U40" s="39"/>
      <c r="V40" s="252"/>
      <c r="W40" s="252"/>
      <c r="X40" s="252"/>
      <c r="Y40" s="252"/>
      <c r="Z40" s="252"/>
      <c r="AA40" s="252"/>
      <c r="AB40" s="118"/>
      <c r="AC40" s="118">
        <f>SUM(AC41,AC44,AC46)</f>
        <v>110000</v>
      </c>
      <c r="AD40" s="119" t="s">
        <v>25</v>
      </c>
      <c r="AE40" s="5"/>
    </row>
    <row r="41" spans="1:31" s="12" customFormat="1" ht="21" customHeight="1">
      <c r="A41" s="51"/>
      <c r="B41" s="52" t="s">
        <v>137</v>
      </c>
      <c r="C41" s="42" t="s">
        <v>10</v>
      </c>
      <c r="D41" s="210">
        <v>0</v>
      </c>
      <c r="E41" s="138">
        <f>AC41/1000</f>
        <v>100</v>
      </c>
      <c r="F41" s="138">
        <f>AC41/1000</f>
        <v>100</v>
      </c>
      <c r="G41" s="138">
        <v>0</v>
      </c>
      <c r="H41" s="138">
        <v>0</v>
      </c>
      <c r="I41" s="138">
        <v>0</v>
      </c>
      <c r="J41" s="138">
        <v>0</v>
      </c>
      <c r="K41" s="138">
        <f>E41-D41</f>
        <v>100</v>
      </c>
      <c r="L41" s="146">
        <f>IF(D41=0,0,K41/D41)</f>
        <v>0</v>
      </c>
      <c r="M41" s="121" t="s">
        <v>38</v>
      </c>
      <c r="N41" s="200"/>
      <c r="O41" s="213"/>
      <c r="P41" s="213"/>
      <c r="Q41" s="213"/>
      <c r="R41" s="213"/>
      <c r="S41" s="109"/>
      <c r="T41" s="109"/>
      <c r="U41" s="109"/>
      <c r="V41" s="109"/>
      <c r="W41" s="109"/>
      <c r="X41" s="231" t="s">
        <v>140</v>
      </c>
      <c r="Y41" s="231"/>
      <c r="Z41" s="231"/>
      <c r="AA41" s="231"/>
      <c r="AB41" s="233"/>
      <c r="AC41" s="233">
        <f>AC42</f>
        <v>100000</v>
      </c>
      <c r="AD41" s="232" t="s">
        <v>25</v>
      </c>
    </row>
    <row r="42" spans="1:31" s="12" customFormat="1" ht="21" customHeight="1">
      <c r="A42" s="51"/>
      <c r="B42" s="52"/>
      <c r="C42" s="52"/>
      <c r="D42" s="208"/>
      <c r="E42" s="133"/>
      <c r="F42" s="133"/>
      <c r="G42" s="133"/>
      <c r="H42" s="133"/>
      <c r="I42" s="133"/>
      <c r="J42" s="133"/>
      <c r="K42" s="133"/>
      <c r="L42" s="87"/>
      <c r="M42" s="317" t="s">
        <v>257</v>
      </c>
      <c r="N42" s="213"/>
      <c r="O42" s="316"/>
      <c r="P42" s="316"/>
      <c r="Q42" s="316"/>
      <c r="R42" s="316"/>
      <c r="S42" s="315"/>
      <c r="T42" s="315"/>
      <c r="U42" s="315"/>
      <c r="V42" s="315"/>
      <c r="W42" s="315"/>
      <c r="X42" s="124"/>
      <c r="Y42" s="124"/>
      <c r="Z42" s="124"/>
      <c r="AA42" s="124"/>
      <c r="AB42" s="143"/>
      <c r="AC42" s="143">
        <v>100000</v>
      </c>
      <c r="AD42" s="144" t="s">
        <v>258</v>
      </c>
    </row>
    <row r="43" spans="1:31" s="12" customFormat="1" ht="21" customHeight="1">
      <c r="A43" s="51"/>
      <c r="B43" s="52"/>
      <c r="C43" s="66"/>
      <c r="D43" s="209"/>
      <c r="E43" s="136"/>
      <c r="F43" s="136"/>
      <c r="G43" s="136"/>
      <c r="H43" s="136"/>
      <c r="I43" s="136"/>
      <c r="J43" s="136"/>
      <c r="K43" s="136"/>
      <c r="L43" s="105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52"/>
      <c r="AE43" s="1"/>
    </row>
    <row r="44" spans="1:31" s="12" customFormat="1" ht="21" customHeight="1">
      <c r="A44" s="51"/>
      <c r="B44" s="52"/>
      <c r="C44" s="52" t="s">
        <v>11</v>
      </c>
      <c r="D44" s="208">
        <v>0</v>
      </c>
      <c r="E44" s="133">
        <f>AC44/1000</f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f>E44-D44</f>
        <v>0</v>
      </c>
      <c r="L44" s="87">
        <f>IF(D44=0,0,K44/D44)</f>
        <v>0</v>
      </c>
      <c r="M44" s="121" t="s">
        <v>139</v>
      </c>
      <c r="N44" s="230"/>
      <c r="O44" s="38"/>
      <c r="P44" s="38"/>
      <c r="Q44" s="38"/>
      <c r="R44" s="249"/>
      <c r="S44" s="39"/>
      <c r="T44" s="39"/>
      <c r="U44" s="39"/>
      <c r="V44" s="39"/>
      <c r="W44" s="39"/>
      <c r="X44" s="231" t="s">
        <v>140</v>
      </c>
      <c r="Y44" s="231"/>
      <c r="Z44" s="231"/>
      <c r="AA44" s="231"/>
      <c r="AB44" s="233"/>
      <c r="AC44" s="233">
        <v>0</v>
      </c>
      <c r="AD44" s="232" t="s">
        <v>25</v>
      </c>
      <c r="AE44" s="1"/>
    </row>
    <row r="45" spans="1:31" s="12" customFormat="1" ht="21" customHeight="1">
      <c r="A45" s="51"/>
      <c r="B45" s="52"/>
      <c r="C45" s="66"/>
      <c r="D45" s="209"/>
      <c r="E45" s="136"/>
      <c r="F45" s="136"/>
      <c r="G45" s="136"/>
      <c r="H45" s="136"/>
      <c r="I45" s="136"/>
      <c r="J45" s="136"/>
      <c r="K45" s="136"/>
      <c r="L45" s="105"/>
      <c r="M45" s="203"/>
      <c r="N45" s="98"/>
      <c r="O45" s="98"/>
      <c r="P45" s="98"/>
      <c r="Q45" s="97"/>
      <c r="R45" s="303"/>
      <c r="S45" s="106"/>
      <c r="T45" s="106"/>
      <c r="U45" s="97"/>
      <c r="V45" s="98"/>
      <c r="W45" s="97"/>
      <c r="X45" s="97"/>
      <c r="Y45" s="97"/>
      <c r="Z45" s="97"/>
      <c r="AA45" s="97"/>
      <c r="AB45" s="97"/>
      <c r="AC45" s="97"/>
      <c r="AD45" s="90"/>
      <c r="AE45" s="1"/>
    </row>
    <row r="46" spans="1:31" s="12" customFormat="1" ht="21" customHeight="1">
      <c r="A46" s="51"/>
      <c r="B46" s="52"/>
      <c r="C46" s="52" t="s">
        <v>97</v>
      </c>
      <c r="D46" s="208">
        <v>0</v>
      </c>
      <c r="E46" s="133">
        <f>F46+G46+H46+J46</f>
        <v>10</v>
      </c>
      <c r="F46" s="133">
        <f>AC47/1000</f>
        <v>10</v>
      </c>
      <c r="G46" s="133">
        <v>0</v>
      </c>
      <c r="H46" s="133">
        <v>0</v>
      </c>
      <c r="I46" s="133">
        <v>0</v>
      </c>
      <c r="J46" s="138">
        <v>0</v>
      </c>
      <c r="K46" s="341">
        <f>E46-D46</f>
        <v>10</v>
      </c>
      <c r="L46" s="87">
        <f>IF(D46=0,0,K46/D46)</f>
        <v>0</v>
      </c>
      <c r="M46" s="141" t="s">
        <v>39</v>
      </c>
      <c r="N46" s="38"/>
      <c r="O46" s="38"/>
      <c r="P46" s="38"/>
      <c r="Q46" s="38"/>
      <c r="R46" s="249"/>
      <c r="S46" s="39"/>
      <c r="T46" s="39"/>
      <c r="U46" s="39"/>
      <c r="V46" s="39"/>
      <c r="W46" s="39"/>
      <c r="X46" s="231" t="s">
        <v>140</v>
      </c>
      <c r="Y46" s="231"/>
      <c r="Z46" s="231"/>
      <c r="AA46" s="231"/>
      <c r="AB46" s="233"/>
      <c r="AC46" s="233">
        <f>AC47</f>
        <v>10000</v>
      </c>
      <c r="AD46" s="232" t="s">
        <v>25</v>
      </c>
      <c r="AE46" s="1"/>
    </row>
    <row r="47" spans="1:31" s="15" customFormat="1" ht="21" customHeight="1">
      <c r="A47" s="51"/>
      <c r="B47" s="52"/>
      <c r="C47" s="52"/>
      <c r="D47" s="208"/>
      <c r="E47" s="133"/>
      <c r="F47" s="133"/>
      <c r="G47" s="133"/>
      <c r="H47" s="133"/>
      <c r="I47" s="133"/>
      <c r="J47" s="133"/>
      <c r="K47" s="133"/>
      <c r="L47" s="87"/>
      <c r="M47" s="265" t="s">
        <v>175</v>
      </c>
      <c r="N47" s="56"/>
      <c r="O47" s="56"/>
      <c r="P47" s="56"/>
      <c r="Q47" s="57">
        <v>5000</v>
      </c>
      <c r="R47" s="306"/>
      <c r="S47" s="61" t="s">
        <v>25</v>
      </c>
      <c r="T47" s="61" t="s">
        <v>26</v>
      </c>
      <c r="U47" s="57">
        <v>2</v>
      </c>
      <c r="V47" s="280" t="s">
        <v>176</v>
      </c>
      <c r="W47" s="57"/>
      <c r="X47" s="57"/>
      <c r="Y47" s="57"/>
      <c r="Z47" s="57" t="s">
        <v>27</v>
      </c>
      <c r="AA47" s="57"/>
      <c r="AB47" s="57"/>
      <c r="AC47" s="57">
        <f>Q47*U47</f>
        <v>10000</v>
      </c>
      <c r="AD47" s="64" t="s">
        <v>25</v>
      </c>
      <c r="AE47" s="4"/>
    </row>
    <row r="48" spans="1:31" s="15" customFormat="1" ht="21" customHeight="1">
      <c r="A48" s="51"/>
      <c r="B48" s="52"/>
      <c r="C48" s="52"/>
      <c r="D48" s="208"/>
      <c r="E48" s="133"/>
      <c r="F48" s="133"/>
      <c r="G48" s="133"/>
      <c r="H48" s="133"/>
      <c r="I48" s="133"/>
      <c r="J48" s="133"/>
      <c r="K48" s="133"/>
      <c r="L48" s="87"/>
      <c r="M48" s="56"/>
      <c r="N48" s="56"/>
      <c r="O48" s="56"/>
      <c r="P48" s="56"/>
      <c r="Q48" s="57"/>
      <c r="R48" s="306"/>
      <c r="S48" s="61"/>
      <c r="T48" s="61"/>
      <c r="U48" s="57"/>
      <c r="V48" s="56"/>
      <c r="W48" s="57"/>
      <c r="X48" s="57"/>
      <c r="Y48" s="57"/>
      <c r="Z48" s="57"/>
      <c r="AA48" s="57"/>
      <c r="AB48" s="57"/>
      <c r="AC48" s="57"/>
      <c r="AD48" s="64"/>
      <c r="AE48" s="4"/>
    </row>
    <row r="49" spans="1:33" s="12" customFormat="1" ht="21" customHeight="1">
      <c r="A49" s="51"/>
      <c r="B49" s="42" t="s">
        <v>12</v>
      </c>
      <c r="C49" s="226" t="s">
        <v>5</v>
      </c>
      <c r="D49" s="228">
        <f t="shared" ref="D49:J49" si="7">SUM(D50,D53,D58,D64,D72,D75)</f>
        <v>3561</v>
      </c>
      <c r="E49" s="228">
        <f t="shared" si="7"/>
        <v>5875</v>
      </c>
      <c r="F49" s="228">
        <f>SUM(F50,F53,F58,F64,F72,F75)</f>
        <v>4462.05</v>
      </c>
      <c r="G49" s="228">
        <f t="shared" si="7"/>
        <v>0</v>
      </c>
      <c r="H49" s="228">
        <f>SUM(H50,H53,H58,H64,H72,H75)</f>
        <v>1413.3359599999999</v>
      </c>
      <c r="I49" s="228">
        <v>0</v>
      </c>
      <c r="J49" s="228">
        <f t="shared" si="7"/>
        <v>0</v>
      </c>
      <c r="K49" s="228">
        <f>E49-D49</f>
        <v>2314</v>
      </c>
      <c r="L49" s="229">
        <f>IF(D49=0,0,K49/D49)</f>
        <v>0.64981746700365062</v>
      </c>
      <c r="M49" s="230" t="s">
        <v>144</v>
      </c>
      <c r="N49" s="230"/>
      <c r="O49" s="230"/>
      <c r="P49" s="230"/>
      <c r="Q49" s="231"/>
      <c r="R49" s="304"/>
      <c r="S49" s="254"/>
      <c r="T49" s="231"/>
      <c r="U49" s="471"/>
      <c r="V49" s="472"/>
      <c r="W49" s="231"/>
      <c r="X49" s="231"/>
      <c r="Y49" s="231"/>
      <c r="Z49" s="231"/>
      <c r="AA49" s="231"/>
      <c r="AB49" s="231"/>
      <c r="AC49" s="231">
        <f>SUM(AC50,AC53,AC58,AC64,AC72,AC75)</f>
        <v>5875050</v>
      </c>
      <c r="AD49" s="232" t="s">
        <v>25</v>
      </c>
      <c r="AE49" s="1"/>
    </row>
    <row r="50" spans="1:33" s="12" customFormat="1" ht="21" customHeight="1">
      <c r="A50" s="51"/>
      <c r="B50" s="52"/>
      <c r="C50" s="52" t="s">
        <v>98</v>
      </c>
      <c r="D50" s="208">
        <v>0</v>
      </c>
      <c r="E50" s="133">
        <f>AC50/1000</f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33">
        <f>E50-D50</f>
        <v>0</v>
      </c>
      <c r="L50" s="87">
        <f>IF(D50=0,0,K50/D50)</f>
        <v>0</v>
      </c>
      <c r="M50" s="141" t="s">
        <v>41</v>
      </c>
      <c r="N50" s="38"/>
      <c r="O50" s="38"/>
      <c r="P50" s="38"/>
      <c r="Q50" s="38"/>
      <c r="R50" s="249"/>
      <c r="S50" s="39"/>
      <c r="T50" s="39"/>
      <c r="U50" s="39"/>
      <c r="V50" s="39"/>
      <c r="W50" s="39"/>
      <c r="X50" s="281" t="s">
        <v>140</v>
      </c>
      <c r="Y50" s="281"/>
      <c r="Z50" s="281"/>
      <c r="AA50" s="281"/>
      <c r="AB50" s="233"/>
      <c r="AC50" s="233">
        <f>AC51</f>
        <v>0</v>
      </c>
      <c r="AD50" s="232" t="s">
        <v>25</v>
      </c>
      <c r="AE50" s="21"/>
      <c r="AF50" s="20"/>
      <c r="AG50" s="20"/>
    </row>
    <row r="51" spans="1:33" s="12" customFormat="1" ht="21" customHeight="1">
      <c r="A51" s="51"/>
      <c r="B51" s="52"/>
      <c r="C51" s="52"/>
      <c r="D51" s="208"/>
      <c r="E51" s="133"/>
      <c r="F51" s="133"/>
      <c r="G51" s="133"/>
      <c r="H51" s="133"/>
      <c r="I51" s="133"/>
      <c r="J51" s="133"/>
      <c r="K51" s="133"/>
      <c r="L51" s="87"/>
      <c r="M51" s="251" t="s">
        <v>145</v>
      </c>
      <c r="N51" s="56"/>
      <c r="O51" s="56"/>
      <c r="P51" s="56"/>
      <c r="Q51" s="57"/>
      <c r="R51" s="306"/>
      <c r="S51" s="61" t="s">
        <v>25</v>
      </c>
      <c r="T51" s="61" t="s">
        <v>26</v>
      </c>
      <c r="U51" s="57"/>
      <c r="V51" s="61" t="s">
        <v>146</v>
      </c>
      <c r="W51" s="57" t="s">
        <v>26</v>
      </c>
      <c r="X51" s="57"/>
      <c r="Y51" s="250" t="s">
        <v>147</v>
      </c>
      <c r="Z51" s="57" t="s">
        <v>27</v>
      </c>
      <c r="AA51" s="250"/>
      <c r="AB51" s="57"/>
      <c r="AC51" s="57">
        <v>0</v>
      </c>
      <c r="AD51" s="64" t="s">
        <v>67</v>
      </c>
      <c r="AE51" s="21"/>
      <c r="AF51" s="20"/>
      <c r="AG51" s="20"/>
    </row>
    <row r="52" spans="1:33" s="12" customFormat="1" ht="21" customHeight="1">
      <c r="A52" s="51"/>
      <c r="B52" s="52"/>
      <c r="C52" s="52"/>
      <c r="D52" s="208"/>
      <c r="E52" s="133"/>
      <c r="F52" s="133"/>
      <c r="G52" s="133"/>
      <c r="H52" s="133"/>
      <c r="I52" s="133"/>
      <c r="J52" s="133"/>
      <c r="K52" s="133"/>
      <c r="L52" s="87"/>
      <c r="AD52" s="318"/>
      <c r="AE52" s="2"/>
    </row>
    <row r="53" spans="1:33" s="12" customFormat="1" ht="21" customHeight="1">
      <c r="A53" s="51"/>
      <c r="B53" s="52"/>
      <c r="C53" s="42" t="s">
        <v>42</v>
      </c>
      <c r="D53" s="210">
        <v>2054</v>
      </c>
      <c r="E53" s="138">
        <f>ROUND(AC53/1000,0)</f>
        <v>1859</v>
      </c>
      <c r="F53" s="138">
        <f>(AC54+AC55)/1000</f>
        <v>926.09</v>
      </c>
      <c r="G53" s="138">
        <v>0</v>
      </c>
      <c r="H53" s="138">
        <f>SUM(AC56)/1000</f>
        <v>933</v>
      </c>
      <c r="I53" s="138">
        <v>0</v>
      </c>
      <c r="J53" s="138">
        <v>0</v>
      </c>
      <c r="K53" s="138">
        <f>E53-D53</f>
        <v>-195</v>
      </c>
      <c r="L53" s="146">
        <f>IF(D53=0,0,K53/D53)</f>
        <v>-9.49367088607595E-2</v>
      </c>
      <c r="M53" s="121" t="s">
        <v>43</v>
      </c>
      <c r="N53" s="117"/>
      <c r="O53" s="117"/>
      <c r="P53" s="117"/>
      <c r="Q53" s="117"/>
      <c r="R53" s="253"/>
      <c r="S53" s="110"/>
      <c r="T53" s="110"/>
      <c r="U53" s="110"/>
      <c r="V53" s="110"/>
      <c r="W53" s="110"/>
      <c r="X53" s="281" t="s">
        <v>177</v>
      </c>
      <c r="Y53" s="231"/>
      <c r="Z53" s="231"/>
      <c r="AA53" s="231"/>
      <c r="AB53" s="233"/>
      <c r="AC53" s="233">
        <f>SUM(AC54:AC56)</f>
        <v>1859090</v>
      </c>
      <c r="AD53" s="232" t="s">
        <v>25</v>
      </c>
      <c r="AE53" s="1"/>
    </row>
    <row r="54" spans="1:33" s="12" customFormat="1" ht="21" customHeight="1">
      <c r="A54" s="51"/>
      <c r="B54" s="52"/>
      <c r="C54" s="52" t="s">
        <v>151</v>
      </c>
      <c r="D54" s="208"/>
      <c r="E54" s="133"/>
      <c r="F54" s="133"/>
      <c r="G54" s="133"/>
      <c r="H54" s="133"/>
      <c r="I54" s="133"/>
      <c r="J54" s="133"/>
      <c r="K54" s="133"/>
      <c r="L54" s="87"/>
      <c r="M54" s="213" t="s">
        <v>178</v>
      </c>
      <c r="N54" s="56"/>
      <c r="O54" s="56"/>
      <c r="P54" s="56"/>
      <c r="Q54" s="57"/>
      <c r="R54" s="306"/>
      <c r="S54" s="61"/>
      <c r="T54" s="57"/>
      <c r="U54" s="473"/>
      <c r="V54" s="474"/>
      <c r="W54" s="57"/>
      <c r="X54" s="109"/>
      <c r="Y54" s="109"/>
      <c r="Z54" s="109"/>
      <c r="AA54" s="109" t="s">
        <v>370</v>
      </c>
      <c r="AB54" s="109"/>
      <c r="AC54" s="109">
        <v>428000</v>
      </c>
      <c r="AD54" s="148" t="s">
        <v>25</v>
      </c>
      <c r="AE54" s="1"/>
    </row>
    <row r="55" spans="1:33" s="12" customFormat="1" ht="21" customHeight="1">
      <c r="A55" s="51"/>
      <c r="B55" s="52"/>
      <c r="C55" s="52"/>
      <c r="D55" s="208"/>
      <c r="E55" s="133"/>
      <c r="F55" s="133"/>
      <c r="G55" s="133"/>
      <c r="H55" s="133"/>
      <c r="I55" s="133"/>
      <c r="J55" s="133"/>
      <c r="K55" s="133"/>
      <c r="L55" s="87"/>
      <c r="M55" s="298" t="s">
        <v>215</v>
      </c>
      <c r="N55" s="280"/>
      <c r="O55" s="280"/>
      <c r="P55" s="280"/>
      <c r="Q55" s="279"/>
      <c r="R55" s="306"/>
      <c r="S55" s="61"/>
      <c r="T55" s="61"/>
      <c r="U55" s="279"/>
      <c r="V55" s="280"/>
      <c r="W55" s="279"/>
      <c r="X55" s="279"/>
      <c r="Y55" s="279"/>
      <c r="Z55" s="279"/>
      <c r="AA55" s="405" t="s">
        <v>370</v>
      </c>
      <c r="AB55" s="279"/>
      <c r="AC55" s="279">
        <v>498090</v>
      </c>
      <c r="AD55" s="64" t="s">
        <v>180</v>
      </c>
      <c r="AE55" s="21"/>
    </row>
    <row r="56" spans="1:33" s="12" customFormat="1" ht="21" customHeight="1">
      <c r="A56" s="51"/>
      <c r="B56" s="52"/>
      <c r="C56" s="52"/>
      <c r="D56" s="208"/>
      <c r="E56" s="133"/>
      <c r="F56" s="133"/>
      <c r="G56" s="133"/>
      <c r="H56" s="133"/>
      <c r="I56" s="133"/>
      <c r="J56" s="133"/>
      <c r="K56" s="133"/>
      <c r="L56" s="87"/>
      <c r="M56" s="298" t="s">
        <v>216</v>
      </c>
      <c r="N56" s="298"/>
      <c r="O56" s="298"/>
      <c r="P56" s="298"/>
      <c r="Q56" s="297"/>
      <c r="R56" s="306"/>
      <c r="S56" s="61"/>
      <c r="T56" s="61"/>
      <c r="U56" s="297"/>
      <c r="V56" s="298"/>
      <c r="W56" s="297"/>
      <c r="X56" s="297"/>
      <c r="Y56" s="297"/>
      <c r="Z56" s="297"/>
      <c r="AA56" s="357" t="s">
        <v>304</v>
      </c>
      <c r="AB56" s="297"/>
      <c r="AC56" s="297">
        <v>933000</v>
      </c>
      <c r="AD56" s="64" t="s">
        <v>212</v>
      </c>
      <c r="AE56" s="21"/>
    </row>
    <row r="57" spans="1:33" s="12" customFormat="1" ht="21" customHeight="1">
      <c r="A57" s="51"/>
      <c r="B57" s="52"/>
      <c r="C57" s="66"/>
      <c r="D57" s="209"/>
      <c r="E57" s="136"/>
      <c r="F57" s="136"/>
      <c r="G57" s="136"/>
      <c r="H57" s="136"/>
      <c r="I57" s="136"/>
      <c r="J57" s="136"/>
      <c r="K57" s="136"/>
      <c r="L57" s="105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  <c r="AD57" s="161"/>
      <c r="AE57" s="1"/>
    </row>
    <row r="58" spans="1:33" s="12" customFormat="1" ht="21" customHeight="1">
      <c r="A58" s="51"/>
      <c r="B58" s="52"/>
      <c r="C58" s="52" t="s">
        <v>40</v>
      </c>
      <c r="D58" s="208">
        <v>1406</v>
      </c>
      <c r="E58" s="133">
        <f>ROUND(AC58/1000,0)</f>
        <v>3680</v>
      </c>
      <c r="F58" s="133">
        <f>(AC60+AC59)/1000</f>
        <v>3200</v>
      </c>
      <c r="G58" s="133">
        <v>0</v>
      </c>
      <c r="H58" s="133">
        <f>(AC61+AC62)/1000</f>
        <v>480</v>
      </c>
      <c r="I58" s="133">
        <v>0</v>
      </c>
      <c r="J58" s="133">
        <v>0</v>
      </c>
      <c r="K58" s="133">
        <f>E58-D58</f>
        <v>2274</v>
      </c>
      <c r="L58" s="87">
        <f>IF(D58=0,0,K58/D58)</f>
        <v>1.6173541963015647</v>
      </c>
      <c r="M58" s="141" t="s">
        <v>44</v>
      </c>
      <c r="N58" s="38"/>
      <c r="O58" s="38"/>
      <c r="P58" s="38"/>
      <c r="Q58" s="38"/>
      <c r="R58" s="249"/>
      <c r="S58" s="39"/>
      <c r="T58" s="39"/>
      <c r="U58" s="39"/>
      <c r="V58" s="39"/>
      <c r="W58" s="39"/>
      <c r="X58" s="231" t="s">
        <v>140</v>
      </c>
      <c r="Y58" s="231"/>
      <c r="Z58" s="231"/>
      <c r="AA58" s="231"/>
      <c r="AB58" s="233"/>
      <c r="AC58" s="233">
        <f>SUM(AC59:AC62)</f>
        <v>3680000</v>
      </c>
      <c r="AD58" s="232" t="s">
        <v>25</v>
      </c>
      <c r="AE58" s="1"/>
    </row>
    <row r="59" spans="1:33" s="12" customFormat="1" ht="21" customHeight="1">
      <c r="A59" s="51"/>
      <c r="B59" s="52"/>
      <c r="C59" s="52"/>
      <c r="D59" s="208"/>
      <c r="E59" s="133"/>
      <c r="F59" s="133"/>
      <c r="G59" s="133"/>
      <c r="H59" s="133"/>
      <c r="I59" s="133"/>
      <c r="J59" s="133"/>
      <c r="K59" s="133"/>
      <c r="L59" s="87"/>
      <c r="M59" s="213" t="s">
        <v>297</v>
      </c>
      <c r="N59" s="56"/>
      <c r="O59" s="56"/>
      <c r="P59" s="56"/>
      <c r="Q59" s="156">
        <v>40000</v>
      </c>
      <c r="R59" s="156"/>
      <c r="S59" s="157" t="s">
        <v>25</v>
      </c>
      <c r="T59" s="157" t="s">
        <v>26</v>
      </c>
      <c r="U59" s="156">
        <v>10</v>
      </c>
      <c r="V59" s="155" t="s">
        <v>29</v>
      </c>
      <c r="W59" s="156" t="s">
        <v>27</v>
      </c>
      <c r="X59" s="57"/>
      <c r="Y59" s="57"/>
      <c r="Z59" s="153"/>
      <c r="AA59" s="357" t="s">
        <v>305</v>
      </c>
      <c r="AB59" s="57"/>
      <c r="AC59" s="57">
        <f>ROUNDUP(Q59*U59,1)</f>
        <v>400000</v>
      </c>
      <c r="AD59" s="64" t="s">
        <v>25</v>
      </c>
      <c r="AE59" s="1"/>
    </row>
    <row r="60" spans="1:33" s="12" customFormat="1" ht="21" customHeight="1">
      <c r="A60" s="51"/>
      <c r="B60" s="52"/>
      <c r="C60" s="52"/>
      <c r="D60" s="208"/>
      <c r="E60" s="133"/>
      <c r="F60" s="133"/>
      <c r="G60" s="133"/>
      <c r="H60" s="133"/>
      <c r="I60" s="133"/>
      <c r="J60" s="133"/>
      <c r="K60" s="133"/>
      <c r="L60" s="87"/>
      <c r="M60" s="83" t="s">
        <v>298</v>
      </c>
      <c r="N60" s="196"/>
      <c r="O60" s="196"/>
      <c r="P60" s="196"/>
      <c r="Q60" s="250">
        <v>280000</v>
      </c>
      <c r="R60" s="306"/>
      <c r="S60" s="61" t="s">
        <v>57</v>
      </c>
      <c r="T60" s="61" t="s">
        <v>26</v>
      </c>
      <c r="U60" s="250">
        <v>10</v>
      </c>
      <c r="V60" s="251" t="s">
        <v>0</v>
      </c>
      <c r="W60" s="250" t="s">
        <v>27</v>
      </c>
      <c r="X60" s="250"/>
      <c r="Y60" s="250"/>
      <c r="Z60" s="250"/>
      <c r="AA60" s="357" t="s">
        <v>305</v>
      </c>
      <c r="AB60" s="250"/>
      <c r="AC60" s="250">
        <f>Q60*U60</f>
        <v>2800000</v>
      </c>
      <c r="AD60" s="64" t="s">
        <v>115</v>
      </c>
      <c r="AE60" s="1"/>
    </row>
    <row r="61" spans="1:33" s="12" customFormat="1" ht="21" customHeight="1">
      <c r="A61" s="51"/>
      <c r="B61" s="52"/>
      <c r="C61" s="52"/>
      <c r="D61" s="208"/>
      <c r="E61" s="133"/>
      <c r="F61" s="133"/>
      <c r="G61" s="133"/>
      <c r="H61" s="133"/>
      <c r="I61" s="133"/>
      <c r="J61" s="133"/>
      <c r="K61" s="133"/>
      <c r="L61" s="87"/>
      <c r="M61" s="334" t="s">
        <v>299</v>
      </c>
      <c r="N61" s="334"/>
      <c r="O61" s="334"/>
      <c r="P61" s="334"/>
      <c r="Q61" s="156">
        <v>40000</v>
      </c>
      <c r="R61" s="156"/>
      <c r="S61" s="157" t="s">
        <v>25</v>
      </c>
      <c r="T61" s="157" t="s">
        <v>26</v>
      </c>
      <c r="U61" s="156">
        <v>2</v>
      </c>
      <c r="V61" s="155" t="s">
        <v>29</v>
      </c>
      <c r="W61" s="156" t="s">
        <v>27</v>
      </c>
      <c r="X61" s="333"/>
      <c r="Y61" s="333"/>
      <c r="Z61" s="333"/>
      <c r="AA61" s="357" t="s">
        <v>304</v>
      </c>
      <c r="AB61" s="333"/>
      <c r="AC61" s="333">
        <f>ROUNDUP(Q61*U61,1)</f>
        <v>80000</v>
      </c>
      <c r="AD61" s="64" t="s">
        <v>25</v>
      </c>
      <c r="AE61" s="1"/>
    </row>
    <row r="62" spans="1:33" s="12" customFormat="1" ht="21" customHeight="1">
      <c r="A62" s="51"/>
      <c r="B62" s="52"/>
      <c r="C62" s="52"/>
      <c r="D62" s="208"/>
      <c r="E62" s="133"/>
      <c r="F62" s="133"/>
      <c r="G62" s="133"/>
      <c r="H62" s="133"/>
      <c r="I62" s="133"/>
      <c r="J62" s="133"/>
      <c r="K62" s="133"/>
      <c r="L62" s="87"/>
      <c r="M62" s="406" t="s">
        <v>300</v>
      </c>
      <c r="N62" s="334"/>
      <c r="O62" s="334"/>
      <c r="P62" s="334"/>
      <c r="Q62" s="333">
        <v>200000</v>
      </c>
      <c r="R62" s="333"/>
      <c r="S62" s="61" t="s">
        <v>57</v>
      </c>
      <c r="T62" s="61" t="s">
        <v>26</v>
      </c>
      <c r="U62" s="333">
        <v>2</v>
      </c>
      <c r="V62" s="334" t="s">
        <v>0</v>
      </c>
      <c r="W62" s="333" t="s">
        <v>27</v>
      </c>
      <c r="X62" s="333"/>
      <c r="Y62" s="333"/>
      <c r="Z62" s="333"/>
      <c r="AA62" s="357" t="s">
        <v>304</v>
      </c>
      <c r="AB62" s="333"/>
      <c r="AC62" s="333">
        <f>Q62*U62</f>
        <v>400000</v>
      </c>
      <c r="AD62" s="64" t="s">
        <v>57</v>
      </c>
      <c r="AE62" s="1"/>
    </row>
    <row r="63" spans="1:33" s="15" customFormat="1" ht="21" customHeight="1">
      <c r="A63" s="51"/>
      <c r="B63" s="52"/>
      <c r="C63" s="52"/>
      <c r="D63" s="208"/>
      <c r="E63" s="133"/>
      <c r="F63" s="133"/>
      <c r="G63" s="133"/>
      <c r="H63" s="133"/>
      <c r="I63" s="133"/>
      <c r="J63" s="133"/>
      <c r="K63" s="133"/>
      <c r="L63" s="87"/>
      <c r="M63" s="145"/>
      <c r="N63" s="56"/>
      <c r="O63" s="56"/>
      <c r="P63" s="56"/>
      <c r="Q63" s="57"/>
      <c r="R63" s="306"/>
      <c r="S63" s="61"/>
      <c r="T63" s="61"/>
      <c r="U63" s="57"/>
      <c r="V63" s="56"/>
      <c r="W63" s="57"/>
      <c r="X63" s="57"/>
      <c r="Y63" s="57"/>
      <c r="Z63" s="57"/>
      <c r="AA63" s="178"/>
      <c r="AB63" s="57"/>
      <c r="AC63" s="57"/>
      <c r="AD63" s="64"/>
      <c r="AE63" s="4"/>
    </row>
    <row r="64" spans="1:33" ht="21" customHeight="1">
      <c r="A64" s="51"/>
      <c r="B64" s="52"/>
      <c r="C64" s="42" t="s">
        <v>15</v>
      </c>
      <c r="D64" s="210">
        <v>101</v>
      </c>
      <c r="E64" s="138">
        <f>ROUND(AC64/1000,0)</f>
        <v>336</v>
      </c>
      <c r="F64" s="138">
        <f>(AC67+AC68+AC69+AC65+AC66+AC70)/1000</f>
        <v>335.96</v>
      </c>
      <c r="G64" s="138">
        <v>0</v>
      </c>
      <c r="H64" s="138">
        <f>(F64)/1000</f>
        <v>0.33595999999999998</v>
      </c>
      <c r="I64" s="138">
        <v>0</v>
      </c>
      <c r="J64" s="138">
        <v>0</v>
      </c>
      <c r="K64" s="255">
        <f>E64-D64</f>
        <v>235</v>
      </c>
      <c r="L64" s="146">
        <f>IF(D64=0,0,K64/D64)</f>
        <v>2.3267326732673266</v>
      </c>
      <c r="M64" s="121" t="s">
        <v>45</v>
      </c>
      <c r="N64" s="117"/>
      <c r="O64" s="117"/>
      <c r="P64" s="117"/>
      <c r="Q64" s="117"/>
      <c r="R64" s="253"/>
      <c r="S64" s="110"/>
      <c r="T64" s="110"/>
      <c r="U64" s="110"/>
      <c r="V64" s="110"/>
      <c r="W64" s="110"/>
      <c r="X64" s="231" t="s">
        <v>140</v>
      </c>
      <c r="Y64" s="231"/>
      <c r="Z64" s="231"/>
      <c r="AA64" s="231"/>
      <c r="AB64" s="233"/>
      <c r="AC64" s="233">
        <f>SUM(AC65:AC70)</f>
        <v>335960</v>
      </c>
      <c r="AD64" s="232" t="s">
        <v>25</v>
      </c>
    </row>
    <row r="65" spans="1:31" s="12" customFormat="1" ht="21" customHeight="1">
      <c r="A65" s="51"/>
      <c r="B65" s="52"/>
      <c r="C65" s="52"/>
      <c r="D65" s="208"/>
      <c r="E65" s="133"/>
      <c r="F65" s="133"/>
      <c r="G65" s="133"/>
      <c r="H65" s="133"/>
      <c r="I65" s="133"/>
      <c r="J65" s="133"/>
      <c r="K65" s="133"/>
      <c r="L65" s="87"/>
      <c r="M65" s="280" t="s">
        <v>181</v>
      </c>
      <c r="N65" s="162"/>
      <c r="O65" s="162"/>
      <c r="P65" s="162"/>
      <c r="Q65" s="156">
        <v>43200</v>
      </c>
      <c r="R65" s="156"/>
      <c r="S65" s="157" t="s">
        <v>25</v>
      </c>
      <c r="T65" s="157" t="s">
        <v>26</v>
      </c>
      <c r="U65" s="156">
        <v>1</v>
      </c>
      <c r="V65" s="155" t="s">
        <v>176</v>
      </c>
      <c r="W65" s="156" t="s">
        <v>27</v>
      </c>
      <c r="X65" s="57"/>
      <c r="Y65" s="57"/>
      <c r="Z65" s="56"/>
      <c r="AA65" s="406" t="s">
        <v>370</v>
      </c>
      <c r="AB65" s="57"/>
      <c r="AC65" s="57">
        <f>Q65*U65</f>
        <v>43200</v>
      </c>
      <c r="AD65" s="64" t="s">
        <v>180</v>
      </c>
      <c r="AE65" s="1"/>
    </row>
    <row r="66" spans="1:31" s="12" customFormat="1" ht="21" customHeight="1">
      <c r="A66" s="51"/>
      <c r="B66" s="52"/>
      <c r="C66" s="52"/>
      <c r="D66" s="208"/>
      <c r="E66" s="133"/>
      <c r="F66" s="133"/>
      <c r="G66" s="133"/>
      <c r="H66" s="133"/>
      <c r="I66" s="133"/>
      <c r="J66" s="133"/>
      <c r="K66" s="133"/>
      <c r="L66" s="87"/>
      <c r="M66" s="290" t="s">
        <v>182</v>
      </c>
      <c r="N66" s="34"/>
      <c r="O66" s="34"/>
      <c r="P66" s="34"/>
      <c r="Q66" s="156">
        <v>73400</v>
      </c>
      <c r="R66" s="156"/>
      <c r="S66" s="157" t="s">
        <v>25</v>
      </c>
      <c r="T66" s="157" t="s">
        <v>26</v>
      </c>
      <c r="U66" s="156">
        <v>1</v>
      </c>
      <c r="V66" s="155" t="s">
        <v>176</v>
      </c>
      <c r="W66" s="156" t="s">
        <v>27</v>
      </c>
      <c r="X66" s="279"/>
      <c r="Y66" s="279"/>
      <c r="Z66" s="280"/>
      <c r="AA66" s="406" t="s">
        <v>370</v>
      </c>
      <c r="AB66" s="279"/>
      <c r="AC66" s="279">
        <f>Q66*U66</f>
        <v>73400</v>
      </c>
      <c r="AD66" s="64" t="s">
        <v>180</v>
      </c>
      <c r="AE66" s="1"/>
    </row>
    <row r="67" spans="1:31" s="12" customFormat="1" ht="21" customHeight="1">
      <c r="A67" s="51"/>
      <c r="B67" s="52"/>
      <c r="C67" s="52"/>
      <c r="D67" s="208"/>
      <c r="E67" s="133"/>
      <c r="F67" s="133"/>
      <c r="G67" s="133"/>
      <c r="H67" s="133"/>
      <c r="I67" s="133"/>
      <c r="J67" s="133"/>
      <c r="K67" s="133"/>
      <c r="L67" s="87"/>
      <c r="M67" s="280" t="s">
        <v>183</v>
      </c>
      <c r="N67" s="34"/>
      <c r="O67" s="34"/>
      <c r="P67" s="34"/>
      <c r="Q67" s="156">
        <v>110000</v>
      </c>
      <c r="R67" s="156"/>
      <c r="S67" s="157" t="s">
        <v>25</v>
      </c>
      <c r="T67" s="157" t="s">
        <v>26</v>
      </c>
      <c r="U67" s="156">
        <v>1</v>
      </c>
      <c r="V67" s="155" t="s">
        <v>176</v>
      </c>
      <c r="W67" s="156" t="s">
        <v>27</v>
      </c>
      <c r="X67" s="57"/>
      <c r="Y67" s="57"/>
      <c r="Z67" s="56"/>
      <c r="AA67" s="406" t="s">
        <v>370</v>
      </c>
      <c r="AB67" s="57"/>
      <c r="AC67" s="279">
        <f t="shared" ref="AC67:AC69" si="8">Q67*U67</f>
        <v>110000</v>
      </c>
      <c r="AD67" s="64" t="s">
        <v>25</v>
      </c>
      <c r="AE67" s="1"/>
    </row>
    <row r="68" spans="1:31" s="12" customFormat="1" ht="21" customHeight="1">
      <c r="A68" s="51"/>
      <c r="B68" s="52"/>
      <c r="C68" s="52"/>
      <c r="D68" s="208"/>
      <c r="E68" s="133"/>
      <c r="F68" s="133"/>
      <c r="G68" s="133"/>
      <c r="H68" s="133"/>
      <c r="I68" s="133"/>
      <c r="J68" s="133"/>
      <c r="K68" s="133"/>
      <c r="L68" s="87"/>
      <c r="M68" s="280" t="s">
        <v>184</v>
      </c>
      <c r="N68" s="162"/>
      <c r="O68" s="162"/>
      <c r="P68" s="162"/>
      <c r="Q68" s="156">
        <v>55000</v>
      </c>
      <c r="R68" s="156"/>
      <c r="S68" s="157" t="s">
        <v>25</v>
      </c>
      <c r="T68" s="157" t="s">
        <v>26</v>
      </c>
      <c r="U68" s="156">
        <v>1</v>
      </c>
      <c r="V68" s="155" t="s">
        <v>176</v>
      </c>
      <c r="W68" s="156" t="s">
        <v>27</v>
      </c>
      <c r="X68" s="57"/>
      <c r="Y68" s="57"/>
      <c r="Z68" s="56"/>
      <c r="AA68" s="406" t="s">
        <v>370</v>
      </c>
      <c r="AB68" s="57"/>
      <c r="AC68" s="279">
        <f t="shared" si="8"/>
        <v>55000</v>
      </c>
      <c r="AD68" s="64" t="s">
        <v>25</v>
      </c>
      <c r="AE68" s="1"/>
    </row>
    <row r="69" spans="1:31" s="12" customFormat="1" ht="21" customHeight="1">
      <c r="A69" s="51"/>
      <c r="B69" s="52"/>
      <c r="C69" s="52"/>
      <c r="D69" s="208"/>
      <c r="E69" s="133"/>
      <c r="F69" s="133"/>
      <c r="G69" s="133"/>
      <c r="H69" s="133"/>
      <c r="I69" s="133"/>
      <c r="J69" s="133"/>
      <c r="K69" s="133"/>
      <c r="L69" s="87"/>
      <c r="M69" s="280" t="s">
        <v>185</v>
      </c>
      <c r="N69" s="34"/>
      <c r="O69" s="34"/>
      <c r="P69" s="34"/>
      <c r="Q69" s="156">
        <v>28600</v>
      </c>
      <c r="R69" s="156"/>
      <c r="S69" s="157" t="s">
        <v>25</v>
      </c>
      <c r="T69" s="157" t="s">
        <v>26</v>
      </c>
      <c r="U69" s="156">
        <v>1</v>
      </c>
      <c r="V69" s="155" t="s">
        <v>176</v>
      </c>
      <c r="W69" s="156" t="s">
        <v>27</v>
      </c>
      <c r="X69" s="57"/>
      <c r="Y69" s="57"/>
      <c r="Z69" s="56"/>
      <c r="AA69" s="406" t="s">
        <v>370</v>
      </c>
      <c r="AB69" s="57"/>
      <c r="AC69" s="279">
        <f t="shared" si="8"/>
        <v>28600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208"/>
      <c r="E70" s="133"/>
      <c r="F70" s="133"/>
      <c r="G70" s="133"/>
      <c r="H70" s="133"/>
      <c r="I70" s="133"/>
      <c r="J70" s="133"/>
      <c r="K70" s="133"/>
      <c r="L70" s="87"/>
      <c r="M70" s="332" t="s">
        <v>290</v>
      </c>
      <c r="N70" s="34"/>
      <c r="O70" s="34"/>
      <c r="P70" s="34"/>
      <c r="Q70" s="156">
        <v>25760</v>
      </c>
      <c r="R70" s="156"/>
      <c r="S70" s="157" t="s">
        <v>25</v>
      </c>
      <c r="T70" s="157" t="s">
        <v>26</v>
      </c>
      <c r="U70" s="156">
        <v>1</v>
      </c>
      <c r="V70" s="155" t="s">
        <v>75</v>
      </c>
      <c r="W70" s="156" t="s">
        <v>27</v>
      </c>
      <c r="X70" s="331"/>
      <c r="Y70" s="331"/>
      <c r="Z70" s="332"/>
      <c r="AA70" s="406" t="s">
        <v>370</v>
      </c>
      <c r="AB70" s="331"/>
      <c r="AC70" s="331">
        <f t="shared" ref="AC70" si="9">Q70*U70</f>
        <v>25760</v>
      </c>
      <c r="AD70" s="64" t="s">
        <v>67</v>
      </c>
      <c r="AE70" s="1"/>
    </row>
    <row r="71" spans="1:31" s="12" customFormat="1" ht="21" customHeight="1">
      <c r="A71" s="51"/>
      <c r="B71" s="52"/>
      <c r="C71" s="52"/>
      <c r="D71" s="208"/>
      <c r="E71" s="133"/>
      <c r="F71" s="133"/>
      <c r="G71" s="133"/>
      <c r="H71" s="133"/>
      <c r="I71" s="133"/>
      <c r="J71" s="133"/>
      <c r="K71" s="133"/>
      <c r="L71" s="87"/>
      <c r="M71" s="154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92"/>
      <c r="Y71" s="92"/>
      <c r="Z71" s="92"/>
      <c r="AA71" s="92"/>
      <c r="AB71" s="92"/>
      <c r="AC71" s="57"/>
      <c r="AD71" s="64"/>
      <c r="AE71" s="1"/>
    </row>
    <row r="72" spans="1:31" s="12" customFormat="1" ht="21" customHeight="1">
      <c r="A72" s="51"/>
      <c r="B72" s="52"/>
      <c r="C72" s="42" t="s">
        <v>46</v>
      </c>
      <c r="D72" s="210">
        <v>0</v>
      </c>
      <c r="E72" s="138">
        <f>ROUND(AC72/1000,0)</f>
        <v>0</v>
      </c>
      <c r="F72" s="138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f>E72-D72</f>
        <v>0</v>
      </c>
      <c r="L72" s="146">
        <f>IF(D72=0,0,K72/D72)</f>
        <v>0</v>
      </c>
      <c r="M72" s="121" t="s">
        <v>47</v>
      </c>
      <c r="N72" s="117"/>
      <c r="O72" s="117"/>
      <c r="P72" s="117"/>
      <c r="Q72" s="117"/>
      <c r="R72" s="253"/>
      <c r="S72" s="110"/>
      <c r="T72" s="110"/>
      <c r="U72" s="110"/>
      <c r="V72" s="110"/>
      <c r="W72" s="110"/>
      <c r="X72" s="231" t="s">
        <v>140</v>
      </c>
      <c r="Y72" s="231"/>
      <c r="Z72" s="231"/>
      <c r="AA72" s="231"/>
      <c r="AB72" s="233"/>
      <c r="AC72" s="233">
        <f>SUM(AC73:AC73)</f>
        <v>0</v>
      </c>
      <c r="AD72" s="232" t="s">
        <v>25</v>
      </c>
      <c r="AE72" s="1"/>
    </row>
    <row r="73" spans="1:31" s="12" customFormat="1" ht="21" customHeight="1">
      <c r="A73" s="51"/>
      <c r="B73" s="52"/>
      <c r="C73" s="52"/>
      <c r="D73" s="134"/>
      <c r="E73" s="133"/>
      <c r="F73" s="133"/>
      <c r="G73" s="133"/>
      <c r="H73" s="133"/>
      <c r="I73" s="133"/>
      <c r="J73" s="133"/>
      <c r="K73" s="133"/>
      <c r="L73" s="87"/>
      <c r="M73" s="280" t="s">
        <v>186</v>
      </c>
      <c r="N73" s="56"/>
      <c r="O73" s="56"/>
      <c r="P73" s="56"/>
      <c r="Q73" s="156">
        <v>0</v>
      </c>
      <c r="R73" s="156"/>
      <c r="S73" s="157" t="s">
        <v>25</v>
      </c>
      <c r="T73" s="157" t="s">
        <v>26</v>
      </c>
      <c r="U73" s="156">
        <v>12</v>
      </c>
      <c r="V73" s="155" t="s">
        <v>179</v>
      </c>
      <c r="W73" s="156" t="s">
        <v>27</v>
      </c>
      <c r="X73" s="57"/>
      <c r="Y73" s="57"/>
      <c r="Z73" s="57"/>
      <c r="AA73" s="57"/>
      <c r="AB73" s="57"/>
      <c r="AC73" s="57">
        <f>Q73*U73</f>
        <v>0</v>
      </c>
      <c r="AD73" s="64" t="s">
        <v>25</v>
      </c>
      <c r="AE73" s="1"/>
    </row>
    <row r="74" spans="1:31" s="12" customFormat="1" ht="21" customHeight="1">
      <c r="A74" s="51"/>
      <c r="B74" s="52"/>
      <c r="C74" s="66"/>
      <c r="D74" s="163"/>
      <c r="E74" s="136"/>
      <c r="F74" s="136"/>
      <c r="G74" s="136"/>
      <c r="H74" s="136"/>
      <c r="I74" s="136"/>
      <c r="J74" s="136"/>
      <c r="K74" s="136"/>
      <c r="L74" s="105"/>
      <c r="M74" s="98"/>
      <c r="N74" s="98"/>
      <c r="O74" s="98"/>
      <c r="P74" s="98"/>
      <c r="Q74" s="97"/>
      <c r="R74" s="303"/>
      <c r="S74" s="106"/>
      <c r="T74" s="97"/>
      <c r="U74" s="469"/>
      <c r="V74" s="470"/>
      <c r="W74" s="97"/>
      <c r="X74" s="97"/>
      <c r="Y74" s="97"/>
      <c r="Z74" s="97"/>
      <c r="AA74" s="164"/>
      <c r="AB74" s="97"/>
      <c r="AC74" s="97"/>
      <c r="AD74" s="90"/>
      <c r="AE74" s="1"/>
    </row>
    <row r="75" spans="1:31" s="12" customFormat="1" ht="21" customHeight="1">
      <c r="A75" s="51"/>
      <c r="B75" s="52"/>
      <c r="C75" s="42" t="s">
        <v>100</v>
      </c>
      <c r="D75" s="165">
        <v>0</v>
      </c>
      <c r="E75" s="138">
        <f>ROUND(AC75/1000,0)</f>
        <v>0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f>E75-D75</f>
        <v>0</v>
      </c>
      <c r="L75" s="146">
        <f>IF(D75=0,0,K75/D75)</f>
        <v>0</v>
      </c>
      <c r="M75" s="141" t="s">
        <v>101</v>
      </c>
      <c r="N75" s="117"/>
      <c r="O75" s="117"/>
      <c r="P75" s="117"/>
      <c r="Q75" s="117"/>
      <c r="R75" s="253"/>
      <c r="S75" s="110"/>
      <c r="T75" s="110"/>
      <c r="U75" s="110"/>
      <c r="V75" s="110"/>
      <c r="W75" s="110"/>
      <c r="X75" s="231" t="s">
        <v>140</v>
      </c>
      <c r="Y75" s="231"/>
      <c r="Z75" s="231"/>
      <c r="AA75" s="231"/>
      <c r="AB75" s="233"/>
      <c r="AC75" s="233">
        <f>SUM(AC76)</f>
        <v>0</v>
      </c>
      <c r="AD75" s="232" t="s">
        <v>25</v>
      </c>
      <c r="AE75" s="1"/>
    </row>
    <row r="76" spans="1:31" s="12" customFormat="1" ht="20.25" customHeight="1">
      <c r="A76" s="51"/>
      <c r="B76" s="52"/>
      <c r="C76" s="52"/>
      <c r="D76" s="166"/>
      <c r="E76" s="133"/>
      <c r="F76" s="133"/>
      <c r="G76" s="133"/>
      <c r="H76" s="133"/>
      <c r="I76" s="133"/>
      <c r="J76" s="133"/>
      <c r="K76" s="133"/>
      <c r="L76" s="87"/>
      <c r="M76" s="280" t="s">
        <v>187</v>
      </c>
      <c r="N76" s="154"/>
      <c r="O76" s="154"/>
      <c r="P76" s="154"/>
      <c r="Q76" s="142"/>
      <c r="R76" s="142"/>
      <c r="S76" s="153"/>
      <c r="T76" s="153"/>
      <c r="U76" s="153"/>
      <c r="V76" s="153"/>
      <c r="W76" s="153"/>
      <c r="X76" s="153"/>
      <c r="Y76" s="153"/>
      <c r="Z76" s="153"/>
      <c r="AA76" s="153"/>
      <c r="AB76" s="84"/>
      <c r="AC76" s="84">
        <v>0</v>
      </c>
      <c r="AD76" s="64" t="s">
        <v>180</v>
      </c>
      <c r="AE76" s="2"/>
    </row>
    <row r="77" spans="1:31" s="12" customFormat="1" ht="20.25" customHeight="1">
      <c r="A77" s="51"/>
      <c r="B77" s="52"/>
      <c r="C77" s="53"/>
      <c r="D77" s="166"/>
      <c r="E77" s="133"/>
      <c r="F77" s="133"/>
      <c r="G77" s="133"/>
      <c r="H77" s="133"/>
      <c r="I77" s="133"/>
      <c r="J77" s="133"/>
      <c r="K77" s="133"/>
      <c r="L77" s="87"/>
      <c r="M77" s="88"/>
      <c r="N77" s="294"/>
      <c r="O77" s="294"/>
      <c r="P77" s="294"/>
      <c r="Q77" s="107"/>
      <c r="R77" s="107"/>
      <c r="S77" s="293"/>
      <c r="T77" s="293"/>
      <c r="U77" s="293"/>
      <c r="V77" s="293"/>
      <c r="W77" s="293"/>
      <c r="X77" s="293"/>
      <c r="Y77" s="293"/>
      <c r="Z77" s="293"/>
      <c r="AA77" s="293"/>
      <c r="AB77" s="89"/>
      <c r="AC77" s="89"/>
      <c r="AD77" s="90"/>
      <c r="AE77" s="2"/>
    </row>
    <row r="78" spans="1:31" s="12" customFormat="1" ht="21" customHeight="1">
      <c r="A78" s="137" t="s">
        <v>48</v>
      </c>
      <c r="B78" s="468" t="s">
        <v>21</v>
      </c>
      <c r="C78" s="468"/>
      <c r="D78" s="258">
        <f>D79</f>
        <v>3300</v>
      </c>
      <c r="E78" s="258">
        <f>E79</f>
        <v>3500</v>
      </c>
      <c r="F78" s="258">
        <f>F79</f>
        <v>0</v>
      </c>
      <c r="G78" s="258">
        <f>G79</f>
        <v>1000</v>
      </c>
      <c r="H78" s="258">
        <f>H79</f>
        <v>2500</v>
      </c>
      <c r="I78" s="258">
        <v>0</v>
      </c>
      <c r="J78" s="258">
        <f t="shared" ref="J78" si="10">J79</f>
        <v>0</v>
      </c>
      <c r="K78" s="258">
        <f>E78-D78</f>
        <v>200</v>
      </c>
      <c r="L78" s="223">
        <f>IF(D78=0,0,K78/D78)</f>
        <v>6.0606060606060608E-2</v>
      </c>
      <c r="M78" s="249" t="s">
        <v>148</v>
      </c>
      <c r="N78" s="38"/>
      <c r="O78" s="38"/>
      <c r="P78" s="38"/>
      <c r="Q78" s="39"/>
      <c r="R78" s="248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>
        <f>AC79</f>
        <v>3500000</v>
      </c>
      <c r="AD78" s="40" t="s">
        <v>25</v>
      </c>
      <c r="AE78" s="2"/>
    </row>
    <row r="79" spans="1:31" s="12" customFormat="1" ht="21" customHeight="1">
      <c r="A79" s="257" t="s">
        <v>155</v>
      </c>
      <c r="B79" s="52" t="s">
        <v>18</v>
      </c>
      <c r="C79" s="52" t="s">
        <v>149</v>
      </c>
      <c r="D79" s="208">
        <f>D80+D84+D88</f>
        <v>3300</v>
      </c>
      <c r="E79" s="133">
        <f>SUM(E80,E84,E88)</f>
        <v>3500</v>
      </c>
      <c r="F79" s="133">
        <f>F80+F84+F88</f>
        <v>0</v>
      </c>
      <c r="G79" s="133">
        <f>SUM(G80,G84,G88)</f>
        <v>1000</v>
      </c>
      <c r="H79" s="133">
        <f>SUM(H84,H88)</f>
        <v>2500</v>
      </c>
      <c r="I79" s="133">
        <v>0</v>
      </c>
      <c r="J79" s="133">
        <f t="shared" ref="J79" si="11">SUM(J80,J84,J88)</f>
        <v>0</v>
      </c>
      <c r="K79" s="133">
        <f>E79-D79</f>
        <v>200</v>
      </c>
      <c r="L79" s="87">
        <f>IF(D79=0,0,K79/D79)</f>
        <v>6.0606060606060608E-2</v>
      </c>
      <c r="M79" s="253" t="s">
        <v>150</v>
      </c>
      <c r="N79" s="117"/>
      <c r="O79" s="117"/>
      <c r="P79" s="117"/>
      <c r="Q79" s="117"/>
      <c r="R79" s="253"/>
      <c r="S79" s="110"/>
      <c r="T79" s="110"/>
      <c r="U79" s="110"/>
      <c r="V79" s="110"/>
      <c r="W79" s="110"/>
      <c r="X79" s="110"/>
      <c r="Y79" s="110"/>
      <c r="Z79" s="110"/>
      <c r="AA79" s="110"/>
      <c r="AB79" s="118"/>
      <c r="AC79" s="118">
        <f>SUM(AC80,AC84,AC88)</f>
        <v>3500000</v>
      </c>
      <c r="AD79" s="119" t="s">
        <v>25</v>
      </c>
      <c r="AE79" s="1"/>
    </row>
    <row r="80" spans="1:31" s="12" customFormat="1" ht="21" customHeight="1">
      <c r="A80" s="51"/>
      <c r="B80" s="52"/>
      <c r="C80" s="42" t="s">
        <v>150</v>
      </c>
      <c r="D80" s="255">
        <v>0</v>
      </c>
      <c r="E80" s="255">
        <v>0</v>
      </c>
      <c r="F80" s="255">
        <f>ROUND(AC81/1000,0)</f>
        <v>0</v>
      </c>
      <c r="G80" s="255">
        <v>0</v>
      </c>
      <c r="H80" s="255">
        <v>0</v>
      </c>
      <c r="I80" s="255">
        <v>0</v>
      </c>
      <c r="J80" s="255">
        <v>0</v>
      </c>
      <c r="K80" s="255">
        <f>E80-D80</f>
        <v>0</v>
      </c>
      <c r="L80" s="256">
        <f>IF(D80=0,0,K80/D80)</f>
        <v>0</v>
      </c>
      <c r="M80" s="121" t="s">
        <v>49</v>
      </c>
      <c r="N80" s="253"/>
      <c r="O80" s="253"/>
      <c r="P80" s="253"/>
      <c r="Q80" s="253"/>
      <c r="R80" s="253"/>
      <c r="S80" s="252"/>
      <c r="T80" s="252"/>
      <c r="U80" s="252"/>
      <c r="V80" s="252"/>
      <c r="W80" s="252"/>
      <c r="X80" s="231" t="s">
        <v>140</v>
      </c>
      <c r="Y80" s="231"/>
      <c r="Z80" s="231"/>
      <c r="AA80" s="231"/>
      <c r="AB80" s="233"/>
      <c r="AC80" s="233">
        <f>SUM(AC81:AC81)</f>
        <v>0</v>
      </c>
      <c r="AD80" s="232" t="s">
        <v>25</v>
      </c>
      <c r="AE80" s="1"/>
    </row>
    <row r="81" spans="1:31" s="12" customFormat="1" ht="21" customHeight="1">
      <c r="A81" s="51"/>
      <c r="B81" s="52"/>
      <c r="C81" s="52"/>
      <c r="D81" s="134"/>
      <c r="E81" s="133"/>
      <c r="F81" s="133"/>
      <c r="G81" s="133"/>
      <c r="H81" s="133"/>
      <c r="I81" s="133"/>
      <c r="J81" s="133"/>
      <c r="K81" s="133"/>
      <c r="L81" s="87"/>
      <c r="M81" s="363" t="s">
        <v>331</v>
      </c>
      <c r="N81" s="193"/>
      <c r="O81" s="193"/>
      <c r="P81" s="193"/>
      <c r="Q81" s="193"/>
      <c r="R81" s="249"/>
      <c r="S81" s="192"/>
      <c r="T81" s="192"/>
      <c r="U81" s="192"/>
      <c r="V81" s="192"/>
      <c r="W81" s="192"/>
      <c r="X81" s="192"/>
      <c r="Y81" s="192"/>
      <c r="Z81" s="192"/>
      <c r="AA81" s="194"/>
      <c r="AB81" s="58"/>
      <c r="AC81" s="84">
        <v>0</v>
      </c>
      <c r="AD81" s="64" t="s">
        <v>114</v>
      </c>
      <c r="AE81" s="2"/>
    </row>
    <row r="82" spans="1:31" s="12" customFormat="1" ht="21" customHeight="1">
      <c r="A82" s="51"/>
      <c r="B82" s="52"/>
      <c r="C82" s="52"/>
      <c r="D82" s="134"/>
      <c r="E82" s="133"/>
      <c r="F82" s="133"/>
      <c r="G82" s="133"/>
      <c r="H82" s="133"/>
      <c r="I82" s="133"/>
      <c r="J82" s="133"/>
      <c r="K82" s="133"/>
      <c r="L82" s="87"/>
      <c r="M82" s="316"/>
      <c r="N82" s="249"/>
      <c r="O82" s="249"/>
      <c r="P82" s="249"/>
      <c r="Q82" s="249"/>
      <c r="R82" s="249"/>
      <c r="S82" s="248"/>
      <c r="T82" s="248"/>
      <c r="U82" s="248"/>
      <c r="V82" s="248"/>
      <c r="W82" s="248"/>
      <c r="X82" s="248"/>
      <c r="Y82" s="248"/>
      <c r="Z82" s="248"/>
      <c r="AA82" s="315"/>
      <c r="AB82" s="58"/>
      <c r="AC82" s="84"/>
      <c r="AD82" s="64"/>
      <c r="AE82" s="2"/>
    </row>
    <row r="83" spans="1:31" s="12" customFormat="1" ht="21" customHeight="1">
      <c r="A83" s="51"/>
      <c r="B83" s="52"/>
      <c r="C83" s="52"/>
      <c r="D83" s="208"/>
      <c r="E83" s="133"/>
      <c r="F83" s="133"/>
      <c r="G83" s="133"/>
      <c r="H83" s="133"/>
      <c r="I83" s="133"/>
      <c r="J83" s="133"/>
      <c r="K83" s="133"/>
      <c r="L83" s="87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67"/>
      <c r="AD83" s="152"/>
      <c r="AE83" s="2"/>
    </row>
    <row r="84" spans="1:31" s="12" customFormat="1" ht="21" customHeight="1">
      <c r="A84" s="51"/>
      <c r="B84" s="52"/>
      <c r="C84" s="42" t="s">
        <v>19</v>
      </c>
      <c r="D84" s="210">
        <v>3300</v>
      </c>
      <c r="E84" s="138">
        <f>F84+G84+H84+J84</f>
        <v>2200</v>
      </c>
      <c r="F84" s="138"/>
      <c r="G84" s="138">
        <f>(AC85)/1000</f>
        <v>1000</v>
      </c>
      <c r="H84" s="138">
        <f>AC86/1000</f>
        <v>1200</v>
      </c>
      <c r="I84" s="138">
        <v>0</v>
      </c>
      <c r="J84" s="138">
        <v>0</v>
      </c>
      <c r="K84" s="138">
        <f>E84-D84</f>
        <v>-1100</v>
      </c>
      <c r="L84" s="146">
        <f>IF(D84=0,0,K84/D84)</f>
        <v>-0.33333333333333331</v>
      </c>
      <c r="M84" s="121" t="s">
        <v>50</v>
      </c>
      <c r="N84" s="117"/>
      <c r="O84" s="117"/>
      <c r="P84" s="117"/>
      <c r="Q84" s="117"/>
      <c r="R84" s="253"/>
      <c r="S84" s="110"/>
      <c r="T84" s="110"/>
      <c r="U84" s="110"/>
      <c r="V84" s="110"/>
      <c r="W84" s="110"/>
      <c r="X84" s="231" t="s">
        <v>140</v>
      </c>
      <c r="Y84" s="231"/>
      <c r="Z84" s="231"/>
      <c r="AA84" s="231"/>
      <c r="AB84" s="233"/>
      <c r="AC84" s="233">
        <f>SUM(AC85:AC86)</f>
        <v>2200000</v>
      </c>
      <c r="AD84" s="232" t="s">
        <v>25</v>
      </c>
      <c r="AE84" s="1"/>
    </row>
    <row r="85" spans="1:31" s="12" customFormat="1" ht="21" customHeight="1">
      <c r="A85" s="51"/>
      <c r="B85" s="52"/>
      <c r="C85" s="52"/>
      <c r="D85" s="134"/>
      <c r="E85" s="133"/>
      <c r="F85" s="133"/>
      <c r="G85" s="133"/>
      <c r="H85" s="133"/>
      <c r="I85" s="133"/>
      <c r="J85" s="133"/>
      <c r="K85" s="133"/>
      <c r="L85" s="87"/>
      <c r="M85" s="390" t="s">
        <v>333</v>
      </c>
      <c r="N85" s="56"/>
      <c r="O85" s="56"/>
      <c r="P85" s="38"/>
      <c r="Q85" s="38"/>
      <c r="R85" s="249"/>
      <c r="S85" s="39"/>
      <c r="T85" s="39"/>
      <c r="U85" s="39"/>
      <c r="V85" s="39"/>
      <c r="W85" s="39"/>
      <c r="X85" s="39"/>
      <c r="Y85" s="39"/>
      <c r="Z85" s="39"/>
      <c r="AA85" s="405" t="s">
        <v>371</v>
      </c>
      <c r="AB85" s="58"/>
      <c r="AC85" s="84">
        <v>1000000</v>
      </c>
      <c r="AD85" s="64" t="s">
        <v>25</v>
      </c>
      <c r="AE85" s="2"/>
    </row>
    <row r="86" spans="1:31" s="12" customFormat="1" ht="21" customHeight="1">
      <c r="A86" s="51"/>
      <c r="B86" s="52"/>
      <c r="C86" s="52"/>
      <c r="D86" s="134"/>
      <c r="E86" s="133"/>
      <c r="F86" s="133"/>
      <c r="G86" s="133"/>
      <c r="H86" s="133"/>
      <c r="I86" s="133"/>
      <c r="J86" s="133"/>
      <c r="K86" s="133"/>
      <c r="L86" s="87"/>
      <c r="M86" s="390" t="s">
        <v>334</v>
      </c>
      <c r="N86" s="56"/>
      <c r="O86" s="56"/>
      <c r="P86" s="154"/>
      <c r="Q86" s="56"/>
      <c r="R86" s="307"/>
      <c r="S86" s="57"/>
      <c r="T86" s="39"/>
      <c r="U86" s="39"/>
      <c r="V86" s="39"/>
      <c r="W86" s="39"/>
      <c r="X86" s="39"/>
      <c r="Y86" s="39"/>
      <c r="Z86" s="39"/>
      <c r="AA86" s="389" t="s">
        <v>335</v>
      </c>
      <c r="AB86" s="58"/>
      <c r="AC86" s="84">
        <v>1200000</v>
      </c>
      <c r="AD86" s="64" t="s">
        <v>87</v>
      </c>
      <c r="AE86" s="2"/>
    </row>
    <row r="87" spans="1:31" s="12" customFormat="1" ht="21" customHeight="1">
      <c r="A87" s="51"/>
      <c r="B87" s="52"/>
      <c r="C87" s="52"/>
      <c r="D87" s="134"/>
      <c r="E87" s="133"/>
      <c r="F87" s="133"/>
      <c r="G87" s="136"/>
      <c r="H87" s="133"/>
      <c r="I87" s="133"/>
      <c r="J87" s="133"/>
      <c r="K87" s="133"/>
      <c r="L87" s="87"/>
      <c r="M87" s="205"/>
      <c r="N87" s="56"/>
      <c r="O87" s="56"/>
      <c r="P87" s="56"/>
      <c r="Q87" s="57"/>
      <c r="R87" s="306"/>
      <c r="S87" s="142"/>
      <c r="T87" s="61"/>
      <c r="U87" s="84"/>
      <c r="V87" s="84"/>
      <c r="W87" s="57"/>
      <c r="X87" s="57"/>
      <c r="Y87" s="57"/>
      <c r="Z87" s="57"/>
      <c r="AA87" s="57"/>
      <c r="AB87" s="57"/>
      <c r="AC87" s="57"/>
      <c r="AD87" s="64"/>
      <c r="AE87" s="2"/>
    </row>
    <row r="88" spans="1:31" s="12" customFormat="1" ht="21" customHeight="1">
      <c r="A88" s="51"/>
      <c r="B88" s="52"/>
      <c r="C88" s="42" t="s">
        <v>51</v>
      </c>
      <c r="D88" s="210">
        <v>0</v>
      </c>
      <c r="E88" s="138">
        <f>F88+H88+J88+G88</f>
        <v>1300</v>
      </c>
      <c r="F88" s="138"/>
      <c r="G88" s="340">
        <v>0</v>
      </c>
      <c r="H88" s="138">
        <f>AC89/1000</f>
        <v>1300</v>
      </c>
      <c r="I88" s="138">
        <v>0</v>
      </c>
      <c r="J88" s="138">
        <v>0</v>
      </c>
      <c r="K88" s="138">
        <f>E88-D88</f>
        <v>1300</v>
      </c>
      <c r="L88" s="146">
        <f>IF(D88=0,0,K88/D88)</f>
        <v>0</v>
      </c>
      <c r="M88" s="121" t="s">
        <v>52</v>
      </c>
      <c r="N88" s="117"/>
      <c r="O88" s="117"/>
      <c r="P88" s="117"/>
      <c r="Q88" s="117"/>
      <c r="R88" s="253"/>
      <c r="S88" s="110"/>
      <c r="T88" s="110"/>
      <c r="U88" s="110"/>
      <c r="V88" s="110"/>
      <c r="W88" s="110"/>
      <c r="X88" s="231" t="s">
        <v>140</v>
      </c>
      <c r="Y88" s="231"/>
      <c r="Z88" s="231"/>
      <c r="AA88" s="231"/>
      <c r="AB88" s="233"/>
      <c r="AC88" s="233">
        <f>SUM(AC89:AC89)</f>
        <v>1300000</v>
      </c>
      <c r="AD88" s="232" t="s">
        <v>25</v>
      </c>
      <c r="AE88" s="1"/>
    </row>
    <row r="89" spans="1:31" s="1" customFormat="1" ht="21" customHeight="1">
      <c r="A89" s="51"/>
      <c r="B89" s="52"/>
      <c r="C89" s="52" t="s">
        <v>161</v>
      </c>
      <c r="D89" s="208"/>
      <c r="E89" s="133"/>
      <c r="F89" s="133"/>
      <c r="G89" s="133"/>
      <c r="H89" s="133"/>
      <c r="I89" s="133"/>
      <c r="J89" s="133"/>
      <c r="K89" s="133"/>
      <c r="L89" s="87"/>
      <c r="M89" s="406" t="s">
        <v>372</v>
      </c>
      <c r="N89" s="56"/>
      <c r="O89" s="56"/>
      <c r="P89" s="56"/>
      <c r="Q89" s="57"/>
      <c r="R89" s="306"/>
      <c r="S89" s="61"/>
      <c r="T89" s="61"/>
      <c r="U89" s="57"/>
      <c r="V89" s="56"/>
      <c r="W89" s="57"/>
      <c r="X89" s="57"/>
      <c r="Y89" s="57"/>
      <c r="Z89" s="57"/>
      <c r="AA89" s="405" t="s">
        <v>373</v>
      </c>
      <c r="AB89" s="57"/>
      <c r="AC89" s="250">
        <v>1300000</v>
      </c>
      <c r="AD89" s="64" t="s">
        <v>25</v>
      </c>
      <c r="AE89" s="2"/>
    </row>
    <row r="90" spans="1:31" s="1" customFormat="1" ht="21" customHeight="1">
      <c r="A90" s="51"/>
      <c r="B90" s="52"/>
      <c r="C90" s="52"/>
      <c r="D90" s="208"/>
      <c r="E90" s="133"/>
      <c r="F90" s="133"/>
      <c r="G90" s="133"/>
      <c r="H90" s="133"/>
      <c r="I90" s="133"/>
      <c r="J90" s="133"/>
      <c r="K90" s="133"/>
      <c r="L90" s="87"/>
      <c r="M90" s="205"/>
      <c r="N90" s="56"/>
      <c r="O90" s="56"/>
      <c r="P90" s="56"/>
      <c r="Q90" s="57"/>
      <c r="R90" s="306"/>
      <c r="S90" s="61"/>
      <c r="T90" s="61"/>
      <c r="U90" s="57"/>
      <c r="V90" s="56"/>
      <c r="W90" s="57"/>
      <c r="X90" s="57"/>
      <c r="Y90" s="57"/>
      <c r="Z90" s="57"/>
      <c r="AA90" s="153"/>
      <c r="AB90" s="57"/>
      <c r="AC90" s="57"/>
      <c r="AD90" s="64"/>
      <c r="AE90" s="2"/>
    </row>
    <row r="91" spans="1:31" s="12" customFormat="1" ht="21" customHeight="1">
      <c r="A91" s="259" t="s">
        <v>20</v>
      </c>
      <c r="B91" s="466" t="s">
        <v>21</v>
      </c>
      <c r="C91" s="467"/>
      <c r="D91" s="260">
        <f>SUM(D92,D113)</f>
        <v>9131</v>
      </c>
      <c r="E91" s="260">
        <f>SUM(E92,E113)</f>
        <v>16958.97</v>
      </c>
      <c r="F91" s="260">
        <f>SUM(F92,F113)</f>
        <v>7671.97</v>
      </c>
      <c r="G91" s="260">
        <f>SUM(G92,G113)</f>
        <v>0</v>
      </c>
      <c r="H91" s="260">
        <f>SUM(H92,H113)</f>
        <v>8287</v>
      </c>
      <c r="I91" s="260">
        <f>I92</f>
        <v>200</v>
      </c>
      <c r="J91" s="260">
        <f>SUM(J92,J113)</f>
        <v>0</v>
      </c>
      <c r="K91" s="260">
        <f>SUM(K92,K99,K103,K106,K110)</f>
        <v>5355.9700000000012</v>
      </c>
      <c r="L91" s="261">
        <f>IF(D91=0,0,K91/D91)</f>
        <v>0.58656992662359009</v>
      </c>
      <c r="M91" s="253" t="s">
        <v>152</v>
      </c>
      <c r="N91" s="117"/>
      <c r="O91" s="117"/>
      <c r="P91" s="117"/>
      <c r="Q91" s="117"/>
      <c r="R91" s="253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>
        <f>SUM(AC92,AC113)</f>
        <v>16958970</v>
      </c>
      <c r="AD91" s="119" t="s">
        <v>25</v>
      </c>
      <c r="AE91" s="14"/>
    </row>
    <row r="92" spans="1:31" s="12" customFormat="1" ht="21" customHeight="1">
      <c r="A92" s="52"/>
      <c r="B92" s="42" t="s">
        <v>106</v>
      </c>
      <c r="C92" s="42" t="s">
        <v>153</v>
      </c>
      <c r="D92" s="138">
        <f>SUM(D93,D99,D103,D106,D110)</f>
        <v>6341</v>
      </c>
      <c r="E92" s="138">
        <f>SUM(E93,E99,E103,E106,E110)</f>
        <v>12068.970000000001</v>
      </c>
      <c r="F92" s="138">
        <f>SUM(F93,F99,F103,F106,F110)</f>
        <v>7671.97</v>
      </c>
      <c r="G92" s="138">
        <f>SUM(G93,G99,G103,G106,G110)</f>
        <v>0</v>
      </c>
      <c r="H92" s="138">
        <f>SUM(H93,H99,H103,H106,H110)</f>
        <v>4197</v>
      </c>
      <c r="I92" s="138">
        <f>I93</f>
        <v>200</v>
      </c>
      <c r="J92" s="138">
        <f>SUM(J93,J99,J103,J106,J110)</f>
        <v>0</v>
      </c>
      <c r="K92" s="138">
        <f>E92-D92</f>
        <v>5727.9700000000012</v>
      </c>
      <c r="L92" s="146">
        <f>IF(D92=0,0,K92/D92)</f>
        <v>0.90332281974452</v>
      </c>
      <c r="M92" s="117"/>
      <c r="N92" s="117"/>
      <c r="O92" s="117"/>
      <c r="P92" s="117"/>
      <c r="Q92" s="117"/>
      <c r="R92" s="253"/>
      <c r="S92" s="110"/>
      <c r="T92" s="110"/>
      <c r="U92" s="110"/>
      <c r="V92" s="110"/>
      <c r="W92" s="110"/>
      <c r="X92" s="110" t="s">
        <v>28</v>
      </c>
      <c r="Y92" s="110"/>
      <c r="Z92" s="110"/>
      <c r="AA92" s="110"/>
      <c r="AB92" s="118"/>
      <c r="AC92" s="118">
        <f>SUM(AC93,AC99,AC103,AC106,AC110)</f>
        <v>12068970</v>
      </c>
      <c r="AD92" s="119" t="s">
        <v>25</v>
      </c>
      <c r="AE92" s="1"/>
    </row>
    <row r="93" spans="1:31" s="12" customFormat="1" ht="21" customHeight="1">
      <c r="A93" s="52"/>
      <c r="B93" s="52"/>
      <c r="C93" s="42" t="s">
        <v>59</v>
      </c>
      <c r="D93" s="210">
        <v>4612</v>
      </c>
      <c r="E93" s="138">
        <f>SUM(F93,G93,H93,J93,I93)</f>
        <v>10711.970000000001</v>
      </c>
      <c r="F93" s="138">
        <f>SUM(AC94,AC96)/1000</f>
        <v>6671.97</v>
      </c>
      <c r="G93" s="138">
        <v>0</v>
      </c>
      <c r="H93" s="138">
        <f>(AC95)/1000</f>
        <v>3840</v>
      </c>
      <c r="I93" s="138">
        <f>AC97/1000</f>
        <v>200</v>
      </c>
      <c r="J93" s="138">
        <v>0</v>
      </c>
      <c r="K93" s="138">
        <f>E93-D93</f>
        <v>6099.9700000000012</v>
      </c>
      <c r="L93" s="146">
        <f>IF(D93=0,0,K93/D93)</f>
        <v>1.3226300954032959</v>
      </c>
      <c r="M93" s="121" t="s">
        <v>107</v>
      </c>
      <c r="N93" s="253"/>
      <c r="O93" s="253"/>
      <c r="P93" s="253"/>
      <c r="Q93" s="253"/>
      <c r="R93" s="253"/>
      <c r="S93" s="252"/>
      <c r="T93" s="252"/>
      <c r="U93" s="252"/>
      <c r="V93" s="252"/>
      <c r="W93" s="252"/>
      <c r="X93" s="231" t="s">
        <v>140</v>
      </c>
      <c r="Y93" s="231"/>
      <c r="Z93" s="231"/>
      <c r="AA93" s="231"/>
      <c r="AB93" s="233"/>
      <c r="AC93" s="233">
        <f>SUM(AC94:AC97)</f>
        <v>10711970</v>
      </c>
      <c r="AD93" s="232" t="s">
        <v>25</v>
      </c>
      <c r="AE93" s="1"/>
    </row>
    <row r="94" spans="1:31" s="12" customFormat="1" ht="21" customHeight="1">
      <c r="A94" s="52"/>
      <c r="B94" s="52"/>
      <c r="C94" s="52"/>
      <c r="D94" s="134"/>
      <c r="E94" s="133"/>
      <c r="F94" s="133"/>
      <c r="G94" s="133"/>
      <c r="H94" s="133"/>
      <c r="I94" s="133"/>
      <c r="J94" s="133"/>
      <c r="K94" s="133"/>
      <c r="L94" s="87"/>
      <c r="M94" s="280" t="s">
        <v>188</v>
      </c>
      <c r="N94" s="56"/>
      <c r="O94" s="57"/>
      <c r="P94" s="57"/>
      <c r="Q94" s="57">
        <v>132500</v>
      </c>
      <c r="R94" s="306"/>
      <c r="S94" s="57" t="s">
        <v>86</v>
      </c>
      <c r="T94" s="61" t="s">
        <v>88</v>
      </c>
      <c r="U94" s="57">
        <v>12</v>
      </c>
      <c r="V94" s="57" t="s">
        <v>96</v>
      </c>
      <c r="W94" s="61" t="s">
        <v>88</v>
      </c>
      <c r="X94" s="57">
        <v>4</v>
      </c>
      <c r="Y94" s="57" t="s">
        <v>89</v>
      </c>
      <c r="Z94" s="63" t="s">
        <v>90</v>
      </c>
      <c r="AA94" s="57" t="s">
        <v>99</v>
      </c>
      <c r="AB94" s="84"/>
      <c r="AC94" s="84">
        <f>ROUNDDOWN(Q94*U94*X94,-1)</f>
        <v>6360000</v>
      </c>
      <c r="AD94" s="64" t="s">
        <v>25</v>
      </c>
      <c r="AE94" s="2"/>
    </row>
    <row r="95" spans="1:31" s="12" customFormat="1" ht="21" customHeight="1">
      <c r="A95" s="52"/>
      <c r="B95" s="52"/>
      <c r="C95" s="52"/>
      <c r="D95" s="134"/>
      <c r="E95" s="133"/>
      <c r="F95" s="133"/>
      <c r="G95" s="133"/>
      <c r="H95" s="133"/>
      <c r="I95" s="133"/>
      <c r="J95" s="133"/>
      <c r="K95" s="133"/>
      <c r="L95" s="87"/>
      <c r="M95" s="205" t="s">
        <v>113</v>
      </c>
      <c r="N95" s="179"/>
      <c r="O95" s="179"/>
      <c r="P95" s="179"/>
      <c r="Q95" s="178">
        <v>80000</v>
      </c>
      <c r="R95" s="306"/>
      <c r="S95" s="61" t="s">
        <v>25</v>
      </c>
      <c r="T95" s="61" t="s">
        <v>26</v>
      </c>
      <c r="U95" s="178">
        <v>12</v>
      </c>
      <c r="V95" s="178" t="s">
        <v>29</v>
      </c>
      <c r="W95" s="61" t="s">
        <v>26</v>
      </c>
      <c r="X95" s="178">
        <v>4</v>
      </c>
      <c r="Y95" s="178" t="s">
        <v>146</v>
      </c>
      <c r="Z95" s="177" t="s">
        <v>27</v>
      </c>
      <c r="AA95" s="178" t="s">
        <v>112</v>
      </c>
      <c r="AB95" s="178"/>
      <c r="AC95" s="178">
        <f>Q95*U95*X95</f>
        <v>3840000</v>
      </c>
      <c r="AD95" s="158" t="s">
        <v>86</v>
      </c>
      <c r="AE95" s="2"/>
    </row>
    <row r="96" spans="1:31" s="12" customFormat="1" ht="21" customHeight="1">
      <c r="A96" s="52"/>
      <c r="B96" s="52"/>
      <c r="C96" s="52"/>
      <c r="D96" s="134"/>
      <c r="E96" s="133"/>
      <c r="F96" s="133"/>
      <c r="G96" s="133"/>
      <c r="H96" s="133"/>
      <c r="I96" s="133"/>
      <c r="J96" s="133"/>
      <c r="K96" s="133"/>
      <c r="L96" s="87"/>
      <c r="M96" s="292" t="s">
        <v>197</v>
      </c>
      <c r="N96" s="292"/>
      <c r="O96" s="292"/>
      <c r="P96" s="292"/>
      <c r="Q96" s="291"/>
      <c r="R96" s="306"/>
      <c r="S96" s="61"/>
      <c r="T96" s="61"/>
      <c r="U96" s="291"/>
      <c r="V96" s="291"/>
      <c r="W96" s="61"/>
      <c r="X96" s="291"/>
      <c r="Y96" s="291"/>
      <c r="Z96" s="262"/>
      <c r="AA96" s="405" t="s">
        <v>370</v>
      </c>
      <c r="AB96" s="291"/>
      <c r="AC96" s="291">
        <v>311970</v>
      </c>
      <c r="AD96" s="158" t="s">
        <v>198</v>
      </c>
      <c r="AE96" s="2"/>
    </row>
    <row r="97" spans="1:31" s="12" customFormat="1" ht="21" customHeight="1">
      <c r="A97" s="52"/>
      <c r="B97" s="52"/>
      <c r="C97" s="52"/>
      <c r="D97" s="134"/>
      <c r="E97" s="133"/>
      <c r="F97" s="133"/>
      <c r="G97" s="133"/>
      <c r="H97" s="133"/>
      <c r="I97" s="133"/>
      <c r="J97" s="133"/>
      <c r="K97" s="133"/>
      <c r="L97" s="87"/>
      <c r="M97" s="398" t="s">
        <v>367</v>
      </c>
      <c r="N97" s="316"/>
      <c r="O97" s="316"/>
      <c r="P97" s="316"/>
      <c r="Q97" s="397">
        <v>10000</v>
      </c>
      <c r="R97" s="397"/>
      <c r="S97" s="397" t="s">
        <v>57</v>
      </c>
      <c r="T97" s="61" t="s">
        <v>58</v>
      </c>
      <c r="U97" s="397">
        <v>5</v>
      </c>
      <c r="V97" s="397" t="s">
        <v>75</v>
      </c>
      <c r="W97" s="61" t="s">
        <v>58</v>
      </c>
      <c r="X97" s="397">
        <v>4</v>
      </c>
      <c r="Y97" s="397" t="s">
        <v>56</v>
      </c>
      <c r="Z97" s="262" t="s">
        <v>53</v>
      </c>
      <c r="AA97" s="397" t="s">
        <v>360</v>
      </c>
      <c r="AB97" s="84"/>
      <c r="AC97" s="84">
        <f>ROUNDDOWN(Q97*U97*X97,-1)</f>
        <v>200000</v>
      </c>
      <c r="AD97" s="64" t="s">
        <v>25</v>
      </c>
      <c r="AE97" s="2"/>
    </row>
    <row r="98" spans="1:31" s="12" customFormat="1" ht="21" customHeight="1">
      <c r="A98" s="52"/>
      <c r="B98" s="52"/>
      <c r="C98" s="66"/>
      <c r="D98" s="209"/>
      <c r="E98" s="136"/>
      <c r="F98" s="136"/>
      <c r="G98" s="136"/>
      <c r="H98" s="136"/>
      <c r="I98" s="136"/>
      <c r="J98" s="136"/>
      <c r="K98" s="136"/>
      <c r="L98" s="105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67"/>
      <c r="AD98" s="152"/>
      <c r="AE98" s="2"/>
    </row>
    <row r="99" spans="1:31" s="12" customFormat="1" ht="21" customHeight="1">
      <c r="A99" s="52"/>
      <c r="B99" s="52"/>
      <c r="C99" s="52" t="s">
        <v>108</v>
      </c>
      <c r="D99" s="208">
        <v>1370</v>
      </c>
      <c r="E99" s="133">
        <f>SUM(F99,G99,H99,J99)</f>
        <v>750</v>
      </c>
      <c r="F99" s="133">
        <f>AC100/1000</f>
        <v>750</v>
      </c>
      <c r="G99" s="133">
        <v>0</v>
      </c>
      <c r="H99" s="133">
        <f>AC101/1000</f>
        <v>0</v>
      </c>
      <c r="I99" s="133">
        <v>0</v>
      </c>
      <c r="J99" s="133">
        <v>0</v>
      </c>
      <c r="K99" s="133">
        <f>E99-D99</f>
        <v>-620</v>
      </c>
      <c r="L99" s="87">
        <f>IF(D99=0,0,K99/D99)</f>
        <v>-0.45255474452554745</v>
      </c>
      <c r="M99" s="121" t="s">
        <v>109</v>
      </c>
      <c r="N99" s="117"/>
      <c r="O99" s="117"/>
      <c r="P99" s="117"/>
      <c r="Q99" s="117"/>
      <c r="R99" s="253"/>
      <c r="S99" s="110"/>
      <c r="T99" s="110"/>
      <c r="U99" s="110"/>
      <c r="V99" s="110"/>
      <c r="W99" s="110"/>
      <c r="X99" s="231" t="s">
        <v>140</v>
      </c>
      <c r="Y99" s="231"/>
      <c r="Z99" s="231"/>
      <c r="AA99" s="231"/>
      <c r="AB99" s="233"/>
      <c r="AC99" s="233">
        <f>SUM(AC100)</f>
        <v>750000</v>
      </c>
      <c r="AD99" s="232" t="s">
        <v>25</v>
      </c>
      <c r="AE99" s="1"/>
    </row>
    <row r="100" spans="1:31" s="12" customFormat="1" ht="21" customHeight="1">
      <c r="A100" s="52"/>
      <c r="B100" s="52"/>
      <c r="C100" s="52" t="s">
        <v>154</v>
      </c>
      <c r="D100" s="208"/>
      <c r="E100" s="133"/>
      <c r="F100" s="133"/>
      <c r="G100" s="133"/>
      <c r="H100" s="133"/>
      <c r="I100" s="133"/>
      <c r="J100" s="133"/>
      <c r="K100" s="133"/>
      <c r="L100" s="87"/>
      <c r="M100" s="280" t="s">
        <v>189</v>
      </c>
      <c r="N100" s="56"/>
      <c r="O100" s="56"/>
      <c r="P100" s="56"/>
      <c r="Q100" s="57"/>
      <c r="R100" s="306"/>
      <c r="S100" s="61"/>
      <c r="T100" s="61"/>
      <c r="U100" s="57"/>
      <c r="V100" s="57"/>
      <c r="W100" s="57"/>
      <c r="X100" s="57"/>
      <c r="Y100" s="57"/>
      <c r="Z100" s="57"/>
      <c r="AA100" s="357" t="s">
        <v>305</v>
      </c>
      <c r="AB100" s="57"/>
      <c r="AC100" s="57">
        <v>750000</v>
      </c>
      <c r="AD100" s="64" t="s">
        <v>86</v>
      </c>
      <c r="AE100" s="2"/>
    </row>
    <row r="101" spans="1:31" s="12" customFormat="1" ht="21" customHeight="1">
      <c r="A101" s="52"/>
      <c r="B101" s="52"/>
      <c r="C101" s="52"/>
      <c r="D101" s="208"/>
      <c r="E101" s="133"/>
      <c r="F101" s="133"/>
      <c r="G101" s="133"/>
      <c r="H101" s="133"/>
      <c r="I101" s="133"/>
      <c r="J101" s="133"/>
      <c r="K101" s="133"/>
      <c r="L101" s="87"/>
      <c r="M101" s="298"/>
      <c r="N101" s="298"/>
      <c r="O101" s="298"/>
      <c r="P101" s="298"/>
      <c r="Q101" s="297"/>
      <c r="R101" s="306"/>
      <c r="S101" s="61"/>
      <c r="T101" s="61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64"/>
      <c r="AE101" s="2"/>
    </row>
    <row r="102" spans="1:31" s="12" customFormat="1" ht="21" customHeight="1">
      <c r="A102" s="52"/>
      <c r="B102" s="52"/>
      <c r="C102" s="52"/>
      <c r="D102" s="208"/>
      <c r="E102" s="133"/>
      <c r="F102" s="133"/>
      <c r="G102" s="133"/>
      <c r="H102" s="133"/>
      <c r="I102" s="133"/>
      <c r="J102" s="133"/>
      <c r="K102" s="133"/>
      <c r="L102" s="87"/>
      <c r="M102" s="203"/>
      <c r="N102" s="98"/>
      <c r="O102" s="98"/>
      <c r="P102" s="98"/>
      <c r="Q102" s="97"/>
      <c r="R102" s="303"/>
      <c r="S102" s="106"/>
      <c r="T102" s="61"/>
      <c r="U102" s="89"/>
      <c r="V102" s="97"/>
      <c r="W102" s="97"/>
      <c r="X102" s="97"/>
      <c r="Y102" s="97"/>
      <c r="Z102" s="97"/>
      <c r="AA102" s="195"/>
      <c r="AB102" s="97"/>
      <c r="AC102" s="97"/>
      <c r="AD102" s="90"/>
      <c r="AE102" s="1"/>
    </row>
    <row r="103" spans="1:31" s="12" customFormat="1" ht="21" customHeight="1">
      <c r="A103" s="52"/>
      <c r="B103" s="52"/>
      <c r="C103" s="42" t="s">
        <v>103</v>
      </c>
      <c r="D103" s="210">
        <v>0</v>
      </c>
      <c r="E103" s="138">
        <f>AC103/1000</f>
        <v>320</v>
      </c>
      <c r="F103" s="138">
        <v>0</v>
      </c>
      <c r="G103" s="138">
        <v>0</v>
      </c>
      <c r="H103" s="138">
        <f>AC104/1000</f>
        <v>320</v>
      </c>
      <c r="I103" s="138">
        <v>0</v>
      </c>
      <c r="J103" s="138">
        <v>0</v>
      </c>
      <c r="K103" s="138">
        <f>E103-D103</f>
        <v>320</v>
      </c>
      <c r="L103" s="146">
        <f>IF(D103=0,0,K103/D103)</f>
        <v>0</v>
      </c>
      <c r="M103" s="121" t="s">
        <v>135</v>
      </c>
      <c r="N103" s="230"/>
      <c r="O103" s="117"/>
      <c r="P103" s="117"/>
      <c r="Q103" s="117"/>
      <c r="R103" s="253"/>
      <c r="S103" s="110"/>
      <c r="T103" s="110"/>
      <c r="U103" s="110"/>
      <c r="V103" s="252"/>
      <c r="W103" s="252"/>
      <c r="X103" s="231" t="s">
        <v>140</v>
      </c>
      <c r="Y103" s="231"/>
      <c r="Z103" s="231"/>
      <c r="AA103" s="231"/>
      <c r="AB103" s="233"/>
      <c r="AC103" s="233">
        <f>SUM(AC104:AC105)</f>
        <v>320000</v>
      </c>
      <c r="AD103" s="232" t="s">
        <v>25</v>
      </c>
      <c r="AE103" s="1"/>
    </row>
    <row r="104" spans="1:31" s="12" customFormat="1" ht="21" customHeight="1">
      <c r="A104" s="52"/>
      <c r="B104" s="52"/>
      <c r="C104" s="52"/>
      <c r="D104" s="134"/>
      <c r="E104" s="133"/>
      <c r="F104" s="133"/>
      <c r="G104" s="133"/>
      <c r="H104" s="133"/>
      <c r="I104" s="133"/>
      <c r="J104" s="133"/>
      <c r="K104" s="133"/>
      <c r="L104" s="87"/>
      <c r="M104" s="280" t="s">
        <v>190</v>
      </c>
      <c r="N104" s="56"/>
      <c r="O104" s="57"/>
      <c r="P104" s="57"/>
      <c r="Q104" s="57">
        <v>80000</v>
      </c>
      <c r="R104" s="306"/>
      <c r="S104" s="57" t="s">
        <v>86</v>
      </c>
      <c r="T104" s="56" t="s">
        <v>88</v>
      </c>
      <c r="U104" s="57">
        <v>4</v>
      </c>
      <c r="V104" s="279" t="s">
        <v>191</v>
      </c>
      <c r="W104" s="280" t="s">
        <v>192</v>
      </c>
      <c r="X104" s="57"/>
      <c r="Y104" s="57"/>
      <c r="Z104" s="57"/>
      <c r="AA104" s="357" t="s">
        <v>304</v>
      </c>
      <c r="AB104" s="84"/>
      <c r="AC104" s="84">
        <f>Q104*U104</f>
        <v>320000</v>
      </c>
      <c r="AD104" s="64" t="s">
        <v>25</v>
      </c>
      <c r="AE104" s="1"/>
    </row>
    <row r="105" spans="1:31" s="12" customFormat="1" ht="21" customHeight="1">
      <c r="A105" s="52"/>
      <c r="B105" s="52"/>
      <c r="C105" s="52"/>
      <c r="D105" s="208"/>
      <c r="E105" s="133"/>
      <c r="F105" s="133"/>
      <c r="G105" s="133"/>
      <c r="H105" s="133"/>
      <c r="I105" s="133"/>
      <c r="J105" s="133"/>
      <c r="K105" s="133"/>
      <c r="L105" s="87"/>
      <c r="M105" s="240"/>
      <c r="N105" s="56"/>
      <c r="O105" s="57"/>
      <c r="P105" s="57"/>
      <c r="Q105" s="57"/>
      <c r="R105" s="306"/>
      <c r="S105" s="57"/>
      <c r="T105" s="56"/>
      <c r="U105" s="57"/>
      <c r="V105" s="57"/>
      <c r="W105" s="56"/>
      <c r="X105" s="57"/>
      <c r="Y105" s="57"/>
      <c r="Z105" s="57"/>
      <c r="AA105" s="239"/>
      <c r="AB105" s="84"/>
      <c r="AC105" s="84"/>
      <c r="AD105" s="64"/>
      <c r="AE105" s="1"/>
    </row>
    <row r="106" spans="1:31" s="12" customFormat="1" ht="21" customHeight="1">
      <c r="A106" s="52"/>
      <c r="B106" s="52"/>
      <c r="C106" s="42" t="s">
        <v>104</v>
      </c>
      <c r="D106" s="210">
        <v>310</v>
      </c>
      <c r="E106" s="138">
        <f>F106+G106+H106+J106</f>
        <v>197</v>
      </c>
      <c r="F106" s="138">
        <f>AC107/1000</f>
        <v>160</v>
      </c>
      <c r="G106" s="138">
        <v>0</v>
      </c>
      <c r="H106" s="138">
        <f>AC108/1000</f>
        <v>37</v>
      </c>
      <c r="I106" s="138">
        <v>0</v>
      </c>
      <c r="J106" s="138">
        <v>0</v>
      </c>
      <c r="K106" s="138">
        <f>E106-D106</f>
        <v>-113</v>
      </c>
      <c r="L106" s="146">
        <f>IF(D106=0,0,K106/D106)</f>
        <v>-0.36451612903225805</v>
      </c>
      <c r="M106" s="121" t="s">
        <v>136</v>
      </c>
      <c r="N106" s="230"/>
      <c r="O106" s="238"/>
      <c r="P106" s="238"/>
      <c r="Q106" s="238"/>
      <c r="R106" s="253"/>
      <c r="S106" s="237"/>
      <c r="T106" s="237"/>
      <c r="U106" s="237"/>
      <c r="V106" s="252"/>
      <c r="W106" s="252"/>
      <c r="X106" s="231" t="s">
        <v>140</v>
      </c>
      <c r="Y106" s="231"/>
      <c r="Z106" s="231"/>
      <c r="AA106" s="231"/>
      <c r="AB106" s="233"/>
      <c r="AC106" s="233">
        <f>SUM(AC107:AC108)</f>
        <v>197000</v>
      </c>
      <c r="AD106" s="232" t="s">
        <v>25</v>
      </c>
      <c r="AE106" s="1"/>
    </row>
    <row r="107" spans="1:31" s="15" customFormat="1" ht="21" customHeight="1">
      <c r="A107" s="52"/>
      <c r="B107" s="52"/>
      <c r="C107" s="52"/>
      <c r="D107" s="208"/>
      <c r="E107" s="133"/>
      <c r="F107" s="133"/>
      <c r="G107" s="133"/>
      <c r="H107" s="133"/>
      <c r="I107" s="133"/>
      <c r="J107" s="133"/>
      <c r="K107" s="133"/>
      <c r="L107" s="87"/>
      <c r="M107" s="280" t="s">
        <v>193</v>
      </c>
      <c r="N107" s="56"/>
      <c r="O107" s="57"/>
      <c r="P107" s="57"/>
      <c r="Q107" s="57">
        <v>40000</v>
      </c>
      <c r="R107" s="306"/>
      <c r="S107" s="57" t="s">
        <v>86</v>
      </c>
      <c r="T107" s="56" t="s">
        <v>88</v>
      </c>
      <c r="U107" s="57">
        <v>1</v>
      </c>
      <c r="V107" s="57" t="s">
        <v>102</v>
      </c>
      <c r="W107" s="56" t="s">
        <v>88</v>
      </c>
      <c r="X107" s="57">
        <v>4</v>
      </c>
      <c r="Y107" s="57" t="s">
        <v>89</v>
      </c>
      <c r="Z107" s="57" t="s">
        <v>90</v>
      </c>
      <c r="AA107" s="357" t="s">
        <v>305</v>
      </c>
      <c r="AB107" s="84"/>
      <c r="AC107" s="84">
        <f>Q107*U107*X107</f>
        <v>160000</v>
      </c>
      <c r="AD107" s="64" t="s">
        <v>25</v>
      </c>
      <c r="AE107" s="5"/>
    </row>
    <row r="108" spans="1:31" s="15" customFormat="1" ht="21" customHeight="1">
      <c r="A108" s="52"/>
      <c r="B108" s="52"/>
      <c r="C108" s="52"/>
      <c r="D108" s="208"/>
      <c r="E108" s="133"/>
      <c r="F108" s="133"/>
      <c r="G108" s="133"/>
      <c r="H108" s="133"/>
      <c r="I108" s="133"/>
      <c r="J108" s="133"/>
      <c r="K108" s="133"/>
      <c r="L108" s="87"/>
      <c r="M108" s="280" t="s">
        <v>194</v>
      </c>
      <c r="N108" s="56"/>
      <c r="O108" s="56"/>
      <c r="P108" s="56"/>
      <c r="Q108" s="239"/>
      <c r="R108" s="306"/>
      <c r="S108" s="61"/>
      <c r="T108" s="61"/>
      <c r="U108" s="239"/>
      <c r="V108" s="239"/>
      <c r="W108" s="234"/>
      <c r="X108" s="168"/>
      <c r="Y108" s="92"/>
      <c r="Z108" s="246"/>
      <c r="AA108" s="357" t="s">
        <v>304</v>
      </c>
      <c r="AB108" s="57"/>
      <c r="AC108" s="57">
        <v>37000</v>
      </c>
      <c r="AD108" s="64" t="s">
        <v>25</v>
      </c>
      <c r="AE108" s="5"/>
    </row>
    <row r="109" spans="1:31" s="12" customFormat="1" ht="21" customHeight="1">
      <c r="A109" s="52"/>
      <c r="B109" s="52"/>
      <c r="C109" s="66"/>
      <c r="D109" s="209"/>
      <c r="E109" s="215"/>
      <c r="F109" s="215"/>
      <c r="G109" s="215"/>
      <c r="H109" s="215"/>
      <c r="I109" s="215"/>
      <c r="J109" s="215"/>
      <c r="K109" s="170"/>
      <c r="L109" s="105"/>
      <c r="M109" s="169"/>
      <c r="N109" s="169"/>
      <c r="O109" s="169"/>
      <c r="P109" s="169"/>
      <c r="Q109" s="169"/>
      <c r="R109" s="169"/>
      <c r="S109" s="171"/>
      <c r="T109" s="57"/>
      <c r="U109" s="63"/>
      <c r="V109" s="57"/>
      <c r="W109" s="57"/>
      <c r="X109" s="57"/>
      <c r="Y109" s="57"/>
      <c r="Z109" s="57"/>
      <c r="AA109" s="57"/>
      <c r="AB109" s="57"/>
      <c r="AC109" s="57"/>
      <c r="AD109" s="64"/>
      <c r="AE109" s="1"/>
    </row>
    <row r="110" spans="1:31" s="12" customFormat="1" ht="21" customHeight="1">
      <c r="A110" s="52"/>
      <c r="B110" s="52"/>
      <c r="C110" s="52" t="s">
        <v>105</v>
      </c>
      <c r="D110" s="166">
        <v>49</v>
      </c>
      <c r="E110" s="133">
        <f>SUM(F110,G110,H110,J110)</f>
        <v>90</v>
      </c>
      <c r="F110" s="133">
        <f>AC111/1000</f>
        <v>90</v>
      </c>
      <c r="G110" s="133">
        <v>0</v>
      </c>
      <c r="H110" s="133">
        <v>0</v>
      </c>
      <c r="I110" s="133">
        <v>0</v>
      </c>
      <c r="J110" s="133">
        <v>0</v>
      </c>
      <c r="K110" s="133">
        <f>E110-D110</f>
        <v>41</v>
      </c>
      <c r="L110" s="87">
        <f>IF(D110=0,0,K110/D110)</f>
        <v>0.83673469387755106</v>
      </c>
      <c r="M110" s="121" t="s">
        <v>110</v>
      </c>
      <c r="N110" s="117"/>
      <c r="O110" s="117"/>
      <c r="P110" s="117"/>
      <c r="Q110" s="117"/>
      <c r="R110" s="253"/>
      <c r="S110" s="110"/>
      <c r="T110" s="110"/>
      <c r="U110" s="110"/>
      <c r="V110" s="110"/>
      <c r="W110" s="110"/>
      <c r="X110" s="231" t="s">
        <v>140</v>
      </c>
      <c r="Y110" s="231"/>
      <c r="Z110" s="231"/>
      <c r="AA110" s="231"/>
      <c r="AB110" s="233"/>
      <c r="AC110" s="233">
        <f>SUM(AC111:AC111)</f>
        <v>90000</v>
      </c>
      <c r="AD110" s="232" t="s">
        <v>25</v>
      </c>
      <c r="AE110" s="1"/>
    </row>
    <row r="111" spans="1:31" s="12" customFormat="1" ht="21" customHeight="1">
      <c r="A111" s="52"/>
      <c r="B111" s="52"/>
      <c r="C111" s="52"/>
      <c r="D111" s="208"/>
      <c r="E111" s="133"/>
      <c r="F111" s="133"/>
      <c r="G111" s="133"/>
      <c r="H111" s="133"/>
      <c r="I111" s="133"/>
      <c r="J111" s="133"/>
      <c r="K111" s="133"/>
      <c r="L111" s="87"/>
      <c r="M111" s="280" t="s">
        <v>195</v>
      </c>
      <c r="N111" s="56"/>
      <c r="O111" s="56"/>
      <c r="P111" s="56"/>
      <c r="Q111" s="250">
        <v>15000</v>
      </c>
      <c r="R111" s="306"/>
      <c r="S111" s="61" t="s">
        <v>57</v>
      </c>
      <c r="T111" s="61" t="s">
        <v>26</v>
      </c>
      <c r="U111" s="250">
        <v>6</v>
      </c>
      <c r="V111" s="250" t="s">
        <v>0</v>
      </c>
      <c r="W111" s="247"/>
      <c r="X111" s="168"/>
      <c r="Y111" s="92"/>
      <c r="Z111" s="246" t="s">
        <v>53</v>
      </c>
      <c r="AA111" s="357" t="s">
        <v>305</v>
      </c>
      <c r="AB111" s="250"/>
      <c r="AC111" s="250">
        <f>ROUNDUP(Q111*U111,1)</f>
        <v>90000</v>
      </c>
      <c r="AD111" s="64" t="s">
        <v>25</v>
      </c>
      <c r="AE111" s="1"/>
    </row>
    <row r="112" spans="1:31" s="12" customFormat="1" ht="21" customHeight="1">
      <c r="A112" s="52"/>
      <c r="B112" s="52"/>
      <c r="C112" s="52"/>
      <c r="D112" s="208"/>
      <c r="E112" s="133"/>
      <c r="F112" s="133"/>
      <c r="G112" s="133"/>
      <c r="H112" s="133"/>
      <c r="I112" s="133"/>
      <c r="J112" s="133"/>
      <c r="K112" s="133"/>
      <c r="L112" s="87"/>
      <c r="M112" s="56"/>
      <c r="N112" s="56"/>
      <c r="O112" s="56"/>
      <c r="P112" s="56"/>
      <c r="Q112" s="57"/>
      <c r="R112" s="306"/>
      <c r="S112" s="61"/>
      <c r="T112" s="56"/>
      <c r="U112" s="57"/>
      <c r="V112" s="56"/>
      <c r="W112" s="57"/>
      <c r="X112" s="57"/>
      <c r="Y112" s="57"/>
      <c r="Z112" s="57"/>
      <c r="AA112" s="57"/>
      <c r="AB112" s="57"/>
      <c r="AC112" s="57"/>
      <c r="AD112" s="64"/>
      <c r="AE112" s="1"/>
    </row>
    <row r="113" spans="1:31" s="12" customFormat="1" ht="21" customHeight="1">
      <c r="A113" s="52"/>
      <c r="B113" s="42" t="s">
        <v>111</v>
      </c>
      <c r="C113" s="226" t="s">
        <v>149</v>
      </c>
      <c r="D113" s="228">
        <f>D114</f>
        <v>2790</v>
      </c>
      <c r="E113" s="228">
        <f>E114</f>
        <v>4890</v>
      </c>
      <c r="F113" s="228">
        <f t="shared" ref="F113:J113" si="12">F114</f>
        <v>0</v>
      </c>
      <c r="G113" s="228">
        <f t="shared" si="12"/>
        <v>0</v>
      </c>
      <c r="H113" s="228">
        <f>H114</f>
        <v>4090</v>
      </c>
      <c r="I113" s="228">
        <f>I114</f>
        <v>800</v>
      </c>
      <c r="J113" s="228">
        <f t="shared" si="12"/>
        <v>0</v>
      </c>
      <c r="K113" s="228">
        <f>E113-D113</f>
        <v>2100</v>
      </c>
      <c r="L113" s="229">
        <f>IF(D113=0,0,K113/D113)</f>
        <v>0.75268817204301075</v>
      </c>
      <c r="M113" s="230"/>
      <c r="N113" s="230"/>
      <c r="O113" s="230"/>
      <c r="P113" s="230"/>
      <c r="Q113" s="230"/>
      <c r="R113" s="305"/>
      <c r="S113" s="231"/>
      <c r="T113" s="231"/>
      <c r="U113" s="231"/>
      <c r="V113" s="231"/>
      <c r="W113" s="231"/>
      <c r="X113" s="231" t="s">
        <v>28</v>
      </c>
      <c r="Y113" s="231"/>
      <c r="Z113" s="231"/>
      <c r="AA113" s="231"/>
      <c r="AB113" s="233"/>
      <c r="AC113" s="233">
        <f>AC114</f>
        <v>4890000</v>
      </c>
      <c r="AD113" s="232" t="s">
        <v>25</v>
      </c>
      <c r="AE113" s="1"/>
    </row>
    <row r="114" spans="1:31" s="12" customFormat="1" ht="26.25" customHeight="1">
      <c r="A114" s="52"/>
      <c r="B114" s="52" t="s">
        <v>132</v>
      </c>
      <c r="C114" s="52" t="s">
        <v>131</v>
      </c>
      <c r="D114" s="208">
        <v>2790</v>
      </c>
      <c r="E114" s="138">
        <f>SUM(F114+G114+H114+I114+J114)</f>
        <v>4890</v>
      </c>
      <c r="F114" s="138">
        <v>0</v>
      </c>
      <c r="G114" s="138">
        <v>0</v>
      </c>
      <c r="H114" s="138">
        <f>SUM(AC117,AC124,AC143,AC118,AC120,AC127,AC133,AC134,AC135,AC140,AC136,AC130)/1000</f>
        <v>4090</v>
      </c>
      <c r="I114" s="138">
        <f>(AC119+AC121)/1000</f>
        <v>800</v>
      </c>
      <c r="J114" s="138">
        <v>0</v>
      </c>
      <c r="K114" s="138">
        <f>E114-D114</f>
        <v>2100</v>
      </c>
      <c r="L114" s="146">
        <f>IF(D114=0,0,K114/D114)</f>
        <v>0.75268817204301075</v>
      </c>
      <c r="M114" s="123" t="s">
        <v>133</v>
      </c>
      <c r="N114" s="141"/>
      <c r="O114" s="38"/>
      <c r="P114" s="34"/>
      <c r="Q114" s="34"/>
      <c r="R114" s="34"/>
      <c r="S114" s="34"/>
      <c r="T114" s="34"/>
      <c r="U114" s="34"/>
      <c r="V114" s="252"/>
      <c r="W114" s="252"/>
      <c r="X114" s="231" t="s">
        <v>140</v>
      </c>
      <c r="Y114" s="124"/>
      <c r="Z114" s="124"/>
      <c r="AA114" s="124"/>
      <c r="AB114" s="143"/>
      <c r="AC114" s="143">
        <f>SUM(AC116,AC123,AC132,AC138,AC126,AC129,AC142)</f>
        <v>4890000</v>
      </c>
      <c r="AD114" s="144" t="s">
        <v>25</v>
      </c>
      <c r="AE114" s="1"/>
    </row>
    <row r="115" spans="1:31" s="16" customFormat="1" ht="24" customHeight="1">
      <c r="A115" s="52"/>
      <c r="B115" s="52"/>
      <c r="C115" s="52" t="s">
        <v>132</v>
      </c>
      <c r="D115" s="211"/>
      <c r="E115" s="133"/>
      <c r="F115" s="133"/>
      <c r="G115" s="133"/>
      <c r="H115" s="133"/>
      <c r="I115" s="133"/>
      <c r="J115" s="133"/>
      <c r="K115" s="133"/>
      <c r="L115" s="87"/>
      <c r="M115" s="240"/>
      <c r="N115" s="56"/>
      <c r="O115" s="56"/>
      <c r="P115" s="56"/>
      <c r="Q115" s="56"/>
      <c r="R115" s="307"/>
      <c r="S115" s="57"/>
      <c r="T115" s="57"/>
      <c r="U115" s="57"/>
      <c r="V115" s="57"/>
      <c r="W115" s="57"/>
      <c r="X115" s="172"/>
      <c r="Y115" s="172"/>
      <c r="Z115" s="172"/>
      <c r="AA115" s="172"/>
      <c r="AB115" s="173"/>
      <c r="AC115" s="173"/>
      <c r="AD115" s="64"/>
      <c r="AE115" s="17"/>
    </row>
    <row r="116" spans="1:31" s="16" customFormat="1" ht="24" customHeight="1">
      <c r="A116" s="52"/>
      <c r="B116" s="52"/>
      <c r="C116" s="52"/>
      <c r="D116" s="211"/>
      <c r="E116" s="133"/>
      <c r="F116" s="133"/>
      <c r="G116" s="133"/>
      <c r="H116" s="133"/>
      <c r="I116" s="133"/>
      <c r="J116" s="133"/>
      <c r="K116" s="133"/>
      <c r="L116" s="87"/>
      <c r="M116" s="88" t="s">
        <v>343</v>
      </c>
      <c r="N116" s="236"/>
      <c r="O116" s="240"/>
      <c r="P116" s="240"/>
      <c r="Q116" s="240"/>
      <c r="R116" s="307"/>
      <c r="S116" s="239"/>
      <c r="T116" s="239"/>
      <c r="U116" s="239"/>
      <c r="V116" s="235" t="s">
        <v>134</v>
      </c>
      <c r="W116" s="235"/>
      <c r="X116" s="235"/>
      <c r="Y116" s="235"/>
      <c r="Z116" s="235"/>
      <c r="AA116" s="235"/>
      <c r="AB116" s="89"/>
      <c r="AC116" s="89">
        <f>SUM(AC117:AC121)</f>
        <v>1350000</v>
      </c>
      <c r="AD116" s="90" t="s">
        <v>25</v>
      </c>
      <c r="AE116" s="17"/>
    </row>
    <row r="117" spans="1:31" s="16" customFormat="1" ht="24" customHeight="1">
      <c r="A117" s="52"/>
      <c r="B117" s="52"/>
      <c r="C117" s="52"/>
      <c r="D117" s="211"/>
      <c r="E117" s="133"/>
      <c r="F117" s="133"/>
      <c r="G117" s="133"/>
      <c r="H117" s="133"/>
      <c r="I117" s="133"/>
      <c r="J117" s="133"/>
      <c r="K117" s="133"/>
      <c r="L117" s="87"/>
      <c r="M117" s="396" t="s">
        <v>338</v>
      </c>
      <c r="N117" s="240"/>
      <c r="O117" s="240"/>
      <c r="P117" s="240"/>
      <c r="Q117" s="279">
        <v>10000</v>
      </c>
      <c r="R117" s="306"/>
      <c r="S117" s="279" t="s">
        <v>57</v>
      </c>
      <c r="T117" s="280" t="s">
        <v>58</v>
      </c>
      <c r="U117" s="279">
        <v>6</v>
      </c>
      <c r="V117" s="279" t="s">
        <v>75</v>
      </c>
      <c r="W117" s="280" t="s">
        <v>58</v>
      </c>
      <c r="X117" s="279">
        <v>4</v>
      </c>
      <c r="Y117" s="279" t="s">
        <v>56</v>
      </c>
      <c r="Z117" s="279" t="s">
        <v>53</v>
      </c>
      <c r="AA117" s="395" t="s">
        <v>361</v>
      </c>
      <c r="AB117" s="84"/>
      <c r="AC117" s="84">
        <f>Q117*U117*X117</f>
        <v>240000</v>
      </c>
      <c r="AD117" s="64" t="s">
        <v>25</v>
      </c>
      <c r="AE117" s="17"/>
    </row>
    <row r="118" spans="1:31" s="16" customFormat="1" ht="24" customHeight="1">
      <c r="A118" s="52"/>
      <c r="B118" s="52"/>
      <c r="C118" s="52"/>
      <c r="D118" s="211"/>
      <c r="E118" s="133"/>
      <c r="F118" s="133"/>
      <c r="G118" s="133"/>
      <c r="H118" s="133"/>
      <c r="I118" s="133"/>
      <c r="J118" s="133"/>
      <c r="K118" s="133"/>
      <c r="L118" s="87"/>
      <c r="M118" s="396" t="s">
        <v>339</v>
      </c>
      <c r="N118" s="332"/>
      <c r="O118" s="332"/>
      <c r="P118" s="332"/>
      <c r="Q118" s="331">
        <v>10000</v>
      </c>
      <c r="R118" s="331"/>
      <c r="S118" s="331" t="s">
        <v>57</v>
      </c>
      <c r="T118" s="332" t="s">
        <v>58</v>
      </c>
      <c r="U118" s="331">
        <v>3</v>
      </c>
      <c r="V118" s="331" t="s">
        <v>75</v>
      </c>
      <c r="W118" s="332" t="s">
        <v>58</v>
      </c>
      <c r="X118" s="331">
        <v>5</v>
      </c>
      <c r="Y118" s="331" t="s">
        <v>56</v>
      </c>
      <c r="Z118" s="331" t="s">
        <v>53</v>
      </c>
      <c r="AA118" s="397" t="s">
        <v>112</v>
      </c>
      <c r="AB118" s="84"/>
      <c r="AC118" s="84">
        <f t="shared" ref="AC118" si="13">Q118*U118*X118</f>
        <v>150000</v>
      </c>
      <c r="AD118" s="64" t="s">
        <v>25</v>
      </c>
      <c r="AE118" s="17"/>
    </row>
    <row r="119" spans="1:31" s="16" customFormat="1" ht="24" customHeight="1">
      <c r="A119" s="52"/>
      <c r="B119" s="52"/>
      <c r="C119" s="52"/>
      <c r="D119" s="211"/>
      <c r="E119" s="133"/>
      <c r="F119" s="133"/>
      <c r="G119" s="133"/>
      <c r="H119" s="133"/>
      <c r="I119" s="133"/>
      <c r="J119" s="133"/>
      <c r="K119" s="133"/>
      <c r="L119" s="87"/>
      <c r="M119" s="396" t="s">
        <v>340</v>
      </c>
      <c r="N119" s="332"/>
      <c r="O119" s="332"/>
      <c r="P119" s="332"/>
      <c r="Q119" s="331">
        <v>100000</v>
      </c>
      <c r="R119" s="331"/>
      <c r="S119" s="331" t="s">
        <v>57</v>
      </c>
      <c r="T119" s="332" t="s">
        <v>58</v>
      </c>
      <c r="U119" s="331">
        <v>1</v>
      </c>
      <c r="V119" s="331" t="s">
        <v>75</v>
      </c>
      <c r="W119" s="332" t="s">
        <v>58</v>
      </c>
      <c r="X119" s="331">
        <v>4</v>
      </c>
      <c r="Y119" s="331" t="s">
        <v>56</v>
      </c>
      <c r="Z119" s="331" t="s">
        <v>53</v>
      </c>
      <c r="AA119" s="395" t="s">
        <v>360</v>
      </c>
      <c r="AB119" s="84"/>
      <c r="AC119" s="84">
        <f t="shared" ref="AC119" si="14">Q119*U119*X119</f>
        <v>400000</v>
      </c>
      <c r="AD119" s="64" t="s">
        <v>25</v>
      </c>
      <c r="AE119" s="17"/>
    </row>
    <row r="120" spans="1:31" s="16" customFormat="1" ht="24" customHeight="1">
      <c r="A120" s="52"/>
      <c r="B120" s="52"/>
      <c r="C120" s="52"/>
      <c r="D120" s="211"/>
      <c r="E120" s="133"/>
      <c r="F120" s="133"/>
      <c r="G120" s="133"/>
      <c r="H120" s="133"/>
      <c r="I120" s="133"/>
      <c r="J120" s="133"/>
      <c r="K120" s="133"/>
      <c r="L120" s="87"/>
      <c r="M120" s="396" t="s">
        <v>341</v>
      </c>
      <c r="N120" s="280"/>
      <c r="O120" s="280"/>
      <c r="P120" s="280"/>
      <c r="Q120" s="279">
        <v>10000</v>
      </c>
      <c r="R120" s="306"/>
      <c r="S120" s="279" t="s">
        <v>57</v>
      </c>
      <c r="T120" s="280" t="s">
        <v>58</v>
      </c>
      <c r="U120" s="279">
        <v>4</v>
      </c>
      <c r="V120" s="279" t="s">
        <v>75</v>
      </c>
      <c r="W120" s="280" t="s">
        <v>58</v>
      </c>
      <c r="X120" s="279">
        <v>4</v>
      </c>
      <c r="Y120" s="279" t="s">
        <v>56</v>
      </c>
      <c r="Z120" s="279" t="s">
        <v>53</v>
      </c>
      <c r="AA120" s="395" t="s">
        <v>361</v>
      </c>
      <c r="AB120" s="84"/>
      <c r="AC120" s="84">
        <f t="shared" ref="AC120" si="15">Q120*U120*X120</f>
        <v>160000</v>
      </c>
      <c r="AD120" s="64" t="s">
        <v>25</v>
      </c>
      <c r="AE120" s="17"/>
    </row>
    <row r="121" spans="1:31" s="16" customFormat="1" ht="24" customHeight="1">
      <c r="A121" s="52"/>
      <c r="B121" s="52"/>
      <c r="C121" s="52"/>
      <c r="D121" s="211"/>
      <c r="E121" s="133"/>
      <c r="F121" s="133"/>
      <c r="G121" s="133"/>
      <c r="H121" s="133"/>
      <c r="I121" s="133"/>
      <c r="J121" s="133"/>
      <c r="K121" s="133"/>
      <c r="L121" s="87"/>
      <c r="M121" s="396" t="s">
        <v>342</v>
      </c>
      <c r="N121" s="332"/>
      <c r="O121" s="332"/>
      <c r="P121" s="332"/>
      <c r="Q121" s="331">
        <v>100000</v>
      </c>
      <c r="R121" s="331"/>
      <c r="S121" s="331" t="s">
        <v>57</v>
      </c>
      <c r="T121" s="332" t="s">
        <v>58</v>
      </c>
      <c r="U121" s="331">
        <v>1</v>
      </c>
      <c r="V121" s="331" t="s">
        <v>75</v>
      </c>
      <c r="W121" s="332" t="s">
        <v>58</v>
      </c>
      <c r="X121" s="331">
        <v>4</v>
      </c>
      <c r="Y121" s="331" t="s">
        <v>56</v>
      </c>
      <c r="Z121" s="331" t="s">
        <v>53</v>
      </c>
      <c r="AA121" s="395" t="s">
        <v>360</v>
      </c>
      <c r="AB121" s="84"/>
      <c r="AC121" s="84">
        <f t="shared" ref="AC121" si="16">Q121*U121*X121</f>
        <v>400000</v>
      </c>
      <c r="AD121" s="64" t="s">
        <v>25</v>
      </c>
      <c r="AE121" s="17"/>
    </row>
    <row r="122" spans="1:31" s="16" customFormat="1" ht="24" customHeight="1">
      <c r="A122" s="52"/>
      <c r="B122" s="52"/>
      <c r="C122" s="52"/>
      <c r="D122" s="208"/>
      <c r="E122" s="133"/>
      <c r="F122" s="133"/>
      <c r="G122" s="133"/>
      <c r="H122" s="133"/>
      <c r="I122" s="133"/>
      <c r="J122" s="133"/>
      <c r="K122" s="133"/>
      <c r="L122" s="87"/>
      <c r="M122" s="154"/>
      <c r="N122" s="154"/>
      <c r="O122" s="154"/>
      <c r="P122" s="154"/>
      <c r="Q122" s="153"/>
      <c r="R122" s="306"/>
      <c r="S122" s="153"/>
      <c r="T122" s="154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64"/>
      <c r="AE122" s="17"/>
    </row>
    <row r="123" spans="1:31" s="16" customFormat="1" ht="24" customHeight="1">
      <c r="A123" s="52"/>
      <c r="B123" s="52"/>
      <c r="C123" s="52"/>
      <c r="D123" s="208"/>
      <c r="E123" s="133"/>
      <c r="F123" s="133"/>
      <c r="G123" s="133"/>
      <c r="H123" s="133"/>
      <c r="I123" s="133"/>
      <c r="J123" s="133"/>
      <c r="K123" s="133"/>
      <c r="L123" s="87"/>
      <c r="M123" s="88" t="s">
        <v>344</v>
      </c>
      <c r="N123" s="141"/>
      <c r="O123" s="241"/>
      <c r="P123" s="34"/>
      <c r="Q123" s="34"/>
      <c r="R123" s="34"/>
      <c r="S123" s="34"/>
      <c r="T123" s="34"/>
      <c r="U123" s="34"/>
      <c r="V123" s="235" t="s">
        <v>134</v>
      </c>
      <c r="W123" s="235"/>
      <c r="X123" s="235"/>
      <c r="Y123" s="235"/>
      <c r="Z123" s="235"/>
      <c r="AA123" s="235"/>
      <c r="AB123" s="89"/>
      <c r="AC123" s="89">
        <f>SUM(AC124:AC124)</f>
        <v>240000</v>
      </c>
      <c r="AD123" s="90" t="s">
        <v>25</v>
      </c>
      <c r="AE123" s="17"/>
    </row>
    <row r="124" spans="1:31" s="16" customFormat="1" ht="24" customHeight="1">
      <c r="A124" s="52"/>
      <c r="B124" s="52"/>
      <c r="C124" s="52"/>
      <c r="D124" s="211"/>
      <c r="E124" s="133"/>
      <c r="F124" s="133"/>
      <c r="G124" s="133"/>
      <c r="H124" s="133"/>
      <c r="I124" s="133"/>
      <c r="J124" s="133"/>
      <c r="K124" s="133"/>
      <c r="L124" s="87"/>
      <c r="M124" s="396" t="s">
        <v>345</v>
      </c>
      <c r="N124" s="240"/>
      <c r="O124" s="240"/>
      <c r="P124" s="240"/>
      <c r="Q124" s="279">
        <v>80000</v>
      </c>
      <c r="R124" s="306"/>
      <c r="S124" s="61" t="s">
        <v>57</v>
      </c>
      <c r="T124" s="61" t="s">
        <v>26</v>
      </c>
      <c r="U124" s="279">
        <v>3</v>
      </c>
      <c r="V124" s="279" t="s">
        <v>191</v>
      </c>
      <c r="W124" s="262"/>
      <c r="X124" s="168"/>
      <c r="Y124" s="92"/>
      <c r="Z124" s="246" t="s">
        <v>53</v>
      </c>
      <c r="AA124" s="395" t="s">
        <v>361</v>
      </c>
      <c r="AB124" s="279"/>
      <c r="AC124" s="279">
        <f>Q124*U124</f>
        <v>240000</v>
      </c>
      <c r="AD124" s="64" t="s">
        <v>25</v>
      </c>
      <c r="AE124" s="17"/>
    </row>
    <row r="125" spans="1:31" s="16" customFormat="1" ht="24" customHeight="1">
      <c r="A125" s="392"/>
      <c r="B125" s="392"/>
      <c r="C125" s="392"/>
      <c r="D125" s="211"/>
      <c r="E125" s="133"/>
      <c r="F125" s="133"/>
      <c r="G125" s="133"/>
      <c r="H125" s="133"/>
      <c r="I125" s="133"/>
      <c r="J125" s="133"/>
      <c r="K125" s="133"/>
      <c r="L125" s="87"/>
      <c r="M125" s="396"/>
      <c r="N125" s="396"/>
      <c r="O125" s="396"/>
      <c r="P125" s="396"/>
      <c r="Q125" s="395"/>
      <c r="R125" s="395"/>
      <c r="S125" s="61"/>
      <c r="T125" s="61"/>
      <c r="U125" s="395"/>
      <c r="V125" s="395"/>
      <c r="W125" s="262"/>
      <c r="X125" s="168"/>
      <c r="Y125" s="92"/>
      <c r="Z125" s="246"/>
      <c r="AA125" s="395"/>
      <c r="AB125" s="395"/>
      <c r="AC125" s="395"/>
      <c r="AD125" s="64"/>
      <c r="AE125" s="17"/>
    </row>
    <row r="126" spans="1:31" s="16" customFormat="1" ht="24" customHeight="1">
      <c r="A126" s="392"/>
      <c r="B126" s="392"/>
      <c r="C126" s="392"/>
      <c r="D126" s="211"/>
      <c r="E126" s="133"/>
      <c r="F126" s="133"/>
      <c r="G126" s="133"/>
      <c r="H126" s="133"/>
      <c r="I126" s="133"/>
      <c r="J126" s="133"/>
      <c r="K126" s="133"/>
      <c r="L126" s="87"/>
      <c r="M126" s="88" t="s">
        <v>346</v>
      </c>
      <c r="N126" s="394"/>
      <c r="O126" s="396"/>
      <c r="P126" s="396"/>
      <c r="Q126" s="396"/>
      <c r="R126" s="396"/>
      <c r="S126" s="395"/>
      <c r="T126" s="395"/>
      <c r="U126" s="395"/>
      <c r="V126" s="393" t="s">
        <v>134</v>
      </c>
      <c r="W126" s="393"/>
      <c r="X126" s="393"/>
      <c r="Y126" s="393"/>
      <c r="Z126" s="393"/>
      <c r="AA126" s="393"/>
      <c r="AB126" s="89"/>
      <c r="AC126" s="89">
        <f>SUM(AC127)</f>
        <v>60000</v>
      </c>
      <c r="AD126" s="90" t="s">
        <v>25</v>
      </c>
      <c r="AE126" s="17"/>
    </row>
    <row r="127" spans="1:31" s="16" customFormat="1" ht="24" customHeight="1">
      <c r="A127" s="392"/>
      <c r="B127" s="392"/>
      <c r="C127" s="392"/>
      <c r="D127" s="211"/>
      <c r="E127" s="133"/>
      <c r="F127" s="133"/>
      <c r="G127" s="133"/>
      <c r="H127" s="133"/>
      <c r="I127" s="133"/>
      <c r="J127" s="133"/>
      <c r="K127" s="133"/>
      <c r="L127" s="87"/>
      <c r="M127" s="396" t="s">
        <v>347</v>
      </c>
      <c r="N127" s="396"/>
      <c r="O127" s="396"/>
      <c r="P127" s="396"/>
      <c r="Q127" s="395">
        <v>5000</v>
      </c>
      <c r="R127" s="395"/>
      <c r="S127" s="61" t="s">
        <v>57</v>
      </c>
      <c r="T127" s="61" t="s">
        <v>26</v>
      </c>
      <c r="U127" s="395">
        <v>12</v>
      </c>
      <c r="V127" s="395" t="s">
        <v>75</v>
      </c>
      <c r="W127" s="262"/>
      <c r="X127" s="168"/>
      <c r="Y127" s="92"/>
      <c r="Z127" s="246" t="s">
        <v>53</v>
      </c>
      <c r="AA127" s="397" t="s">
        <v>366</v>
      </c>
      <c r="AB127" s="395"/>
      <c r="AC127" s="395">
        <f>Q127*U127</f>
        <v>60000</v>
      </c>
      <c r="AD127" s="64" t="s">
        <v>25</v>
      </c>
      <c r="AE127" s="17"/>
    </row>
    <row r="128" spans="1:31" s="16" customFormat="1" ht="24" customHeight="1">
      <c r="A128" s="392"/>
      <c r="B128" s="392"/>
      <c r="C128" s="392"/>
      <c r="D128" s="211"/>
      <c r="E128" s="133"/>
      <c r="F128" s="133"/>
      <c r="G128" s="133"/>
      <c r="H128" s="133"/>
      <c r="I128" s="133"/>
      <c r="J128" s="133"/>
      <c r="K128" s="133"/>
      <c r="L128" s="87"/>
      <c r="M128" s="396"/>
      <c r="N128" s="396"/>
      <c r="O128" s="396"/>
      <c r="P128" s="396"/>
      <c r="Q128" s="395"/>
      <c r="R128" s="395"/>
      <c r="S128" s="61"/>
      <c r="T128" s="61"/>
      <c r="U128" s="395"/>
      <c r="V128" s="395"/>
      <c r="W128" s="262"/>
      <c r="X128" s="168"/>
      <c r="Y128" s="92"/>
      <c r="Z128" s="246"/>
      <c r="AA128" s="395"/>
      <c r="AB128" s="395"/>
      <c r="AC128" s="395"/>
      <c r="AD128" s="64"/>
      <c r="AE128" s="17"/>
    </row>
    <row r="129" spans="1:31" s="16" customFormat="1" ht="24" customHeight="1">
      <c r="A129" s="392"/>
      <c r="B129" s="392"/>
      <c r="C129" s="392"/>
      <c r="D129" s="211"/>
      <c r="E129" s="133"/>
      <c r="F129" s="133"/>
      <c r="G129" s="133"/>
      <c r="H129" s="133"/>
      <c r="I129" s="133"/>
      <c r="J129" s="133"/>
      <c r="K129" s="133"/>
      <c r="L129" s="87"/>
      <c r="M129" s="88" t="s">
        <v>348</v>
      </c>
      <c r="N129" s="394"/>
      <c r="O129" s="396"/>
      <c r="P129" s="396"/>
      <c r="Q129" s="396"/>
      <c r="R129" s="396"/>
      <c r="S129" s="395"/>
      <c r="T129" s="395"/>
      <c r="U129" s="395"/>
      <c r="V129" s="393" t="s">
        <v>134</v>
      </c>
      <c r="W129" s="393"/>
      <c r="X129" s="393"/>
      <c r="Y129" s="393"/>
      <c r="Z129" s="393"/>
      <c r="AA129" s="393"/>
      <c r="AB129" s="89"/>
      <c r="AC129" s="89">
        <f>SUM(AC130)</f>
        <v>1200000</v>
      </c>
      <c r="AD129" s="90" t="s">
        <v>25</v>
      </c>
      <c r="AE129" s="17"/>
    </row>
    <row r="130" spans="1:31" s="16" customFormat="1" ht="24" customHeight="1">
      <c r="A130" s="392"/>
      <c r="B130" s="392"/>
      <c r="C130" s="392"/>
      <c r="D130" s="211"/>
      <c r="E130" s="133"/>
      <c r="F130" s="133"/>
      <c r="G130" s="133"/>
      <c r="H130" s="133"/>
      <c r="I130" s="133"/>
      <c r="J130" s="133"/>
      <c r="K130" s="133"/>
      <c r="L130" s="87"/>
      <c r="M130" s="396" t="s">
        <v>349</v>
      </c>
      <c r="N130" s="396"/>
      <c r="O130" s="396"/>
      <c r="P130" s="396"/>
      <c r="Q130" s="395">
        <v>30000</v>
      </c>
      <c r="R130" s="395"/>
      <c r="S130" s="395" t="s">
        <v>57</v>
      </c>
      <c r="T130" s="396" t="s">
        <v>58</v>
      </c>
      <c r="U130" s="395">
        <v>10</v>
      </c>
      <c r="V130" s="395" t="s">
        <v>75</v>
      </c>
      <c r="W130" s="396" t="s">
        <v>58</v>
      </c>
      <c r="X130" s="395">
        <v>4</v>
      </c>
      <c r="Y130" s="395" t="s">
        <v>56</v>
      </c>
      <c r="Z130" s="395" t="s">
        <v>53</v>
      </c>
      <c r="AA130" s="395"/>
      <c r="AB130" s="84"/>
      <c r="AC130" s="84">
        <f t="shared" ref="AC130" si="17">Q130*U130*X130</f>
        <v>1200000</v>
      </c>
      <c r="AD130" s="64" t="s">
        <v>25</v>
      </c>
      <c r="AE130" s="17"/>
    </row>
    <row r="131" spans="1:31" s="16" customFormat="1" ht="24" customHeight="1">
      <c r="A131" s="392"/>
      <c r="B131" s="392"/>
      <c r="C131" s="392"/>
      <c r="D131" s="211"/>
      <c r="E131" s="133"/>
      <c r="F131" s="133"/>
      <c r="G131" s="133"/>
      <c r="H131" s="133"/>
      <c r="I131" s="133"/>
      <c r="J131" s="133"/>
      <c r="K131" s="133"/>
      <c r="L131" s="87"/>
      <c r="M131" s="396"/>
      <c r="N131" s="396"/>
      <c r="O131" s="396"/>
      <c r="P131" s="396"/>
      <c r="Q131" s="395"/>
      <c r="R131" s="395"/>
      <c r="S131" s="61"/>
      <c r="T131" s="61"/>
      <c r="U131" s="395"/>
      <c r="V131" s="395"/>
      <c r="W131" s="262"/>
      <c r="X131" s="168"/>
      <c r="Y131" s="92"/>
      <c r="Z131" s="246"/>
      <c r="AA131" s="395"/>
      <c r="AB131" s="395"/>
      <c r="AC131" s="395"/>
      <c r="AD131" s="64"/>
      <c r="AE131" s="17"/>
    </row>
    <row r="132" spans="1:31" s="16" customFormat="1" ht="24" customHeight="1">
      <c r="A132" s="52"/>
      <c r="B132" s="52"/>
      <c r="C132" s="52"/>
      <c r="D132" s="208"/>
      <c r="E132" s="133"/>
      <c r="F132" s="133"/>
      <c r="G132" s="133"/>
      <c r="H132" s="133"/>
      <c r="I132" s="133"/>
      <c r="J132" s="133"/>
      <c r="K132" s="133"/>
      <c r="L132" s="87"/>
      <c r="M132" s="88" t="s">
        <v>350</v>
      </c>
      <c r="N132" s="141"/>
      <c r="O132" s="241"/>
      <c r="P132" s="34"/>
      <c r="Q132" s="34"/>
      <c r="R132" s="34"/>
      <c r="S132" s="34"/>
      <c r="T132" s="34"/>
      <c r="U132" s="34"/>
      <c r="V132" s="235" t="s">
        <v>134</v>
      </c>
      <c r="W132" s="235"/>
      <c r="X132" s="235"/>
      <c r="Y132" s="235"/>
      <c r="Z132" s="235"/>
      <c r="AA132" s="235"/>
      <c r="AB132" s="89"/>
      <c r="AC132" s="89">
        <f>SUM(AC133:AC136)</f>
        <v>1560000</v>
      </c>
      <c r="AD132" s="90" t="s">
        <v>25</v>
      </c>
      <c r="AE132" s="17"/>
    </row>
    <row r="133" spans="1:31" s="16" customFormat="1" ht="24" customHeight="1">
      <c r="A133" s="52"/>
      <c r="B133" s="52"/>
      <c r="C133" s="52"/>
      <c r="D133" s="208"/>
      <c r="E133" s="133"/>
      <c r="F133" s="133"/>
      <c r="G133" s="133"/>
      <c r="H133" s="133"/>
      <c r="I133" s="133"/>
      <c r="J133" s="133"/>
      <c r="K133" s="133"/>
      <c r="L133" s="87"/>
      <c r="M133" s="174" t="s">
        <v>351</v>
      </c>
      <c r="N133" s="174"/>
      <c r="O133" s="174"/>
      <c r="P133" s="174"/>
      <c r="Q133" s="279">
        <v>20000</v>
      </c>
      <c r="R133" s="306"/>
      <c r="S133" s="61" t="s">
        <v>57</v>
      </c>
      <c r="T133" s="61" t="s">
        <v>26</v>
      </c>
      <c r="U133" s="279">
        <v>4</v>
      </c>
      <c r="V133" s="279" t="s">
        <v>191</v>
      </c>
      <c r="W133" s="262"/>
      <c r="X133" s="168"/>
      <c r="Y133" s="92"/>
      <c r="Z133" s="246" t="s">
        <v>53</v>
      </c>
      <c r="AA133" s="395" t="s">
        <v>361</v>
      </c>
      <c r="AB133" s="279"/>
      <c r="AC133" s="279">
        <f>Q133*U133</f>
        <v>80000</v>
      </c>
      <c r="AD133" s="64" t="s">
        <v>25</v>
      </c>
      <c r="AE133" s="17"/>
    </row>
    <row r="134" spans="1:31" s="16" customFormat="1" ht="24" customHeight="1">
      <c r="A134" s="52"/>
      <c r="B134" s="52"/>
      <c r="C134" s="52"/>
      <c r="D134" s="208"/>
      <c r="E134" s="133"/>
      <c r="F134" s="133"/>
      <c r="G134" s="133"/>
      <c r="H134" s="133"/>
      <c r="I134" s="133"/>
      <c r="J134" s="133"/>
      <c r="K134" s="133"/>
      <c r="L134" s="87"/>
      <c r="M134" s="174" t="s">
        <v>352</v>
      </c>
      <c r="N134" s="174"/>
      <c r="O134" s="174"/>
      <c r="P134" s="174"/>
      <c r="Q134" s="279">
        <v>200000</v>
      </c>
      <c r="R134" s="306"/>
      <c r="S134" s="61" t="s">
        <v>57</v>
      </c>
      <c r="T134" s="61" t="s">
        <v>26</v>
      </c>
      <c r="U134" s="279">
        <v>4</v>
      </c>
      <c r="V134" s="395" t="s">
        <v>56</v>
      </c>
      <c r="W134" s="262"/>
      <c r="X134" s="168"/>
      <c r="Y134" s="92"/>
      <c r="Z134" s="246" t="s">
        <v>53</v>
      </c>
      <c r="AA134" s="395" t="s">
        <v>361</v>
      </c>
      <c r="AB134" s="279"/>
      <c r="AC134" s="279">
        <f>Q134*U134</f>
        <v>800000</v>
      </c>
      <c r="AD134" s="64" t="s">
        <v>25</v>
      </c>
      <c r="AE134" s="17"/>
    </row>
    <row r="135" spans="1:31" s="16" customFormat="1" ht="24" customHeight="1">
      <c r="A135" s="52"/>
      <c r="B135" s="52"/>
      <c r="C135" s="52"/>
      <c r="D135" s="208"/>
      <c r="E135" s="133"/>
      <c r="F135" s="133"/>
      <c r="G135" s="133"/>
      <c r="H135" s="133"/>
      <c r="I135" s="133"/>
      <c r="J135" s="133"/>
      <c r="K135" s="133"/>
      <c r="L135" s="87"/>
      <c r="M135" s="174" t="s">
        <v>354</v>
      </c>
      <c r="N135" s="174"/>
      <c r="O135" s="174"/>
      <c r="P135" s="174"/>
      <c r="Q135" s="395">
        <v>150000</v>
      </c>
      <c r="R135" s="395"/>
      <c r="S135" s="61" t="s">
        <v>57</v>
      </c>
      <c r="T135" s="61" t="s">
        <v>26</v>
      </c>
      <c r="U135" s="395">
        <v>4</v>
      </c>
      <c r="V135" s="395" t="s">
        <v>56</v>
      </c>
      <c r="W135" s="262"/>
      <c r="X135" s="168"/>
      <c r="Y135" s="92"/>
      <c r="Z135" s="246" t="s">
        <v>53</v>
      </c>
      <c r="AA135" s="395" t="s">
        <v>361</v>
      </c>
      <c r="AB135" s="395"/>
      <c r="AC135" s="395">
        <f>Q135*U135</f>
        <v>600000</v>
      </c>
      <c r="AD135" s="64" t="s">
        <v>25</v>
      </c>
      <c r="AE135" s="17"/>
    </row>
    <row r="136" spans="1:31" s="16" customFormat="1" ht="24" customHeight="1">
      <c r="A136" s="52"/>
      <c r="B136" s="52"/>
      <c r="C136" s="52"/>
      <c r="D136" s="208"/>
      <c r="E136" s="133"/>
      <c r="F136" s="133"/>
      <c r="G136" s="133"/>
      <c r="H136" s="133"/>
      <c r="I136" s="133"/>
      <c r="J136" s="133"/>
      <c r="K136" s="133"/>
      <c r="L136" s="87"/>
      <c r="M136" s="174" t="s">
        <v>353</v>
      </c>
      <c r="N136" s="174"/>
      <c r="O136" s="174"/>
      <c r="P136" s="174"/>
      <c r="Q136" s="339">
        <v>20000</v>
      </c>
      <c r="R136" s="174"/>
      <c r="S136" s="174" t="s">
        <v>210</v>
      </c>
      <c r="T136" s="61" t="s">
        <v>26</v>
      </c>
      <c r="U136" s="174">
        <v>4</v>
      </c>
      <c r="V136" s="174" t="s">
        <v>56</v>
      </c>
      <c r="W136" s="174"/>
      <c r="X136" s="174"/>
      <c r="Y136" s="174"/>
      <c r="Z136" s="174" t="s">
        <v>214</v>
      </c>
      <c r="AA136" s="174" t="s">
        <v>112</v>
      </c>
      <c r="AB136" s="174"/>
      <c r="AC136" s="175">
        <f>Q136*U136</f>
        <v>80000</v>
      </c>
      <c r="AD136" s="176" t="s">
        <v>212</v>
      </c>
      <c r="AE136" s="17"/>
    </row>
    <row r="137" spans="1:31" s="16" customFormat="1" ht="24" customHeight="1">
      <c r="A137" s="52"/>
      <c r="B137" s="52"/>
      <c r="C137" s="52"/>
      <c r="D137" s="208"/>
      <c r="E137" s="133"/>
      <c r="F137" s="133"/>
      <c r="G137" s="133"/>
      <c r="H137" s="133"/>
      <c r="I137" s="133"/>
      <c r="J137" s="133"/>
      <c r="K137" s="133"/>
      <c r="L137" s="87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5"/>
      <c r="AD137" s="176"/>
      <c r="AE137" s="17"/>
    </row>
    <row r="138" spans="1:31" s="16" customFormat="1" ht="24" customHeight="1">
      <c r="A138" s="52"/>
      <c r="B138" s="52"/>
      <c r="C138" s="52"/>
      <c r="D138" s="208"/>
      <c r="E138" s="133"/>
      <c r="F138" s="133"/>
      <c r="G138" s="133"/>
      <c r="H138" s="133"/>
      <c r="I138" s="133"/>
      <c r="J138" s="133"/>
      <c r="K138" s="133"/>
      <c r="L138" s="87"/>
      <c r="M138" s="88" t="s">
        <v>357</v>
      </c>
      <c r="N138" s="141"/>
      <c r="O138" s="241"/>
      <c r="P138" s="34"/>
      <c r="Q138" s="34"/>
      <c r="R138" s="34"/>
      <c r="S138" s="34"/>
      <c r="T138" s="34"/>
      <c r="U138" s="34"/>
      <c r="V138" s="235" t="s">
        <v>134</v>
      </c>
      <c r="W138" s="235"/>
      <c r="X138" s="235"/>
      <c r="Y138" s="235"/>
      <c r="Z138" s="235"/>
      <c r="AA138" s="235"/>
      <c r="AB138" s="89"/>
      <c r="AC138" s="89">
        <f>SUM(AC140)</f>
        <v>400000</v>
      </c>
      <c r="AD138" s="90" t="s">
        <v>25</v>
      </c>
      <c r="AE138" s="17"/>
    </row>
    <row r="139" spans="1:31" s="16" customFormat="1" ht="24" customHeight="1">
      <c r="A139" s="52"/>
      <c r="B139" s="52"/>
      <c r="C139" s="52"/>
      <c r="D139" s="208"/>
      <c r="E139" s="133"/>
      <c r="F139" s="133"/>
      <c r="G139" s="133"/>
      <c r="H139" s="133"/>
      <c r="I139" s="133"/>
      <c r="J139" s="133"/>
      <c r="K139" s="133"/>
      <c r="L139" s="87"/>
      <c r="M139" s="174" t="s">
        <v>358</v>
      </c>
      <c r="N139" s="174"/>
      <c r="O139" s="174"/>
      <c r="P139" s="174"/>
      <c r="Q139" s="331">
        <v>50000</v>
      </c>
      <c r="R139" s="331"/>
      <c r="S139" s="331" t="s">
        <v>57</v>
      </c>
      <c r="T139" s="332" t="s">
        <v>58</v>
      </c>
      <c r="U139" s="331">
        <v>4</v>
      </c>
      <c r="V139" s="331" t="s">
        <v>56</v>
      </c>
      <c r="W139" s="332" t="s">
        <v>58</v>
      </c>
      <c r="X139" s="331">
        <v>1</v>
      </c>
      <c r="Y139" s="331" t="s">
        <v>75</v>
      </c>
      <c r="Z139" s="331" t="s">
        <v>53</v>
      </c>
      <c r="AA139" s="395" t="s">
        <v>363</v>
      </c>
      <c r="AB139" s="84"/>
      <c r="AC139" s="84">
        <f t="shared" ref="AC139" si="18">Q139*U139*X139</f>
        <v>200000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208"/>
      <c r="E140" s="133"/>
      <c r="F140" s="133"/>
      <c r="G140" s="133"/>
      <c r="H140" s="133"/>
      <c r="I140" s="133"/>
      <c r="J140" s="133"/>
      <c r="K140" s="133"/>
      <c r="L140" s="87"/>
      <c r="M140" s="174" t="s">
        <v>359</v>
      </c>
      <c r="N140" s="174"/>
      <c r="O140" s="174"/>
      <c r="P140" s="174"/>
      <c r="Q140" s="395">
        <v>100000</v>
      </c>
      <c r="R140" s="395"/>
      <c r="S140" s="61" t="s">
        <v>57</v>
      </c>
      <c r="T140" s="61" t="s">
        <v>26</v>
      </c>
      <c r="U140" s="395">
        <v>4</v>
      </c>
      <c r="V140" s="395" t="s">
        <v>56</v>
      </c>
      <c r="W140" s="262"/>
      <c r="X140" s="168"/>
      <c r="Y140" s="92"/>
      <c r="Z140" s="246" t="s">
        <v>53</v>
      </c>
      <c r="AA140" s="395" t="s">
        <v>361</v>
      </c>
      <c r="AB140" s="395"/>
      <c r="AC140" s="395">
        <f>Q140*U140</f>
        <v>400000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208"/>
      <c r="E141" s="133"/>
      <c r="F141" s="133"/>
      <c r="G141" s="133"/>
      <c r="H141" s="133"/>
      <c r="I141" s="133"/>
      <c r="J141" s="133"/>
      <c r="K141" s="133"/>
      <c r="L141" s="87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5"/>
      <c r="AD141" s="176"/>
      <c r="AE141" s="17"/>
    </row>
    <row r="142" spans="1:31" s="16" customFormat="1" ht="24" customHeight="1">
      <c r="A142" s="52"/>
      <c r="B142" s="52"/>
      <c r="C142" s="52"/>
      <c r="D142" s="208"/>
      <c r="E142" s="133"/>
      <c r="F142" s="133"/>
      <c r="G142" s="133"/>
      <c r="H142" s="133"/>
      <c r="I142" s="133"/>
      <c r="J142" s="133"/>
      <c r="K142" s="133"/>
      <c r="L142" s="87"/>
      <c r="M142" s="88" t="s">
        <v>355</v>
      </c>
      <c r="N142" s="141"/>
      <c r="O142" s="249"/>
      <c r="P142" s="34"/>
      <c r="Q142" s="34"/>
      <c r="R142" s="34"/>
      <c r="S142" s="34"/>
      <c r="T142" s="34"/>
      <c r="U142" s="34"/>
      <c r="V142" s="393" t="s">
        <v>134</v>
      </c>
      <c r="W142" s="393"/>
      <c r="X142" s="393"/>
      <c r="Y142" s="393"/>
      <c r="Z142" s="393"/>
      <c r="AA142" s="393"/>
      <c r="AB142" s="89"/>
      <c r="AC142" s="89">
        <f>SUM(AC143)</f>
        <v>80000</v>
      </c>
      <c r="AD142" s="90" t="s">
        <v>25</v>
      </c>
      <c r="AE142" s="17"/>
    </row>
    <row r="143" spans="1:31" s="16" customFormat="1" ht="24" customHeight="1">
      <c r="A143" s="52"/>
      <c r="B143" s="52"/>
      <c r="C143" s="52"/>
      <c r="D143" s="208"/>
      <c r="E143" s="133"/>
      <c r="F143" s="133"/>
      <c r="G143" s="133"/>
      <c r="H143" s="133"/>
      <c r="I143" s="133"/>
      <c r="J143" s="133"/>
      <c r="K143" s="133"/>
      <c r="L143" s="87"/>
      <c r="M143" s="396" t="s">
        <v>356</v>
      </c>
      <c r="N143" s="396"/>
      <c r="O143" s="396"/>
      <c r="P143" s="396"/>
      <c r="Q143" s="395">
        <v>10000</v>
      </c>
      <c r="R143" s="395"/>
      <c r="S143" s="395" t="s">
        <v>57</v>
      </c>
      <c r="T143" s="396" t="s">
        <v>58</v>
      </c>
      <c r="U143" s="395">
        <v>2</v>
      </c>
      <c r="V143" s="395" t="s">
        <v>75</v>
      </c>
      <c r="W143" s="396" t="s">
        <v>58</v>
      </c>
      <c r="X143" s="395">
        <v>4</v>
      </c>
      <c r="Y143" s="395" t="s">
        <v>56</v>
      </c>
      <c r="Z143" s="395" t="s">
        <v>53</v>
      </c>
      <c r="AA143" s="395" t="s">
        <v>361</v>
      </c>
      <c r="AB143" s="84"/>
      <c r="AC143" s="84">
        <f t="shared" ref="AC143" si="19">Q143*U143*X143</f>
        <v>80000</v>
      </c>
      <c r="AD143" s="64" t="s">
        <v>25</v>
      </c>
      <c r="AE143" s="17"/>
    </row>
    <row r="144" spans="1:31" s="16" customFormat="1" ht="24" customHeight="1">
      <c r="A144" s="66"/>
      <c r="B144" s="66"/>
      <c r="C144" s="135"/>
      <c r="D144" s="209"/>
      <c r="E144" s="136"/>
      <c r="F144" s="136"/>
      <c r="G144" s="136"/>
      <c r="H144" s="136"/>
      <c r="I144" s="136"/>
      <c r="J144" s="136"/>
      <c r="K144" s="133"/>
      <c r="L144" s="87"/>
      <c r="M144" s="56"/>
      <c r="N144" s="56"/>
      <c r="O144" s="56"/>
      <c r="P144" s="56"/>
      <c r="Q144" s="56"/>
      <c r="R144" s="307"/>
      <c r="S144" s="57"/>
      <c r="T144" s="57"/>
      <c r="U144" s="57"/>
      <c r="V144" s="57"/>
      <c r="W144" s="57"/>
      <c r="X144" s="172"/>
      <c r="Y144" s="172"/>
      <c r="Z144" s="172"/>
      <c r="AA144" s="172"/>
      <c r="AB144" s="173"/>
      <c r="AC144" s="57"/>
      <c r="AD144" s="64"/>
      <c r="AE144" s="17"/>
    </row>
    <row r="145" spans="1:31" s="12" customFormat="1" ht="21" customHeight="1">
      <c r="A145" s="137" t="s">
        <v>156</v>
      </c>
      <c r="B145" s="464" t="s">
        <v>21</v>
      </c>
      <c r="C145" s="465"/>
      <c r="D145" s="228">
        <f>SUM(D146)</f>
        <v>0</v>
      </c>
      <c r="E145" s="228">
        <f>SUM(E146)</f>
        <v>203</v>
      </c>
      <c r="F145" s="228">
        <f t="shared" ref="F145:J145" si="20">SUM(F146)</f>
        <v>203</v>
      </c>
      <c r="G145" s="228">
        <f t="shared" si="20"/>
        <v>0</v>
      </c>
      <c r="H145" s="228">
        <f t="shared" si="20"/>
        <v>0</v>
      </c>
      <c r="I145" s="228">
        <v>0</v>
      </c>
      <c r="J145" s="228">
        <f t="shared" si="20"/>
        <v>0</v>
      </c>
      <c r="K145" s="228">
        <f>E145-D145</f>
        <v>203</v>
      </c>
      <c r="L145" s="229">
        <f>IF(D145=0,0,K145/D145)</f>
        <v>0</v>
      </c>
      <c r="M145" s="121" t="s">
        <v>159</v>
      </c>
      <c r="N145" s="230"/>
      <c r="O145" s="230"/>
      <c r="P145" s="230"/>
      <c r="Q145" s="231"/>
      <c r="R145" s="304"/>
      <c r="S145" s="231"/>
      <c r="T145" s="231"/>
      <c r="U145" s="231"/>
      <c r="V145" s="231"/>
      <c r="W145" s="231"/>
      <c r="X145" s="231"/>
      <c r="Y145" s="231"/>
      <c r="Z145" s="231"/>
      <c r="AA145" s="231"/>
      <c r="AB145" s="231"/>
      <c r="AC145" s="231">
        <f>SUM(AC146)</f>
        <v>203000</v>
      </c>
      <c r="AD145" s="232" t="s">
        <v>25</v>
      </c>
      <c r="AE145" s="1"/>
    </row>
    <row r="146" spans="1:31" s="12" customFormat="1" ht="21" customHeight="1">
      <c r="A146" s="257" t="s">
        <v>158</v>
      </c>
      <c r="B146" s="52" t="s">
        <v>156</v>
      </c>
      <c r="C146" s="52" t="s">
        <v>156</v>
      </c>
      <c r="D146" s="208">
        <v>0</v>
      </c>
      <c r="E146" s="133">
        <f>AC146/1000</f>
        <v>203</v>
      </c>
      <c r="F146" s="133">
        <f>SUM(AC147:AC148)/1000</f>
        <v>203</v>
      </c>
      <c r="G146" s="133">
        <v>0</v>
      </c>
      <c r="H146" s="133">
        <v>0</v>
      </c>
      <c r="I146" s="133">
        <v>0</v>
      </c>
      <c r="J146" s="133">
        <v>0</v>
      </c>
      <c r="K146" s="133">
        <f>E146-D146</f>
        <v>203</v>
      </c>
      <c r="L146" s="87">
        <f>IF(D146=0,0,K146/D146)</f>
        <v>0</v>
      </c>
      <c r="M146" s="141" t="s">
        <v>160</v>
      </c>
      <c r="N146" s="38"/>
      <c r="O146" s="38"/>
      <c r="P146" s="38"/>
      <c r="Q146" s="38"/>
      <c r="R146" s="249"/>
      <c r="S146" s="39"/>
      <c r="T146" s="39"/>
      <c r="U146" s="39"/>
      <c r="V146" s="39"/>
      <c r="W146" s="39"/>
      <c r="X146" s="231" t="s">
        <v>140</v>
      </c>
      <c r="Y146" s="124"/>
      <c r="Z146" s="124"/>
      <c r="AA146" s="124"/>
      <c r="AB146" s="143"/>
      <c r="AC146" s="143">
        <f>SUM(AC147:AC148)</f>
        <v>203000</v>
      </c>
      <c r="AD146" s="144" t="s">
        <v>25</v>
      </c>
      <c r="AE146" s="1"/>
    </row>
    <row r="147" spans="1:31" ht="21" customHeight="1">
      <c r="A147" s="51"/>
      <c r="B147" s="52" t="s">
        <v>157</v>
      </c>
      <c r="C147" s="52" t="s">
        <v>157</v>
      </c>
      <c r="D147" s="208"/>
      <c r="E147" s="133"/>
      <c r="F147" s="133"/>
      <c r="G147" s="133"/>
      <c r="H147" s="133"/>
      <c r="I147" s="133"/>
      <c r="J147" s="133"/>
      <c r="K147" s="133"/>
      <c r="L147" s="87"/>
      <c r="M147" s="406" t="s">
        <v>196</v>
      </c>
      <c r="N147" s="316"/>
      <c r="O147" s="316"/>
      <c r="P147" s="316"/>
      <c r="Q147" s="315"/>
      <c r="R147" s="315"/>
      <c r="S147" s="315"/>
      <c r="T147" s="315"/>
      <c r="U147" s="315"/>
      <c r="V147" s="315"/>
      <c r="W147" s="315"/>
      <c r="X147" s="315"/>
      <c r="Y147" s="315"/>
      <c r="Z147" s="315"/>
      <c r="AA147" s="315"/>
      <c r="AB147" s="315"/>
      <c r="AC147" s="315">
        <v>3000</v>
      </c>
      <c r="AD147" s="64" t="s">
        <v>25</v>
      </c>
    </row>
    <row r="148" spans="1:31" ht="21" customHeight="1" thickBot="1">
      <c r="A148" s="322"/>
      <c r="B148" s="323"/>
      <c r="C148" s="323"/>
      <c r="D148" s="324"/>
      <c r="E148" s="324"/>
      <c r="F148" s="324"/>
      <c r="G148" s="324"/>
      <c r="H148" s="324"/>
      <c r="I148" s="324"/>
      <c r="J148" s="324"/>
      <c r="K148" s="324"/>
      <c r="L148" s="325"/>
      <c r="M148" s="399" t="s">
        <v>374</v>
      </c>
      <c r="N148" s="400"/>
      <c r="O148" s="400"/>
      <c r="P148" s="400"/>
      <c r="Q148" s="401"/>
      <c r="R148" s="401"/>
      <c r="S148" s="401"/>
      <c r="T148" s="401"/>
      <c r="U148" s="401"/>
      <c r="V148" s="401"/>
      <c r="W148" s="401"/>
      <c r="X148" s="401"/>
      <c r="Y148" s="401"/>
      <c r="Z148" s="401"/>
      <c r="AA148" s="401"/>
      <c r="AB148" s="401"/>
      <c r="AC148" s="401">
        <v>200000</v>
      </c>
      <c r="AD148" s="402" t="s">
        <v>364</v>
      </c>
    </row>
  </sheetData>
  <mergeCells count="14">
    <mergeCell ref="M2:AD3"/>
    <mergeCell ref="A1:C1"/>
    <mergeCell ref="B5:C5"/>
    <mergeCell ref="A4:C4"/>
    <mergeCell ref="K2:L2"/>
    <mergeCell ref="A2:C2"/>
    <mergeCell ref="D2:D3"/>
    <mergeCell ref="E2:J2"/>
    <mergeCell ref="B145:C145"/>
    <mergeCell ref="B91:C91"/>
    <mergeCell ref="B78:C78"/>
    <mergeCell ref="U74:V74"/>
    <mergeCell ref="U49:V49"/>
    <mergeCell ref="U54:V54"/>
  </mergeCells>
  <phoneticPr fontId="7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&amp;R&amp;9장애인공동생활가정 바르나바의 집</oddFooter>
    <evenFooter>&amp;R장애인공동생활가정 바르나바의집</evenFooter>
    <firstFooter>&amp;R장애인공동생활가정 바르나바의 집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B1" sqref="B1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326" t="s">
        <v>378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8" t="s">
        <v>218</v>
      </c>
    </row>
    <row r="2" spans="1:12" ht="8.25" customHeight="1" thickBo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ht="16.5">
      <c r="A3" s="485" t="s">
        <v>219</v>
      </c>
      <c r="B3" s="486"/>
      <c r="C3" s="486"/>
      <c r="D3" s="486"/>
      <c r="E3" s="487"/>
      <c r="F3" s="487"/>
      <c r="G3" s="485" t="s">
        <v>220</v>
      </c>
      <c r="H3" s="486"/>
      <c r="I3" s="486"/>
      <c r="J3" s="486"/>
      <c r="K3" s="487"/>
      <c r="L3" s="488"/>
    </row>
    <row r="4" spans="1:12" ht="13.5" customHeight="1">
      <c r="A4" s="489" t="s">
        <v>315</v>
      </c>
      <c r="B4" s="490"/>
      <c r="C4" s="493" t="s">
        <v>379</v>
      </c>
      <c r="D4" s="493" t="s">
        <v>380</v>
      </c>
      <c r="E4" s="495" t="s">
        <v>316</v>
      </c>
      <c r="F4" s="497" t="s">
        <v>317</v>
      </c>
      <c r="G4" s="489" t="s">
        <v>315</v>
      </c>
      <c r="H4" s="490"/>
      <c r="I4" s="493" t="s">
        <v>381</v>
      </c>
      <c r="J4" s="493" t="s">
        <v>380</v>
      </c>
      <c r="K4" s="490" t="s">
        <v>318</v>
      </c>
      <c r="L4" s="502" t="s">
        <v>317</v>
      </c>
    </row>
    <row r="5" spans="1:12" ht="25.5" customHeight="1" thickBot="1">
      <c r="A5" s="491"/>
      <c r="B5" s="492"/>
      <c r="C5" s="494"/>
      <c r="D5" s="494"/>
      <c r="E5" s="496"/>
      <c r="F5" s="498"/>
      <c r="G5" s="491"/>
      <c r="H5" s="492"/>
      <c r="I5" s="494"/>
      <c r="J5" s="494"/>
      <c r="K5" s="492"/>
      <c r="L5" s="503"/>
    </row>
    <row r="6" spans="1:12" ht="14.25" thickTop="1">
      <c r="A6" s="501" t="s">
        <v>223</v>
      </c>
      <c r="B6" s="504"/>
      <c r="C6" s="342">
        <f>SUM(C7:C17)</f>
        <v>60858867</v>
      </c>
      <c r="D6" s="342">
        <f>SUM(D7:D17)</f>
        <v>64289000</v>
      </c>
      <c r="E6" s="343">
        <f>SUM(E7:E17)</f>
        <v>3430133</v>
      </c>
      <c r="F6" s="344"/>
      <c r="G6" s="501" t="s">
        <v>223</v>
      </c>
      <c r="H6" s="504"/>
      <c r="I6" s="342">
        <f>SUM(I7:I19)</f>
        <v>60858867</v>
      </c>
      <c r="J6" s="342">
        <f>SUM(J7:J19)</f>
        <v>64289000</v>
      </c>
      <c r="K6" s="343">
        <f>SUM(K7:K19)</f>
        <v>3430133</v>
      </c>
      <c r="L6" s="345"/>
    </row>
    <row r="7" spans="1:12" ht="33.75">
      <c r="A7" s="346" t="s">
        <v>281</v>
      </c>
      <c r="B7" s="347" t="s">
        <v>281</v>
      </c>
      <c r="C7" s="348">
        <v>8749970</v>
      </c>
      <c r="D7" s="348">
        <v>7200000</v>
      </c>
      <c r="E7" s="349">
        <f>D7-C7</f>
        <v>-1549970</v>
      </c>
      <c r="F7" s="407" t="s">
        <v>383</v>
      </c>
      <c r="G7" s="499" t="s">
        <v>265</v>
      </c>
      <c r="H7" s="347" t="s">
        <v>268</v>
      </c>
      <c r="I7" s="348">
        <v>35060130</v>
      </c>
      <c r="J7" s="348">
        <v>37641980</v>
      </c>
      <c r="K7" s="350">
        <f>J7-I7</f>
        <v>2581850</v>
      </c>
      <c r="L7" s="408" t="s">
        <v>388</v>
      </c>
    </row>
    <row r="8" spans="1:12" ht="28.5" customHeight="1">
      <c r="A8" s="505" t="s">
        <v>283</v>
      </c>
      <c r="B8" s="347" t="s">
        <v>311</v>
      </c>
      <c r="C8" s="348">
        <v>3325000</v>
      </c>
      <c r="D8" s="348">
        <v>3504000</v>
      </c>
      <c r="E8" s="349">
        <f>D8-C8</f>
        <v>179000</v>
      </c>
      <c r="F8" s="407" t="s">
        <v>384</v>
      </c>
      <c r="G8" s="500"/>
      <c r="H8" s="347" t="s">
        <v>269</v>
      </c>
      <c r="I8" s="348">
        <v>20000</v>
      </c>
      <c r="J8" s="348">
        <v>110000</v>
      </c>
      <c r="K8" s="350">
        <f>J8-I8</f>
        <v>90000</v>
      </c>
      <c r="L8" s="409" t="s">
        <v>389</v>
      </c>
    </row>
    <row r="9" spans="1:12" ht="42" customHeight="1">
      <c r="A9" s="506"/>
      <c r="B9" s="347" t="s">
        <v>312</v>
      </c>
      <c r="C9" s="348">
        <v>46507737</v>
      </c>
      <c r="D9" s="348">
        <v>47171000</v>
      </c>
      <c r="E9" s="349">
        <f>D9-C9</f>
        <v>663263</v>
      </c>
      <c r="F9" s="407" t="s">
        <v>384</v>
      </c>
      <c r="G9" s="501"/>
      <c r="H9" s="347" t="s">
        <v>270</v>
      </c>
      <c r="I9" s="348">
        <v>5984500</v>
      </c>
      <c r="J9" s="351">
        <v>5875050</v>
      </c>
      <c r="K9" s="350">
        <f>J9-I9</f>
        <v>-109450</v>
      </c>
      <c r="L9" s="410" t="s">
        <v>387</v>
      </c>
    </row>
    <row r="10" spans="1:12" ht="27.75" customHeight="1">
      <c r="A10" s="506"/>
      <c r="B10" s="360" t="s">
        <v>314</v>
      </c>
      <c r="C10" s="359">
        <v>0</v>
      </c>
      <c r="D10" s="351">
        <v>200000</v>
      </c>
      <c r="E10" s="349">
        <f t="shared" ref="E10:E17" si="0">D10-C10</f>
        <v>200000</v>
      </c>
      <c r="F10" s="407" t="s">
        <v>385</v>
      </c>
      <c r="G10" s="505" t="s">
        <v>264</v>
      </c>
      <c r="H10" s="347" t="s">
        <v>271</v>
      </c>
      <c r="I10" s="348">
        <v>0</v>
      </c>
      <c r="J10" s="348">
        <v>0</v>
      </c>
      <c r="K10" s="350">
        <f t="shared" ref="K10:K19" si="1">J10-I10</f>
        <v>0</v>
      </c>
      <c r="L10" s="409"/>
    </row>
    <row r="11" spans="1:12" ht="27.75" customHeight="1">
      <c r="A11" s="505" t="s">
        <v>284</v>
      </c>
      <c r="B11" s="347" t="s">
        <v>320</v>
      </c>
      <c r="C11" s="348">
        <v>0</v>
      </c>
      <c r="D11" s="348">
        <v>0</v>
      </c>
      <c r="E11" s="349">
        <f t="shared" si="0"/>
        <v>0</v>
      </c>
      <c r="F11" s="413"/>
      <c r="G11" s="506"/>
      <c r="H11" s="347" t="s">
        <v>273</v>
      </c>
      <c r="I11" s="348">
        <v>1069900</v>
      </c>
      <c r="J11" s="348">
        <v>2200000</v>
      </c>
      <c r="K11" s="350">
        <f t="shared" ref="K11:K16" si="2">J11-I11</f>
        <v>1130100</v>
      </c>
      <c r="L11" s="410" t="s">
        <v>390</v>
      </c>
    </row>
    <row r="12" spans="1:12" ht="26.25" customHeight="1">
      <c r="A12" s="507"/>
      <c r="B12" s="347" t="s">
        <v>319</v>
      </c>
      <c r="C12" s="348">
        <v>300000</v>
      </c>
      <c r="D12" s="348">
        <v>200000</v>
      </c>
      <c r="E12" s="349">
        <f t="shared" si="0"/>
        <v>-100000</v>
      </c>
      <c r="F12" s="413" t="s">
        <v>399</v>
      </c>
      <c r="G12" s="507"/>
      <c r="H12" s="347" t="s">
        <v>272</v>
      </c>
      <c r="I12" s="348">
        <v>0</v>
      </c>
      <c r="J12" s="348">
        <v>1300000</v>
      </c>
      <c r="K12" s="350">
        <f t="shared" si="2"/>
        <v>1300000</v>
      </c>
      <c r="L12" s="409" t="s">
        <v>391</v>
      </c>
    </row>
    <row r="13" spans="1:12" ht="28.5" customHeight="1">
      <c r="A13" s="352" t="s">
        <v>285</v>
      </c>
      <c r="B13" s="347" t="s">
        <v>321</v>
      </c>
      <c r="C13" s="348">
        <v>1932160</v>
      </c>
      <c r="D13" s="348">
        <v>0</v>
      </c>
      <c r="E13" s="349">
        <f t="shared" si="0"/>
        <v>-1932160</v>
      </c>
      <c r="F13" s="407" t="s">
        <v>386</v>
      </c>
      <c r="G13" s="499" t="s">
        <v>266</v>
      </c>
      <c r="H13" s="347" t="s">
        <v>274</v>
      </c>
      <c r="I13" s="348">
        <v>13432400</v>
      </c>
      <c r="J13" s="348">
        <v>10711970</v>
      </c>
      <c r="K13" s="350">
        <f t="shared" si="2"/>
        <v>-2720430</v>
      </c>
      <c r="L13" s="409" t="s">
        <v>392</v>
      </c>
    </row>
    <row r="14" spans="1:12" ht="28.5" customHeight="1">
      <c r="A14" s="499" t="s">
        <v>286</v>
      </c>
      <c r="B14" s="517" t="s">
        <v>322</v>
      </c>
      <c r="C14" s="514">
        <v>0</v>
      </c>
      <c r="D14" s="514">
        <v>6003000</v>
      </c>
      <c r="E14" s="511">
        <f>D14-C14</f>
        <v>6003000</v>
      </c>
      <c r="F14" s="508" t="s">
        <v>382</v>
      </c>
      <c r="G14" s="500"/>
      <c r="H14" s="347" t="s">
        <v>275</v>
      </c>
      <c r="I14" s="348">
        <v>459084</v>
      </c>
      <c r="J14" s="348">
        <v>750000</v>
      </c>
      <c r="K14" s="350">
        <f t="shared" si="2"/>
        <v>290916</v>
      </c>
      <c r="L14" s="411" t="s">
        <v>398</v>
      </c>
    </row>
    <row r="15" spans="1:12" ht="28.5" customHeight="1">
      <c r="A15" s="500"/>
      <c r="B15" s="518"/>
      <c r="C15" s="515"/>
      <c r="D15" s="515"/>
      <c r="E15" s="512"/>
      <c r="F15" s="509"/>
      <c r="G15" s="500"/>
      <c r="H15" s="347" t="s">
        <v>276</v>
      </c>
      <c r="I15" s="348">
        <v>1355000</v>
      </c>
      <c r="J15" s="348">
        <v>320000</v>
      </c>
      <c r="K15" s="350">
        <f t="shared" si="2"/>
        <v>-1035000</v>
      </c>
      <c r="L15" s="409" t="s">
        <v>393</v>
      </c>
    </row>
    <row r="16" spans="1:12" ht="24.75" customHeight="1">
      <c r="A16" s="501"/>
      <c r="B16" s="519"/>
      <c r="C16" s="516"/>
      <c r="D16" s="516"/>
      <c r="E16" s="513"/>
      <c r="F16" s="510"/>
      <c r="G16" s="500"/>
      <c r="H16" s="347" t="s">
        <v>277</v>
      </c>
      <c r="I16" s="348">
        <v>192600</v>
      </c>
      <c r="J16" s="348">
        <v>197000</v>
      </c>
      <c r="K16" s="350">
        <f t="shared" si="2"/>
        <v>4400</v>
      </c>
      <c r="L16" s="409" t="s">
        <v>394</v>
      </c>
    </row>
    <row r="17" spans="1:12" ht="31.5" customHeight="1" thickBot="1">
      <c r="A17" s="361" t="s">
        <v>287</v>
      </c>
      <c r="B17" s="355" t="s">
        <v>282</v>
      </c>
      <c r="C17" s="353">
        <v>44000</v>
      </c>
      <c r="D17" s="353">
        <v>11000</v>
      </c>
      <c r="E17" s="356">
        <f t="shared" si="0"/>
        <v>-33000</v>
      </c>
      <c r="F17" s="414" t="s">
        <v>400</v>
      </c>
      <c r="G17" s="500"/>
      <c r="H17" s="347" t="s">
        <v>278</v>
      </c>
      <c r="I17" s="348">
        <v>129000</v>
      </c>
      <c r="J17" s="348">
        <v>90000</v>
      </c>
      <c r="K17" s="350">
        <f t="shared" si="1"/>
        <v>-39000</v>
      </c>
      <c r="L17" s="409" t="s">
        <v>395</v>
      </c>
    </row>
    <row r="18" spans="1:12" ht="27" customHeight="1">
      <c r="A18" s="378"/>
      <c r="B18" s="379"/>
      <c r="C18" s="379"/>
      <c r="D18" s="379"/>
      <c r="E18" s="379"/>
      <c r="F18" s="380"/>
      <c r="G18" s="501"/>
      <c r="H18" s="347" t="s">
        <v>279</v>
      </c>
      <c r="I18" s="348">
        <v>2844043</v>
      </c>
      <c r="J18" s="348">
        <v>4890000</v>
      </c>
      <c r="K18" s="350">
        <f>J18-I18</f>
        <v>2045957</v>
      </c>
      <c r="L18" s="409" t="s">
        <v>396</v>
      </c>
    </row>
    <row r="19" spans="1:12" ht="25.5" customHeight="1" thickBot="1">
      <c r="A19" s="381"/>
      <c r="B19" s="382"/>
      <c r="C19" s="382"/>
      <c r="D19" s="382"/>
      <c r="E19" s="382"/>
      <c r="F19" s="383"/>
      <c r="G19" s="354" t="s">
        <v>267</v>
      </c>
      <c r="H19" s="355" t="s">
        <v>280</v>
      </c>
      <c r="I19" s="353">
        <v>312210</v>
      </c>
      <c r="J19" s="353">
        <v>203000</v>
      </c>
      <c r="K19" s="356">
        <f t="shared" si="1"/>
        <v>-109210</v>
      </c>
      <c r="L19" s="412" t="s">
        <v>397</v>
      </c>
    </row>
    <row r="20" spans="1:12" ht="24" customHeight="1"/>
    <row r="21" spans="1:12" ht="29.25" customHeight="1"/>
  </sheetData>
  <mergeCells count="25">
    <mergeCell ref="G13:G18"/>
    <mergeCell ref="K4:K5"/>
    <mergeCell ref="L4:L5"/>
    <mergeCell ref="A6:B6"/>
    <mergeCell ref="G6:H6"/>
    <mergeCell ref="G7:G9"/>
    <mergeCell ref="G10:G12"/>
    <mergeCell ref="A11:A12"/>
    <mergeCell ref="A8:A10"/>
    <mergeCell ref="F14:F16"/>
    <mergeCell ref="E14:E16"/>
    <mergeCell ref="D14:D16"/>
    <mergeCell ref="C14:C16"/>
    <mergeCell ref="B14:B16"/>
    <mergeCell ref="A14:A16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Sheet1</vt:lpstr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2014-12-09T09:20:20Z</cp:lastPrinted>
  <dcterms:created xsi:type="dcterms:W3CDTF">2003-12-18T04:11:57Z</dcterms:created>
  <dcterms:modified xsi:type="dcterms:W3CDTF">2014-12-09T09:21:39Z</dcterms:modified>
</cp:coreProperties>
</file>