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70" yWindow="180" windowWidth="9540" windowHeight="11640" tabRatio="487"/>
  </bookViews>
  <sheets>
    <sheet name="세입세출총괄표" sheetId="16" r:id="rId1"/>
    <sheet name="세입" sheetId="4" r:id="rId2"/>
    <sheet name="세출" sheetId="5" r:id="rId3"/>
    <sheet name="증감사유" sheetId="18" r:id="rId4"/>
  </sheets>
  <definedNames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2">세출!#REF!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세출!$AD$11</definedName>
    <definedName name="명절휴가비1" localSheetId="1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세출!$AD$18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세입!#REF!</definedName>
    <definedName name="_xlnm.Print_Area" localSheetId="1">세입!$A$1:$AD$52</definedName>
    <definedName name="_xlnm.Print_Titles" localSheetId="1">세입!$2:$3</definedName>
    <definedName name="_xlnm.Print_Titles" localSheetId="2">세출!$2:$3</definedName>
  </definedNames>
  <calcPr calcId="125725"/>
</workbook>
</file>

<file path=xl/calcChain.xml><?xml version="1.0" encoding="utf-8"?>
<calcChain xmlns="http://schemas.openxmlformats.org/spreadsheetml/2006/main">
  <c r="H110" i="5"/>
  <c r="F46"/>
  <c r="G46"/>
  <c r="H93"/>
  <c r="F93"/>
  <c r="AD149"/>
  <c r="AD46"/>
  <c r="AD157"/>
  <c r="I127"/>
  <c r="J127"/>
  <c r="AD156"/>
  <c r="AD155"/>
  <c r="AD154"/>
  <c r="AD153"/>
  <c r="AD152"/>
  <c r="AD140"/>
  <c r="AD139"/>
  <c r="AD138"/>
  <c r="AD137"/>
  <c r="AD136"/>
  <c r="AD135"/>
  <c r="AD134"/>
  <c r="AD133"/>
  <c r="AD132"/>
  <c r="AD131"/>
  <c r="AD130"/>
  <c r="AD129" s="1"/>
  <c r="F127" l="1"/>
  <c r="H115"/>
  <c r="AD93"/>
  <c r="I89"/>
  <c r="J89"/>
  <c r="K89"/>
  <c r="J88"/>
  <c r="K88"/>
  <c r="G93"/>
  <c r="AD69"/>
  <c r="AD43"/>
  <c r="AD37" l="1"/>
  <c r="AD35"/>
  <c r="AD32"/>
  <c r="AD31"/>
  <c r="AC5" i="4" l="1"/>
  <c r="H5" s="1"/>
  <c r="H39" l="1"/>
  <c r="K39"/>
  <c r="I39"/>
  <c r="AC39"/>
  <c r="AC6" l="1"/>
  <c r="AC7"/>
  <c r="AC16"/>
  <c r="AC48"/>
  <c r="J48"/>
  <c r="K38"/>
  <c r="F39"/>
  <c r="F16"/>
  <c r="AC38" l="1"/>
  <c r="E16" i="18"/>
  <c r="I104" i="5"/>
  <c r="J110"/>
  <c r="K110"/>
  <c r="J159" l="1"/>
  <c r="J103"/>
  <c r="J102" s="1"/>
  <c r="K103"/>
  <c r="J59"/>
  <c r="J50"/>
  <c r="K50"/>
  <c r="J6"/>
  <c r="J126"/>
  <c r="AD123"/>
  <c r="F122" s="1"/>
  <c r="AD44"/>
  <c r="AD39"/>
  <c r="AD40"/>
  <c r="AD41"/>
  <c r="AD42"/>
  <c r="AD38"/>
  <c r="AD36"/>
  <c r="AD33"/>
  <c r="AD30" s="1"/>
  <c r="AD34"/>
  <c r="J4" l="1"/>
  <c r="AD151"/>
  <c r="J39" i="4"/>
  <c r="I48"/>
  <c r="H48"/>
  <c r="M48"/>
  <c r="H38"/>
  <c r="K8" i="18"/>
  <c r="F85" i="5"/>
  <c r="H98"/>
  <c r="H89" s="1"/>
  <c r="H88" s="1"/>
  <c r="AC11" i="4"/>
  <c r="G11"/>
  <c r="G38"/>
  <c r="F38"/>
  <c r="D9"/>
  <c r="K16"/>
  <c r="I16"/>
  <c r="H16"/>
  <c r="F11"/>
  <c r="G16"/>
  <c r="E16" l="1"/>
  <c r="I38"/>
  <c r="J38"/>
  <c r="J4" s="1"/>
  <c r="E48"/>
  <c r="L48" s="1"/>
  <c r="L16"/>
  <c r="M16" s="1"/>
  <c r="AC10"/>
  <c r="C6" i="18" l="1"/>
  <c r="D6"/>
  <c r="E9"/>
  <c r="E8"/>
  <c r="E10"/>
  <c r="E11"/>
  <c r="E12"/>
  <c r="E13"/>
  <c r="E17"/>
  <c r="E7"/>
  <c r="AD124" i="5"/>
  <c r="K46"/>
  <c r="I46"/>
  <c r="H46"/>
  <c r="H122" l="1"/>
  <c r="AD122"/>
  <c r="D38" i="4"/>
  <c r="D4" s="1"/>
  <c r="K19" i="18"/>
  <c r="K17"/>
  <c r="K16"/>
  <c r="K15"/>
  <c r="K14"/>
  <c r="K13"/>
  <c r="K12"/>
  <c r="K10"/>
  <c r="K9"/>
  <c r="K7"/>
  <c r="G98" i="5" l="1"/>
  <c r="G89" s="1"/>
  <c r="G88" s="1"/>
  <c r="F98"/>
  <c r="E98" s="1"/>
  <c r="AD72"/>
  <c r="AD71"/>
  <c r="H68" l="1"/>
  <c r="AD80"/>
  <c r="H63"/>
  <c r="F110"/>
  <c r="F63"/>
  <c r="AD16"/>
  <c r="I32" i="4"/>
  <c r="AC32"/>
  <c r="K20" i="18"/>
  <c r="K18"/>
  <c r="K11"/>
  <c r="J6"/>
  <c r="I6"/>
  <c r="E6"/>
  <c r="G12" i="16"/>
  <c r="G9"/>
  <c r="G10"/>
  <c r="G11"/>
  <c r="G13"/>
  <c r="G14"/>
  <c r="G15"/>
  <c r="G16"/>
  <c r="G8"/>
  <c r="G7" s="1"/>
  <c r="F7"/>
  <c r="E7"/>
  <c r="AC24" i="4"/>
  <c r="AD105" i="5"/>
  <c r="I5"/>
  <c r="I103"/>
  <c r="I102" s="1"/>
  <c r="AC28" i="4"/>
  <c r="I28" s="1"/>
  <c r="E93" i="5"/>
  <c r="F90"/>
  <c r="AD51"/>
  <c r="F51" s="1"/>
  <c r="D10" i="4"/>
  <c r="E39"/>
  <c r="F89" i="5" l="1"/>
  <c r="F88" s="1"/>
  <c r="I4" i="4"/>
  <c r="E28"/>
  <c r="L28" s="1"/>
  <c r="M28" s="1"/>
  <c r="F104" i="5"/>
  <c r="E38" i="4"/>
  <c r="L38" s="1"/>
  <c r="K6" i="18"/>
  <c r="E89" i="5"/>
  <c r="E88" s="1"/>
  <c r="L23" i="16"/>
  <c r="L22"/>
  <c r="L21"/>
  <c r="L20"/>
  <c r="L19"/>
  <c r="L18"/>
  <c r="L17"/>
  <c r="L16"/>
  <c r="L15"/>
  <c r="L14"/>
  <c r="L13"/>
  <c r="L12"/>
  <c r="L11"/>
  <c r="L10"/>
  <c r="L9"/>
  <c r="L8"/>
  <c r="K7"/>
  <c r="J7"/>
  <c r="L7" l="1"/>
  <c r="AD63" i="5"/>
  <c r="H118"/>
  <c r="AD70"/>
  <c r="I126"/>
  <c r="E110"/>
  <c r="AD57"/>
  <c r="R20"/>
  <c r="O20"/>
  <c r="O19"/>
  <c r="O13"/>
  <c r="O12"/>
  <c r="AD13"/>
  <c r="D59"/>
  <c r="D6"/>
  <c r="I4" l="1"/>
  <c r="F56"/>
  <c r="E56" s="1"/>
  <c r="L56" s="1"/>
  <c r="AD15"/>
  <c r="E46"/>
  <c r="L46" s="1"/>
  <c r="L110"/>
  <c r="AD160"/>
  <c r="E122"/>
  <c r="AD106"/>
  <c r="AD68"/>
  <c r="D89"/>
  <c r="D88" s="1"/>
  <c r="AD19"/>
  <c r="D126"/>
  <c r="D103"/>
  <c r="D50"/>
  <c r="D5" s="1"/>
  <c r="H32" i="4"/>
  <c r="G103" i="5"/>
  <c r="G59"/>
  <c r="K59"/>
  <c r="G50"/>
  <c r="H6"/>
  <c r="AD147"/>
  <c r="H127" s="1"/>
  <c r="AD146"/>
  <c r="AD143"/>
  <c r="AD116"/>
  <c r="F115" s="1"/>
  <c r="AD85"/>
  <c r="AD83"/>
  <c r="AD77"/>
  <c r="AD78"/>
  <c r="AD79"/>
  <c r="AD76"/>
  <c r="AD75"/>
  <c r="AD60"/>
  <c r="AD56"/>
  <c r="E127" l="1"/>
  <c r="E126" s="1"/>
  <c r="H104"/>
  <c r="E104" s="1"/>
  <c r="AD104"/>
  <c r="F74"/>
  <c r="H74" s="1"/>
  <c r="H59" s="1"/>
  <c r="H5" s="1"/>
  <c r="F68"/>
  <c r="F50"/>
  <c r="AD145"/>
  <c r="D102"/>
  <c r="AD24"/>
  <c r="AD20"/>
  <c r="AD18" s="1"/>
  <c r="R28" s="1"/>
  <c r="AD28" s="1"/>
  <c r="K26" s="1"/>
  <c r="AD12"/>
  <c r="AD9"/>
  <c r="AD8"/>
  <c r="F59" l="1"/>
  <c r="H103"/>
  <c r="H126"/>
  <c r="AD7"/>
  <c r="AD23"/>
  <c r="G10" s="1"/>
  <c r="G6" s="1"/>
  <c r="G5" s="1"/>
  <c r="AD11"/>
  <c r="F10" s="1"/>
  <c r="R27" l="1"/>
  <c r="AD27" s="1"/>
  <c r="F26" s="1"/>
  <c r="F6" s="1"/>
  <c r="F7"/>
  <c r="E7" s="1"/>
  <c r="AD10"/>
  <c r="F32" i="4"/>
  <c r="AC23"/>
  <c r="R25" l="1"/>
  <c r="AC25" s="1"/>
  <c r="AC22" s="1"/>
  <c r="E32"/>
  <c r="L32" s="1"/>
  <c r="M32" s="1"/>
  <c r="F4"/>
  <c r="H10"/>
  <c r="H9" s="1"/>
  <c r="K10"/>
  <c r="K9" s="1"/>
  <c r="AD142" i="5"/>
  <c r="H159"/>
  <c r="K159"/>
  <c r="G159"/>
  <c r="F160"/>
  <c r="F159" s="1"/>
  <c r="D159"/>
  <c r="D4" s="1"/>
  <c r="G126"/>
  <c r="G102" s="1"/>
  <c r="K126"/>
  <c r="K102" s="1"/>
  <c r="AD110"/>
  <c r="M90"/>
  <c r="AD90"/>
  <c r="L90" s="1"/>
  <c r="AD82"/>
  <c r="K22" i="4" l="1"/>
  <c r="G4" i="5"/>
  <c r="G10" i="4"/>
  <c r="G9" s="1"/>
  <c r="E11"/>
  <c r="E10" s="1"/>
  <c r="E9" s="1"/>
  <c r="AD98" i="5"/>
  <c r="AD89" s="1"/>
  <c r="E68"/>
  <c r="AC9" i="4" l="1"/>
  <c r="AD127" i="5"/>
  <c r="AD126" s="1"/>
  <c r="F126" l="1"/>
  <c r="AD115"/>
  <c r="E115" s="1"/>
  <c r="G4" i="4" l="1"/>
  <c r="L127" i="5" l="1"/>
  <c r="M127" s="1"/>
  <c r="H102"/>
  <c r="H4" s="1"/>
  <c r="L39" i="4"/>
  <c r="M39" s="1"/>
  <c r="H4"/>
  <c r="E5" l="1"/>
  <c r="L7" i="5"/>
  <c r="L5" i="4" l="1"/>
  <c r="M5" s="1"/>
  <c r="K10" i="5"/>
  <c r="E10" l="1"/>
  <c r="K6"/>
  <c r="K5" s="1"/>
  <c r="K4" s="1"/>
  <c r="AD26" l="1"/>
  <c r="AD6" s="1"/>
  <c r="E26"/>
  <c r="AD159"/>
  <c r="AD119"/>
  <c r="AD118" l="1"/>
  <c r="F118"/>
  <c r="E118" s="1"/>
  <c r="AD74"/>
  <c r="AD50"/>
  <c r="M7"/>
  <c r="E51"/>
  <c r="E60"/>
  <c r="M110"/>
  <c r="E160"/>
  <c r="M56"/>
  <c r="E74" l="1"/>
  <c r="L74" s="1"/>
  <c r="M74" s="1"/>
  <c r="AD59"/>
  <c r="AC4" i="4"/>
  <c r="L118" i="5"/>
  <c r="M118" s="1"/>
  <c r="L26"/>
  <c r="M26" s="1"/>
  <c r="L60"/>
  <c r="M60" s="1"/>
  <c r="L115"/>
  <c r="M115" s="1"/>
  <c r="L98"/>
  <c r="M98" s="1"/>
  <c r="AD88"/>
  <c r="E85"/>
  <c r="L85" s="1"/>
  <c r="M85" s="1"/>
  <c r="E82"/>
  <c r="L82" s="1"/>
  <c r="M82" s="1"/>
  <c r="L51"/>
  <c r="M51" s="1"/>
  <c r="L122"/>
  <c r="M122" s="1"/>
  <c r="L160"/>
  <c r="M160" s="1"/>
  <c r="E159"/>
  <c r="L159" s="1"/>
  <c r="M159" s="1"/>
  <c r="L126"/>
  <c r="M126" s="1"/>
  <c r="E54"/>
  <c r="L54" s="1"/>
  <c r="M54" s="1"/>
  <c r="E50" l="1"/>
  <c r="L50" s="1"/>
  <c r="M50" s="1"/>
  <c r="L68"/>
  <c r="M68" s="1"/>
  <c r="E22" i="4"/>
  <c r="L22" s="1"/>
  <c r="M22" s="1"/>
  <c r="L88" i="5"/>
  <c r="M88" s="1"/>
  <c r="L10"/>
  <c r="M10" s="1"/>
  <c r="E63"/>
  <c r="E59" s="1"/>
  <c r="K4" i="4" l="1"/>
  <c r="E4" s="1"/>
  <c r="L63" i="5"/>
  <c r="M63" s="1"/>
  <c r="L59"/>
  <c r="M59" s="1"/>
  <c r="M38" i="4"/>
  <c r="F10" l="1"/>
  <c r="F9" s="1"/>
  <c r="L4" s="1"/>
  <c r="M4" s="1"/>
  <c r="L11" l="1"/>
  <c r="M11" s="1"/>
  <c r="L10"/>
  <c r="M10" s="1"/>
  <c r="L9" l="1"/>
  <c r="M9" s="1"/>
  <c r="L89" i="5"/>
  <c r="M89" s="1"/>
  <c r="L93"/>
  <c r="M93" s="1"/>
  <c r="AD103"/>
  <c r="AD102" l="1"/>
  <c r="L104"/>
  <c r="M104" s="1"/>
  <c r="E103"/>
  <c r="E102" s="1"/>
  <c r="F103"/>
  <c r="F102" s="1"/>
  <c r="L103" l="1"/>
  <c r="M103" l="1"/>
  <c r="L102"/>
  <c r="M102" s="1"/>
  <c r="F30"/>
  <c r="AD5" l="1"/>
  <c r="AD4" s="1"/>
  <c r="F5"/>
  <c r="F4" s="1"/>
  <c r="E30"/>
  <c r="E4" l="1"/>
  <c r="L4" s="1"/>
  <c r="M4" s="1"/>
  <c r="E6"/>
  <c r="L30"/>
  <c r="M30" s="1"/>
  <c r="L6" l="1"/>
  <c r="M6" s="1"/>
  <c r="E5"/>
  <c r="L5" s="1"/>
  <c r="M5" s="1"/>
</calcChain>
</file>

<file path=xl/sharedStrings.xml><?xml version="1.0" encoding="utf-8"?>
<sst xmlns="http://schemas.openxmlformats.org/spreadsheetml/2006/main" count="983" uniqueCount="448">
  <si>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</si>
  <si>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</si>
  <si>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</si>
  <si>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</si>
  <si>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</si>
  <si>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</si>
  <si>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</si>
  <si>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</si>
  <si>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</si>
  <si>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</si>
  <si>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</si>
  <si>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</si>
  <si>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</si>
  <si>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</si>
  <si>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</si>
  <si>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</si>
  <si>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</si>
  <si>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</si>
  <si>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</si>
  <si>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</si>
  <si>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</si>
  <si>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</si>
  <si>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</si>
  <si>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</si>
  <si>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</si>
  <si>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</si>
  <si>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</si>
  <si>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</si>
  <si>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</si>
  <si>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</si>
  <si>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</si>
  <si>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</si>
  <si>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</si>
  <si>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</si>
  <si>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</si>
  <si>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</si>
  <si>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</si>
  <si>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</si>
  <si>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</si>
  <si>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</si>
  <si>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</si>
  <si>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</si>
  <si>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</si>
  <si>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</si>
  <si>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</si>
  <si>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</si>
  <si>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</si>
  <si>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</si>
  <si>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</si>
  <si>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</si>
  <si>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</si>
  <si>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</si>
  <si>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</si>
  <si>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</si>
  <si>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</si>
  <si>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</si>
  <si>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</si>
  <si>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</si>
  <si>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</si>
  <si>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</si>
  <si>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</si>
  <si>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</si>
  <si>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</si>
  <si>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</si>
  <si>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합  계 :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</si>
  <si>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</si>
  <si>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</si>
  <si>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&lt;보조금수입 합계&gt;</t>
    <phoneticPr fontId="5" type="noConversion"/>
  </si>
  <si>
    <t>원</t>
    <phoneticPr fontId="5" type="noConversion"/>
  </si>
  <si>
    <t>계</t>
    <phoneticPr fontId="5" type="noConversion"/>
  </si>
  <si>
    <t>총  계 :</t>
    <phoneticPr fontId="5" type="noConversion"/>
  </si>
  <si>
    <t>보조금</t>
    <phoneticPr fontId="5" type="noConversion"/>
  </si>
  <si>
    <t>총  계 :</t>
    <phoneticPr fontId="5" type="noConversion"/>
  </si>
  <si>
    <t>합    계 :</t>
    <phoneticPr fontId="5" type="noConversion"/>
  </si>
  <si>
    <t>÷</t>
    <phoneticPr fontId="5" type="noConversion"/>
  </si>
  <si>
    <t>=</t>
    <phoneticPr fontId="5" type="noConversion"/>
  </si>
  <si>
    <t>회</t>
    <phoneticPr fontId="5" type="noConversion"/>
  </si>
  <si>
    <t>전입금</t>
    <phoneticPr fontId="5" type="noConversion"/>
  </si>
  <si>
    <t>전년도</t>
    <phoneticPr fontId="5" type="noConversion"/>
  </si>
  <si>
    <t>잡수입</t>
    <phoneticPr fontId="5" type="noConversion"/>
  </si>
  <si>
    <t>소계</t>
    <phoneticPr fontId="5" type="noConversion"/>
  </si>
  <si>
    <t>&lt;잡수입 합계&gt;</t>
    <phoneticPr fontId="5" type="noConversion"/>
  </si>
  <si>
    <t>※ 예금이자수입</t>
    <phoneticPr fontId="5" type="noConversion"/>
  </si>
  <si>
    <t>※기본급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</si>
  <si>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</si>
  <si>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</si>
  <si>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</si>
  <si>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</si>
  <si>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</si>
  <si>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</si>
  <si>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</si>
  <si>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</si>
  <si>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</si>
  <si>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월</t>
    <phoneticPr fontId="5" type="noConversion"/>
  </si>
  <si>
    <t>회  의  비</t>
    <phoneticPr fontId="5" type="noConversion"/>
  </si>
  <si>
    <t>여    비</t>
    <phoneticPr fontId="5" type="noConversion"/>
  </si>
  <si>
    <t>보조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</si>
  <si>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</si>
  <si>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</si>
  <si>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</si>
  <si>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</si>
  <si>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</si>
  <si>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</si>
  <si>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</si>
  <si>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</si>
  <si>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</si>
  <si>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</si>
  <si>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※ 연료비</t>
    <phoneticPr fontId="5" type="noConversion"/>
  </si>
  <si>
    <t>프로그램</t>
    <phoneticPr fontId="5" type="noConversion"/>
  </si>
  <si>
    <t>입소</t>
    <phoneticPr fontId="5" type="noConversion"/>
  </si>
  <si>
    <t>2.주부식비(보충액)</t>
    <phoneticPr fontId="5" type="noConversion"/>
  </si>
  <si>
    <t>원</t>
    <phoneticPr fontId="5" type="noConversion"/>
  </si>
  <si>
    <t>원</t>
    <phoneticPr fontId="5" type="noConversion"/>
  </si>
  <si>
    <t>입소자
부담금</t>
    <phoneticPr fontId="5" type="noConversion"/>
  </si>
  <si>
    <t>비  용</t>
  </si>
  <si>
    <t>법인
전입금</t>
    <phoneticPr fontId="5" type="noConversion"/>
  </si>
  <si>
    <t xml:space="preserve">총  계 : </t>
    <phoneticPr fontId="5" type="noConversion"/>
  </si>
  <si>
    <t>합계:</t>
    <phoneticPr fontId="5" type="noConversion"/>
  </si>
  <si>
    <t>법인</t>
    <phoneticPr fontId="5" type="noConversion"/>
  </si>
  <si>
    <t>전입금</t>
    <phoneticPr fontId="5" type="noConversion"/>
  </si>
  <si>
    <t>기타</t>
    <phoneticPr fontId="5" type="noConversion"/>
  </si>
  <si>
    <t>예금</t>
    <phoneticPr fontId="5" type="noConversion"/>
  </si>
  <si>
    <t>이자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</si>
  <si>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</si>
  <si>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</si>
  <si>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</si>
  <si>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</si>
  <si>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업   무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</si>
  <si>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</si>
  <si>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</si>
  <si>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</si>
  <si>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소  계 :</t>
    <phoneticPr fontId="5" type="noConversion"/>
  </si>
  <si>
    <t>※ 피복비</t>
  </si>
  <si>
    <t>※ 의료비</t>
    <phoneticPr fontId="5" type="noConversion"/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</si>
  <si>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</si>
  <si>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</si>
  <si>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</si>
  <si>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</si>
  <si>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</si>
  <si>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</si>
  <si>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</si>
  <si>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</si>
  <si>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</si>
  <si>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</si>
  <si>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</si>
  <si>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</si>
  <si>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</si>
  <si>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</si>
  <si>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</si>
  <si>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</si>
  <si>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</si>
  <si>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경비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</si>
  <si>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</si>
  <si>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</si>
  <si>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</si>
  <si>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</si>
  <si>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</si>
  <si>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</si>
  <si>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유지비</t>
    <phoneticPr fontId="5" type="noConversion"/>
  </si>
  <si>
    <t>보조금</t>
    <phoneticPr fontId="5" type="noConversion"/>
  </si>
  <si>
    <t>원</t>
    <phoneticPr fontId="5" type="noConversion"/>
  </si>
  <si>
    <t>원</t>
    <phoneticPr fontId="5" type="noConversion"/>
  </si>
  <si>
    <t>* 연장근로수당</t>
    <phoneticPr fontId="5" type="noConversion"/>
  </si>
  <si>
    <t>×</t>
    <phoneticPr fontId="5" type="noConversion"/>
  </si>
  <si>
    <t>÷</t>
    <phoneticPr fontId="5" type="noConversion"/>
  </si>
  <si>
    <t>=</t>
    <phoneticPr fontId="5" type="noConversion"/>
  </si>
  <si>
    <t>원</t>
    <phoneticPr fontId="5" type="noConversion"/>
  </si>
  <si>
    <t>2. 입소비용</t>
    <phoneticPr fontId="5" type="noConversion"/>
  </si>
  <si>
    <t>3. 법인전입금</t>
    <phoneticPr fontId="5" type="noConversion"/>
  </si>
  <si>
    <t>1. 보조금 이월금(예금이자)</t>
    <phoneticPr fontId="5" type="noConversion"/>
  </si>
  <si>
    <t>보조금
(7종)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</si>
  <si>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</si>
  <si>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</si>
  <si>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</si>
  <si>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</si>
  <si>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>*사회재활교사</t>
    <phoneticPr fontId="5" type="noConversion"/>
  </si>
  <si>
    <t>월</t>
    <phoneticPr fontId="5" type="noConversion"/>
  </si>
  <si>
    <t>1.명절휴가비(보조금)</t>
    <phoneticPr fontId="5" type="noConversion"/>
  </si>
  <si>
    <t>* 건강보험부담금</t>
    <phoneticPr fontId="5" type="noConversion"/>
  </si>
  <si>
    <t>* 고용보험부담금</t>
    <phoneticPr fontId="5" type="noConversion"/>
  </si>
  <si>
    <t>* 국민연금부담금</t>
    <phoneticPr fontId="5" type="noConversion"/>
  </si>
  <si>
    <t>* 회의관련 다과비등</t>
    <phoneticPr fontId="5" type="noConversion"/>
  </si>
  <si>
    <t>회</t>
    <phoneticPr fontId="5" type="noConversion"/>
  </si>
  <si>
    <t>소계:</t>
    <phoneticPr fontId="5" type="noConversion"/>
  </si>
  <si>
    <t>1. 사무용품비(문구류 )</t>
    <phoneticPr fontId="5" type="noConversion"/>
  </si>
  <si>
    <t>월</t>
    <phoneticPr fontId="5" type="noConversion"/>
  </si>
  <si>
    <t>원</t>
    <phoneticPr fontId="5" type="noConversion"/>
  </si>
  <si>
    <t>1. 화재보험료</t>
    <phoneticPr fontId="5" type="noConversion"/>
  </si>
  <si>
    <t>2. 상해보험료</t>
    <phoneticPr fontId="5" type="noConversion"/>
  </si>
  <si>
    <t>3. 소방안전점검</t>
    <phoneticPr fontId="5" type="noConversion"/>
  </si>
  <si>
    <t>4. 전기안전점검</t>
    <phoneticPr fontId="5" type="noConversion"/>
  </si>
  <si>
    <t>5. 가스안전점검</t>
    <phoneticPr fontId="5" type="noConversion"/>
  </si>
  <si>
    <t>* 차량유류대</t>
    <phoneticPr fontId="5" type="noConversion"/>
  </si>
  <si>
    <t>* 직원 외부교육비</t>
    <phoneticPr fontId="5" type="noConversion"/>
  </si>
  <si>
    <t>1.주부식비</t>
    <phoneticPr fontId="5" type="noConversion"/>
  </si>
  <si>
    <t>* 일상생활용품</t>
    <phoneticPr fontId="5" type="noConversion"/>
  </si>
  <si>
    <t>* 피복비</t>
    <phoneticPr fontId="5" type="noConversion"/>
  </si>
  <si>
    <t>명</t>
    <phoneticPr fontId="5" type="noConversion"/>
  </si>
  <si>
    <t>=</t>
    <phoneticPr fontId="5" type="noConversion"/>
  </si>
  <si>
    <t>* 입소자 건강진단비</t>
    <phoneticPr fontId="5" type="noConversion"/>
  </si>
  <si>
    <t>* 외래진료 및 의약품비 등</t>
    <phoneticPr fontId="5" type="noConversion"/>
  </si>
  <si>
    <t>* 취사용 연료비</t>
    <phoneticPr fontId="5" type="noConversion"/>
  </si>
  <si>
    <t>B. 정서안정지원 프로그램</t>
    <phoneticPr fontId="5" type="noConversion"/>
  </si>
  <si>
    <t>1. 생일축하 파티(선물 및 케익 등)</t>
    <phoneticPr fontId="5" type="noConversion"/>
  </si>
  <si>
    <t>E. 계절별 프로그램</t>
    <phoneticPr fontId="5" type="noConversion"/>
  </si>
  <si>
    <t>1. 여름캠프</t>
    <phoneticPr fontId="5" type="noConversion"/>
  </si>
  <si>
    <t>2. 등산</t>
    <phoneticPr fontId="5" type="noConversion"/>
  </si>
  <si>
    <t>3. 원가정 테마여행</t>
    <phoneticPr fontId="5" type="noConversion"/>
  </si>
  <si>
    <t>회</t>
    <phoneticPr fontId="5" type="noConversion"/>
  </si>
  <si>
    <t>F. 기타 프로그램 지원사업</t>
    <phoneticPr fontId="5" type="noConversion"/>
  </si>
  <si>
    <t>1.보조금 예금이자 이월금</t>
    <phoneticPr fontId="5" type="noConversion"/>
  </si>
  <si>
    <t>3. 김장비용</t>
    <phoneticPr fontId="5" type="noConversion"/>
  </si>
  <si>
    <t>원</t>
    <phoneticPr fontId="5" type="noConversion"/>
  </si>
  <si>
    <t>원</t>
    <phoneticPr fontId="5" type="noConversion"/>
  </si>
  <si>
    <t>세입총계</t>
    <phoneticPr fontId="5" type="noConversion"/>
  </si>
  <si>
    <t>=</t>
    <phoneticPr fontId="5" type="noConversion"/>
  </si>
  <si>
    <t>* 퇴직적립금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</si>
  <si>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</si>
  <si>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</si>
  <si>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</si>
  <si>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※ 기타후생경비</t>
    <phoneticPr fontId="5" type="noConversion"/>
  </si>
  <si>
    <t>* 종사자건강검진비용</t>
    <phoneticPr fontId="5" type="noConversion"/>
  </si>
  <si>
    <t>기타        후생경비</t>
    <phoneticPr fontId="5" type="noConversion"/>
  </si>
  <si>
    <t>2. 가족수당(보조금)</t>
    <phoneticPr fontId="5" type="noConversion"/>
  </si>
  <si>
    <t>3.연장근로수당(법인)</t>
    <phoneticPr fontId="5" type="noConversion"/>
  </si>
  <si>
    <t>4.종사자근무수당(7종)</t>
    <phoneticPr fontId="5" type="noConversion"/>
  </si>
  <si>
    <t>* 설 명절 휴가비</t>
    <phoneticPr fontId="5" type="noConversion"/>
  </si>
  <si>
    <t>* 추석 명절휴가비</t>
    <phoneticPr fontId="5" type="noConversion"/>
  </si>
  <si>
    <t>원</t>
    <phoneticPr fontId="5" type="noConversion"/>
  </si>
  <si>
    <t>월</t>
    <phoneticPr fontId="5" type="noConversion"/>
  </si>
  <si>
    <t>원</t>
    <phoneticPr fontId="5" type="noConversion"/>
  </si>
  <si>
    <t>* 퇴직적립금(보조금)</t>
    <phoneticPr fontId="5" type="noConversion"/>
  </si>
  <si>
    <t>* 퇴직적립금(자부담)</t>
    <phoneticPr fontId="5" type="noConversion"/>
  </si>
  <si>
    <t>* 일상생활용품</t>
    <phoneticPr fontId="5" type="noConversion"/>
  </si>
  <si>
    <t>A. 지역사회이용 프로그램</t>
    <phoneticPr fontId="5" type="noConversion"/>
  </si>
  <si>
    <t>4. 가을여행</t>
    <phoneticPr fontId="5" type="noConversion"/>
  </si>
  <si>
    <t>회</t>
    <phoneticPr fontId="5" type="noConversion"/>
  </si>
  <si>
    <t>=</t>
    <phoneticPr fontId="5" type="noConversion"/>
  </si>
  <si>
    <t>2. 주방용품 구입 및 소규모수선비</t>
    <phoneticPr fontId="5" type="noConversion"/>
  </si>
  <si>
    <t>3.기타 수용비 및 수수료</t>
    <phoneticPr fontId="5" type="noConversion"/>
  </si>
  <si>
    <t>□ 세 입 · 세 출 총  괄  표</t>
    <phoneticPr fontId="26" type="noConversion"/>
  </si>
  <si>
    <t>(단위:원)</t>
    <phoneticPr fontId="26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</si>
  <si>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</si>
  <si>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</si>
  <si>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</si>
  <si>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</si>
  <si>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</si>
  <si>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</si>
  <si>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</si>
  <si>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사무비</t>
    <phoneticPr fontId="5" type="noConversion"/>
  </si>
  <si>
    <t>인      건      비</t>
    <phoneticPr fontId="26" type="noConversion"/>
  </si>
  <si>
    <t>보조금  수입</t>
    <phoneticPr fontId="26" type="noConversion"/>
  </si>
  <si>
    <t>경상보조금수입</t>
    <phoneticPr fontId="26" type="noConversion"/>
  </si>
  <si>
    <t>기타후생경비</t>
    <phoneticPr fontId="5" type="noConversion"/>
  </si>
  <si>
    <t>자본보조금수입</t>
    <phoneticPr fontId="26" type="noConversion"/>
  </si>
  <si>
    <t>업 무   추 진 비</t>
    <phoneticPr fontId="26" type="noConversion"/>
  </si>
  <si>
    <t>기타보조금수입</t>
    <phoneticPr fontId="26" type="noConversion"/>
  </si>
  <si>
    <t>운      영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</si>
  <si>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</si>
  <si>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</si>
  <si>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재산조성비</t>
    <phoneticPr fontId="26" type="noConversion"/>
  </si>
  <si>
    <t>시      설      비</t>
    <phoneticPr fontId="26" type="noConversion"/>
  </si>
  <si>
    <t>비지정   후원금</t>
    <phoneticPr fontId="26" type="noConversion"/>
  </si>
  <si>
    <t>자 산   취 득 비</t>
    <phoneticPr fontId="26" type="noConversion"/>
  </si>
  <si>
    <t>전    입    금</t>
    <phoneticPr fontId="26" type="noConversion"/>
  </si>
  <si>
    <t>법인      전입금</t>
    <phoneticPr fontId="26" type="noConversion"/>
  </si>
  <si>
    <t>시설장비유지비</t>
    <phoneticPr fontId="26" type="noConversion"/>
  </si>
  <si>
    <t>이    월    금</t>
    <phoneticPr fontId="26" type="noConversion"/>
  </si>
  <si>
    <t>전년도   이월금</t>
    <phoneticPr fontId="26" type="noConversion"/>
  </si>
  <si>
    <t>사   업   비</t>
    <phoneticPr fontId="26" type="noConversion"/>
  </si>
  <si>
    <t>생      계      비</t>
    <phoneticPr fontId="26" type="noConversion"/>
  </si>
  <si>
    <t>잡    수    입</t>
    <phoneticPr fontId="26" type="noConversion"/>
  </si>
  <si>
    <t>잡      수      입</t>
    <phoneticPr fontId="26" type="noConversion"/>
  </si>
  <si>
    <t>수용기관   경비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</si>
  <si>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</si>
  <si>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</si>
  <si>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</si>
  <si>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</si>
  <si>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보조금반환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</si>
  <si>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</si>
  <si>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</si>
  <si>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</si>
  <si>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</si>
  <si>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</si>
  <si>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* 종사자교육비용</t>
    <phoneticPr fontId="5" type="noConversion"/>
  </si>
  <si>
    <t>원</t>
    <phoneticPr fontId="5" type="noConversion"/>
  </si>
  <si>
    <t>* 욕실 파티션</t>
    <phoneticPr fontId="5" type="noConversion"/>
  </si>
  <si>
    <t>※ 후원금</t>
    <phoneticPr fontId="5" type="noConversion"/>
  </si>
  <si>
    <t>※ 전년도 이월금</t>
    <phoneticPr fontId="5" type="noConversion"/>
  </si>
  <si>
    <t>* 비지정 후원금</t>
    <phoneticPr fontId="5" type="noConversion"/>
  </si>
  <si>
    <t>후원금</t>
    <phoneticPr fontId="5" type="noConversion"/>
  </si>
  <si>
    <t>비지정</t>
    <phoneticPr fontId="5" type="noConversion"/>
  </si>
  <si>
    <t>재산        조성비</t>
    <phoneticPr fontId="26" type="noConversion"/>
  </si>
  <si>
    <t>사 무 비</t>
    <phoneticPr fontId="26" type="noConversion"/>
  </si>
  <si>
    <t>사 업 비</t>
    <phoneticPr fontId="26" type="noConversion"/>
  </si>
  <si>
    <t>보조금     반환</t>
    <phoneticPr fontId="26" type="noConversion"/>
  </si>
  <si>
    <t>인 건 비</t>
    <phoneticPr fontId="26" type="noConversion"/>
  </si>
  <si>
    <t>업 무              추 진 비</t>
    <phoneticPr fontId="26" type="noConversion"/>
  </si>
  <si>
    <t>운 영 비</t>
    <phoneticPr fontId="26" type="noConversion"/>
  </si>
  <si>
    <t>시 설 비</t>
    <phoneticPr fontId="26" type="noConversion"/>
  </si>
  <si>
    <t>시설장비         유지비</t>
    <phoneticPr fontId="26" type="noConversion"/>
  </si>
  <si>
    <t>자 산              취 득 비</t>
    <phoneticPr fontId="26" type="noConversion"/>
  </si>
  <si>
    <t>생 계 비</t>
    <phoneticPr fontId="26" type="noConversion"/>
  </si>
  <si>
    <t>수용기관         경비</t>
    <phoneticPr fontId="26" type="noConversion"/>
  </si>
  <si>
    <t>피 복 비</t>
    <phoneticPr fontId="26" type="noConversion"/>
  </si>
  <si>
    <t>의 료 비</t>
    <phoneticPr fontId="26" type="noConversion"/>
  </si>
  <si>
    <t>연 료 비</t>
    <phoneticPr fontId="26" type="noConversion"/>
  </si>
  <si>
    <t>프로그램         사업비</t>
    <phoneticPr fontId="26" type="noConversion"/>
  </si>
  <si>
    <t>보조금            반납금</t>
    <phoneticPr fontId="26" type="noConversion"/>
  </si>
  <si>
    <t>입소비용     수입</t>
    <phoneticPr fontId="26" type="noConversion"/>
  </si>
  <si>
    <t>전 입 금</t>
    <phoneticPr fontId="26" type="noConversion"/>
  </si>
  <si>
    <t>이 월 금</t>
    <phoneticPr fontId="26" type="noConversion"/>
  </si>
  <si>
    <t>잡 수 입</t>
    <phoneticPr fontId="26" type="noConversion"/>
  </si>
  <si>
    <t>4. 후원금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</si>
  <si>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</si>
  <si>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6. 신용보증보험</t>
    <phoneticPr fontId="5" type="noConversion"/>
  </si>
  <si>
    <t>2. 찜질방 이용</t>
  </si>
  <si>
    <t>* 환경개선사업비(7종)시군구</t>
    <phoneticPr fontId="5" type="noConversion"/>
  </si>
  <si>
    <t>* 환경개선사업비(7종)시도</t>
    <phoneticPr fontId="5" type="noConversion"/>
  </si>
  <si>
    <t>* 종사자근무수당(시군구)</t>
    <phoneticPr fontId="5" type="noConversion"/>
  </si>
  <si>
    <t>* 종사자근무수당(시도)</t>
    <phoneticPr fontId="5" type="noConversion"/>
  </si>
  <si>
    <t>이월금</t>
    <phoneticPr fontId="5" type="noConversion"/>
  </si>
  <si>
    <t>1. 전화료 인터넷 요금(보조)</t>
    <phoneticPr fontId="5" type="noConversion"/>
  </si>
  <si>
    <t>2. 아파트관리비(보조)</t>
    <phoneticPr fontId="5" type="noConversion"/>
  </si>
  <si>
    <t>3. 전화료 인터넷 요금(입소)</t>
    <phoneticPr fontId="5" type="noConversion"/>
  </si>
  <si>
    <t>4. 아파트관리비(입소)</t>
    <phoneticPr fontId="5" type="noConversion"/>
  </si>
  <si>
    <t xml:space="preserve">* 적산열량계교체비용(보조) </t>
    <phoneticPr fontId="5" type="noConversion"/>
  </si>
  <si>
    <t>* 환경개선 수선비 등(7종)</t>
    <phoneticPr fontId="5" type="noConversion"/>
  </si>
  <si>
    <t>* 산재보험부담금</t>
    <phoneticPr fontId="5" type="noConversion"/>
  </si>
  <si>
    <t>=</t>
    <phoneticPr fontId="5" type="noConversion"/>
  </si>
  <si>
    <t>입소</t>
    <phoneticPr fontId="5" type="noConversion"/>
  </si>
  <si>
    <t>보조</t>
    <phoneticPr fontId="5" type="noConversion"/>
  </si>
  <si>
    <t>* 가족수당</t>
    <phoneticPr fontId="5" type="noConversion"/>
  </si>
  <si>
    <t>시도보조금</t>
    <phoneticPr fontId="26" type="noConversion"/>
  </si>
  <si>
    <t>시군구보조금</t>
    <phoneticPr fontId="26" type="noConversion"/>
  </si>
  <si>
    <t>* 종사자 건강검진비용</t>
    <phoneticPr fontId="5" type="noConversion"/>
  </si>
  <si>
    <t>* 환경개선사업비</t>
    <phoneticPr fontId="5" type="noConversion"/>
  </si>
  <si>
    <t>구        분</t>
    <phoneticPr fontId="26" type="noConversion"/>
  </si>
  <si>
    <t>2014년
본 예산</t>
    <phoneticPr fontId="26" type="noConversion"/>
  </si>
  <si>
    <t>증감</t>
    <phoneticPr fontId="5" type="noConversion"/>
  </si>
  <si>
    <t>증감사유</t>
    <phoneticPr fontId="26" type="noConversion"/>
  </si>
  <si>
    <t>증감</t>
    <phoneticPr fontId="26" type="noConversion"/>
  </si>
  <si>
    <t>비지정후원금</t>
    <phoneticPr fontId="26" type="noConversion"/>
  </si>
  <si>
    <t>지정후원금</t>
    <phoneticPr fontId="26" type="noConversion"/>
  </si>
  <si>
    <t>법인전입금</t>
    <phoneticPr fontId="26" type="noConversion"/>
  </si>
  <si>
    <t>전년도이월금</t>
    <phoneticPr fontId="26" type="noConversion"/>
  </si>
  <si>
    <t>시도보조금</t>
    <phoneticPr fontId="5" type="noConversion"/>
  </si>
  <si>
    <t>※ 2014년 시도보조금</t>
    <phoneticPr fontId="5" type="noConversion"/>
  </si>
  <si>
    <t>시군구보조금</t>
    <phoneticPr fontId="5" type="noConversion"/>
  </si>
  <si>
    <t>※ 2014년 시군구보조금</t>
    <phoneticPr fontId="5" type="noConversion"/>
  </si>
  <si>
    <t>원</t>
    <phoneticPr fontId="5" type="noConversion"/>
  </si>
  <si>
    <t>&lt;2014년도 세출내역&gt;</t>
    <phoneticPr fontId="5" type="noConversion"/>
  </si>
  <si>
    <t>&lt;2014년도 세입내역&gt;</t>
    <phoneticPr fontId="5" type="noConversion"/>
  </si>
  <si>
    <t>보조금      운영비</t>
    <phoneticPr fontId="5" type="noConversion"/>
  </si>
  <si>
    <t>※ 입소자부담금수입</t>
    <phoneticPr fontId="5" type="noConversion"/>
  </si>
  <si>
    <t>* 입소자부담금수입</t>
    <phoneticPr fontId="5" type="noConversion"/>
  </si>
  <si>
    <t>보조금        수입</t>
    <phoneticPr fontId="26" type="noConversion"/>
  </si>
  <si>
    <t>후원금        수입</t>
    <phoneticPr fontId="26" type="noConversion"/>
  </si>
  <si>
    <t>원</t>
    <phoneticPr fontId="5" type="noConversion"/>
  </si>
  <si>
    <t>* 전년도 이월금</t>
    <phoneticPr fontId="5" type="noConversion"/>
  </si>
  <si>
    <t>* 2014년 시도보조금</t>
    <phoneticPr fontId="5" type="noConversion"/>
  </si>
  <si>
    <t>* 2014년 시군구보조금</t>
    <phoneticPr fontId="5" type="noConversion"/>
  </si>
  <si>
    <t>* 후원금 이월금</t>
    <phoneticPr fontId="5" type="noConversion"/>
  </si>
  <si>
    <t>1. 보조금</t>
    <phoneticPr fontId="5" type="noConversion"/>
  </si>
  <si>
    <t>2. 보조금 이월금</t>
    <phoneticPr fontId="5" type="noConversion"/>
  </si>
  <si>
    <t>3. 입소비용</t>
    <phoneticPr fontId="5" type="noConversion"/>
  </si>
  <si>
    <t>4. 법인전입금</t>
    <phoneticPr fontId="5" type="noConversion"/>
  </si>
  <si>
    <t>6. 후원금</t>
    <phoneticPr fontId="5" type="noConversion"/>
  </si>
  <si>
    <t>원</t>
    <phoneticPr fontId="5" type="noConversion"/>
  </si>
  <si>
    <t>* 입소비용(체크카드환급금)</t>
    <phoneticPr fontId="5" type="noConversion"/>
  </si>
  <si>
    <t>* 후원금(체크카드환급금)</t>
    <phoneticPr fontId="5" type="noConversion"/>
  </si>
  <si>
    <t>잡수입</t>
    <phoneticPr fontId="5" type="noConversion"/>
  </si>
  <si>
    <t>8. 잡수입</t>
    <phoneticPr fontId="5" type="noConversion"/>
  </si>
  <si>
    <t>2014년 1차 추가경정 예산액(단위:천원)</t>
    <phoneticPr fontId="5" type="noConversion"/>
  </si>
  <si>
    <t>2014년
본 예산
예산액(A)
(단위:천원)</t>
    <phoneticPr fontId="5" type="noConversion"/>
  </si>
  <si>
    <t>2014년  1차 추가경정 예산액(단위:천원)</t>
    <phoneticPr fontId="5" type="noConversion"/>
  </si>
  <si>
    <t>2014년
본 예산       본예산액(A)
(단위:천원)</t>
    <phoneticPr fontId="5" type="noConversion"/>
  </si>
  <si>
    <t>* 건강보험 정산금</t>
    <phoneticPr fontId="5" type="noConversion"/>
  </si>
  <si>
    <t>* 고용보험부담금정산금</t>
    <phoneticPr fontId="5" type="noConversion"/>
  </si>
  <si>
    <t>* 산재보험부담금정산금</t>
    <phoneticPr fontId="5" type="noConversion"/>
  </si>
  <si>
    <t>2. 바다의별 사회적응 훈련(둘그룹)</t>
    <phoneticPr fontId="5" type="noConversion"/>
  </si>
  <si>
    <t>법인</t>
    <phoneticPr fontId="5" type="noConversion"/>
  </si>
  <si>
    <t>4. 간식비용</t>
    <phoneticPr fontId="5" type="noConversion"/>
  </si>
  <si>
    <t>후원</t>
    <phoneticPr fontId="5" type="noConversion"/>
  </si>
  <si>
    <t>원</t>
    <phoneticPr fontId="5" type="noConversion"/>
  </si>
  <si>
    <t>□ 2014년도 1차 추가경정 예산 세 입 · 세 출 총  괄  표</t>
    <phoneticPr fontId="26" type="noConversion"/>
  </si>
  <si>
    <t>2014년
1차 추가경정</t>
    <phoneticPr fontId="26" type="noConversion"/>
  </si>
  <si>
    <t>2014년
1차추가경정</t>
    <phoneticPr fontId="26" type="noConversion"/>
  </si>
  <si>
    <t>이자수입</t>
    <phoneticPr fontId="26" type="noConversion"/>
  </si>
  <si>
    <t>기타잡수입</t>
    <phoneticPr fontId="26" type="noConversion"/>
  </si>
  <si>
    <t>환경개선  사업비 감소</t>
    <phoneticPr fontId="5" type="noConversion"/>
  </si>
  <si>
    <t>환경개선  사업비 감소</t>
    <phoneticPr fontId="5" type="noConversion"/>
  </si>
  <si>
    <t>수용           기관경비감액</t>
    <phoneticPr fontId="5" type="noConversion"/>
  </si>
  <si>
    <t>프로그램비 증가</t>
    <phoneticPr fontId="5" type="noConversion"/>
  </si>
  <si>
    <t>* 건강보험 부담금</t>
    <phoneticPr fontId="5" type="noConversion"/>
  </si>
  <si>
    <t>전년도 이월금 이월방식 변경에 따른 차액</t>
    <phoneticPr fontId="5" type="noConversion"/>
  </si>
  <si>
    <t>전년도 이월금반영분</t>
    <phoneticPr fontId="5" type="noConversion"/>
  </si>
  <si>
    <t>4. 입소비용이월금</t>
    <phoneticPr fontId="5" type="noConversion"/>
  </si>
  <si>
    <t>4호</t>
    <phoneticPr fontId="5" type="noConversion"/>
  </si>
  <si>
    <t>1호</t>
    <phoneticPr fontId="5" type="noConversion"/>
  </si>
  <si>
    <t>4호</t>
    <phoneticPr fontId="5" type="noConversion"/>
  </si>
  <si>
    <t>* 법인전입금 이월금</t>
    <phoneticPr fontId="5" type="noConversion"/>
  </si>
  <si>
    <t>* 컴퓨터 윈도우 구입비용</t>
    <phoneticPr fontId="5" type="noConversion"/>
  </si>
  <si>
    <t>1. 찜질방 이용</t>
    <phoneticPr fontId="5" type="noConversion"/>
  </si>
  <si>
    <t>원</t>
    <phoneticPr fontId="5" type="noConversion"/>
  </si>
  <si>
    <t>×</t>
    <phoneticPr fontId="5" type="noConversion"/>
  </si>
  <si>
    <t>회</t>
    <phoneticPr fontId="5" type="noConversion"/>
  </si>
  <si>
    <t>명</t>
    <phoneticPr fontId="5" type="noConversion"/>
  </si>
  <si>
    <t>=</t>
    <phoneticPr fontId="5" type="noConversion"/>
  </si>
  <si>
    <t>입소</t>
    <phoneticPr fontId="5" type="noConversion"/>
  </si>
  <si>
    <t>후원</t>
    <phoneticPr fontId="5" type="noConversion"/>
  </si>
  <si>
    <t>3. 찜질방 이용</t>
    <phoneticPr fontId="5" type="noConversion"/>
  </si>
  <si>
    <t>보조</t>
    <phoneticPr fontId="5" type="noConversion"/>
  </si>
  <si>
    <t>4. 지역사회 미용실 이용</t>
    <phoneticPr fontId="5" type="noConversion"/>
  </si>
  <si>
    <t>5. 지역사회 미용실 이용</t>
    <phoneticPr fontId="5" type="noConversion"/>
  </si>
  <si>
    <t>6. 지역사회 미용실 이용</t>
    <phoneticPr fontId="5" type="noConversion"/>
  </si>
  <si>
    <t>7. 지역사회 식당 이용 외식</t>
    <phoneticPr fontId="5" type="noConversion"/>
  </si>
  <si>
    <t>8. 지역사회 식당 이용 외식</t>
    <phoneticPr fontId="5" type="noConversion"/>
  </si>
  <si>
    <t>9. 지역사회 식당 이용 외식</t>
    <phoneticPr fontId="5" type="noConversion"/>
  </si>
  <si>
    <t>10. 영화관람</t>
    <phoneticPr fontId="5" type="noConversion"/>
  </si>
  <si>
    <t>11. 스포츠관람</t>
    <phoneticPr fontId="5" type="noConversion"/>
  </si>
  <si>
    <t>보조</t>
    <phoneticPr fontId="5" type="noConversion"/>
  </si>
  <si>
    <t>1. 헬스</t>
    <phoneticPr fontId="5" type="noConversion"/>
  </si>
  <si>
    <t>3. 바다의별사회적응훈련(하나그룹)</t>
    <phoneticPr fontId="5" type="noConversion"/>
  </si>
  <si>
    <t>4. 대중교통 이용 서비스</t>
    <phoneticPr fontId="5" type="noConversion"/>
  </si>
  <si>
    <t>5. 낮 시간 프로그램 후 점심식사</t>
    <phoneticPr fontId="5" type="noConversion"/>
  </si>
  <si>
    <t>6. 기타프로그램</t>
    <phoneticPr fontId="5" type="noConversion"/>
  </si>
  <si>
    <t>잡수</t>
    <phoneticPr fontId="5" type="noConversion"/>
  </si>
  <si>
    <t>입소</t>
    <phoneticPr fontId="5" type="noConversion"/>
  </si>
  <si>
    <t>예금이자 및 체크카드 환급금 발생</t>
    <phoneticPr fontId="5" type="noConversion"/>
  </si>
  <si>
    <t>종사자변경에 따른 호봉 반영</t>
    <phoneticPr fontId="5" type="noConversion"/>
  </si>
  <si>
    <t>전년도이월금 증가분</t>
    <phoneticPr fontId="5" type="noConversion"/>
  </si>
  <si>
    <t>종사자변경에 따른 호봉 반영 및 4대보험 부담금 감소</t>
    <phoneticPr fontId="5" type="noConversion"/>
  </si>
  <si>
    <t>공공요금   감액</t>
    <phoneticPr fontId="5" type="noConversion"/>
  </si>
  <si>
    <t>의료비 감액</t>
    <phoneticPr fontId="5" type="noConversion"/>
  </si>
  <si>
    <t>연료비 감액</t>
    <phoneticPr fontId="5" type="noConversion"/>
  </si>
  <si>
    <t>종사자건강검진비</t>
    <phoneticPr fontId="5" type="noConversion"/>
  </si>
  <si>
    <t>입소</t>
    <phoneticPr fontId="5" type="noConversion"/>
  </si>
  <si>
    <t>생계비 증액</t>
    <phoneticPr fontId="5" type="noConversion"/>
  </si>
  <si>
    <t>입소</t>
    <phoneticPr fontId="5" type="noConversion"/>
  </si>
  <si>
    <t>* 저항자전거 구입비용</t>
    <phoneticPr fontId="5" type="noConversion"/>
  </si>
  <si>
    <t>컴퓨터 윈도우 구입비용증가분              저항자전거 구입비용 증가</t>
    <phoneticPr fontId="5" type="noConversion"/>
  </si>
  <si>
    <t>* 상해보험 가입비용</t>
    <phoneticPr fontId="5" type="noConversion"/>
  </si>
  <si>
    <t>입소</t>
    <phoneticPr fontId="5" type="noConversion"/>
  </si>
  <si>
    <t>원</t>
    <phoneticPr fontId="5" type="noConversion"/>
  </si>
  <si>
    <t>2014년
본 예산</t>
    <phoneticPr fontId="26" type="noConversion"/>
  </si>
  <si>
    <t>2014년
1차추가경정 예산</t>
    <phoneticPr fontId="26" type="noConversion"/>
  </si>
  <si>
    <t>2014년
본 예산</t>
    <phoneticPr fontId="26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</si>
</sst>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90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41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15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2" xfId="3" applyNumberFormat="1" applyFont="1" applyFill="1" applyBorder="1" applyAlignment="1">
      <alignment vertical="center"/>
    </xf>
    <xf numFmtId="177" fontId="11" fillId="0" borderId="22" xfId="3" applyNumberFormat="1" applyFont="1" applyFill="1" applyBorder="1" applyAlignment="1">
      <alignment vertical="center"/>
    </xf>
    <xf numFmtId="0" fontId="14" fillId="0" borderId="21" xfId="3" applyFont="1" applyFill="1" applyBorder="1" applyAlignment="1">
      <alignment vertical="center"/>
    </xf>
    <xf numFmtId="176" fontId="14" fillId="0" borderId="21" xfId="3" applyNumberFormat="1" applyFont="1" applyFill="1" applyBorder="1" applyAlignment="1">
      <alignment horizontal="center" vertical="center"/>
    </xf>
    <xf numFmtId="176" fontId="14" fillId="0" borderId="21" xfId="3" applyNumberFormat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9" fontId="15" fillId="0" borderId="26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9" fontId="11" fillId="0" borderId="26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8" fontId="11" fillId="0" borderId="26" xfId="3" applyNumberFormat="1" applyFont="1" applyFill="1" applyBorder="1" applyAlignment="1">
      <alignment vertical="center"/>
    </xf>
    <xf numFmtId="177" fontId="11" fillId="0" borderId="26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vertical="center"/>
    </xf>
    <xf numFmtId="0" fontId="11" fillId="0" borderId="32" xfId="3" applyFont="1" applyFill="1" applyBorder="1" applyAlignment="1">
      <alignment vertical="center" wrapText="1"/>
    </xf>
    <xf numFmtId="0" fontId="17" fillId="0" borderId="28" xfId="3" applyFont="1" applyFill="1" applyBorder="1" applyAlignment="1">
      <alignment vertical="center"/>
    </xf>
    <xf numFmtId="0" fontId="18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176" fontId="17" fillId="0" borderId="35" xfId="3" applyNumberFormat="1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vertical="center"/>
    </xf>
    <xf numFmtId="177" fontId="11" fillId="0" borderId="10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6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0" fontId="11" fillId="0" borderId="0" xfId="1" applyNumberFormat="1" applyFont="1" applyFill="1" applyBorder="1" applyAlignment="1">
      <alignment vertical="center"/>
    </xf>
    <xf numFmtId="10" fontId="11" fillId="0" borderId="0" xfId="1" applyNumberFormat="1" applyFont="1" applyFill="1" applyBorder="1" applyAlignment="1">
      <alignment horizontal="center" vertical="center"/>
    </xf>
    <xf numFmtId="179" fontId="11" fillId="0" borderId="0" xfId="2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9" fontId="11" fillId="0" borderId="10" xfId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5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3" fillId="0" borderId="3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178" fontId="11" fillId="0" borderId="6" xfId="3" applyNumberFormat="1" applyFont="1" applyFill="1" applyBorder="1" applyAlignment="1">
      <alignment vertical="center"/>
    </xf>
    <xf numFmtId="177" fontId="11" fillId="0" borderId="6" xfId="3" applyNumberFormat="1" applyFont="1" applyFill="1" applyBorder="1" applyAlignment="1">
      <alignment vertical="center"/>
    </xf>
    <xf numFmtId="9" fontId="11" fillId="0" borderId="6" xfId="3" applyNumberFormat="1" applyFont="1" applyFill="1" applyBorder="1" applyAlignment="1">
      <alignment horizontal="center" vertical="center"/>
    </xf>
    <xf numFmtId="176" fontId="11" fillId="0" borderId="12" xfId="3" applyNumberFormat="1" applyFont="1" applyFill="1" applyBorder="1" applyAlignment="1">
      <alignment horizontal="center"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6" xfId="3" applyNumberFormat="1" applyFont="1" applyFill="1" applyBorder="1" applyAlignment="1">
      <alignment vertical="center"/>
    </xf>
    <xf numFmtId="38" fontId="11" fillId="0" borderId="26" xfId="3" applyNumberFormat="1" applyFont="1" applyFill="1" applyBorder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0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6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vertical="center"/>
    </xf>
    <xf numFmtId="9" fontId="11" fillId="0" borderId="0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176" fontId="12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38" fontId="11" fillId="0" borderId="13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1" fillId="0" borderId="5" xfId="0" applyFont="1" applyFill="1" applyBorder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" fillId="0" borderId="0" xfId="5">
      <alignment vertical="center"/>
    </xf>
    <xf numFmtId="0" fontId="25" fillId="0" borderId="0" xfId="5" applyFont="1">
      <alignment vertical="center"/>
    </xf>
    <xf numFmtId="0" fontId="27" fillId="0" borderId="0" xfId="5" applyFont="1" applyAlignment="1">
      <alignment horizontal="right"/>
    </xf>
    <xf numFmtId="41" fontId="0" fillId="0" borderId="10" xfId="6" applyFont="1" applyBorder="1" applyAlignment="1">
      <alignment vertical="center"/>
    </xf>
    <xf numFmtId="181" fontId="0" fillId="0" borderId="36" xfId="6" applyNumberFormat="1" applyFont="1" applyBorder="1" applyAlignment="1">
      <alignment vertical="center"/>
    </xf>
    <xf numFmtId="181" fontId="0" fillId="0" borderId="11" xfId="6" applyNumberFormat="1" applyFont="1" applyBorder="1" applyAlignment="1">
      <alignment vertical="center"/>
    </xf>
    <xf numFmtId="41" fontId="0" fillId="0" borderId="19" xfId="6" applyFont="1" applyBorder="1">
      <alignment vertical="center"/>
    </xf>
    <xf numFmtId="181" fontId="0" fillId="0" borderId="41" xfId="6" applyNumberFormat="1" applyFont="1" applyBorder="1">
      <alignment vertical="center"/>
    </xf>
    <xf numFmtId="181" fontId="0" fillId="0" borderId="17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0" fontId="16" fillId="0" borderId="3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9" fillId="0" borderId="28" xfId="3" applyFont="1" applyFill="1" applyBorder="1" applyAlignment="1">
      <alignment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41" fontId="13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vertical="center"/>
    </xf>
    <xf numFmtId="0" fontId="13" fillId="0" borderId="44" xfId="3" applyFont="1" applyFill="1" applyBorder="1" applyAlignment="1">
      <alignment vertical="center"/>
    </xf>
    <xf numFmtId="176" fontId="13" fillId="0" borderId="44" xfId="3" applyNumberFormat="1" applyFont="1" applyFill="1" applyBorder="1" applyAlignment="1">
      <alignment vertical="center"/>
    </xf>
    <xf numFmtId="176" fontId="13" fillId="0" borderId="45" xfId="3" applyNumberFormat="1" applyFont="1" applyFill="1" applyBorder="1" applyAlignment="1">
      <alignment vertical="center"/>
    </xf>
    <xf numFmtId="9" fontId="13" fillId="0" borderId="19" xfId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 wrapText="1"/>
    </xf>
    <xf numFmtId="38" fontId="11" fillId="0" borderId="41" xfId="3" applyNumberFormat="1" applyFont="1" applyFill="1" applyBorder="1" applyAlignment="1">
      <alignment vertical="center"/>
    </xf>
    <xf numFmtId="38" fontId="11" fillId="0" borderId="19" xfId="3" applyNumberFormat="1" applyFont="1" applyFill="1" applyBorder="1" applyAlignment="1">
      <alignment vertical="center"/>
    </xf>
    <xf numFmtId="9" fontId="11" fillId="0" borderId="19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6" fillId="0" borderId="0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19" xfId="3" applyNumberFormat="1" applyFont="1" applyFill="1" applyBorder="1" applyAlignment="1">
      <alignment vertical="center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2" fillId="0" borderId="5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3" fontId="11" fillId="0" borderId="0" xfId="2" applyNumberFormat="1" applyFont="1" applyFill="1" applyBorder="1" applyAlignment="1">
      <alignment horizontal="center" vertical="center"/>
    </xf>
    <xf numFmtId="184" fontId="11" fillId="0" borderId="0" xfId="2" applyNumberFormat="1" applyFont="1" applyFill="1" applyBorder="1" applyAlignment="1">
      <alignment horizontal="center" vertical="center"/>
    </xf>
    <xf numFmtId="176" fontId="11" fillId="0" borderId="26" xfId="0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center" vertical="center"/>
    </xf>
    <xf numFmtId="186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1" fillId="0" borderId="34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42" fontId="11" fillId="0" borderId="30" xfId="3" applyNumberFormat="1" applyFont="1" applyFill="1" applyBorder="1" applyAlignment="1">
      <alignment horizontal="center" vertical="center"/>
    </xf>
    <xf numFmtId="10" fontId="11" fillId="0" borderId="30" xfId="1" applyNumberFormat="1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0" fontId="2" fillId="0" borderId="0" xfId="5" applyFont="1">
      <alignment vertical="center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41" fontId="2" fillId="0" borderId="19" xfId="2" applyFont="1" applyBorder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41" fontId="8" fillId="0" borderId="0" xfId="2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13" fillId="0" borderId="29" xfId="3" applyFont="1" applyFill="1" applyBorder="1" applyAlignment="1">
      <alignment vertical="center"/>
    </xf>
    <xf numFmtId="0" fontId="6" fillId="0" borderId="12" xfId="3" applyFont="1" applyFill="1" applyBorder="1" applyAlignment="1">
      <alignment vertical="center"/>
    </xf>
    <xf numFmtId="176" fontId="6" fillId="0" borderId="12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 wrapText="1"/>
    </xf>
    <xf numFmtId="38" fontId="6" fillId="0" borderId="6" xfId="3" applyNumberFormat="1" applyFont="1" applyFill="1" applyBorder="1" applyAlignment="1">
      <alignment vertical="center"/>
    </xf>
    <xf numFmtId="9" fontId="6" fillId="0" borderId="6" xfId="1" applyFont="1" applyFill="1" applyBorder="1" applyAlignment="1">
      <alignment horizontal="center" vertical="center"/>
    </xf>
    <xf numFmtId="0" fontId="6" fillId="0" borderId="38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5" fillId="0" borderId="0" xfId="7" applyFont="1">
      <alignment vertical="center"/>
    </xf>
    <xf numFmtId="0" fontId="1" fillId="0" borderId="0" xfId="7">
      <alignment vertical="center"/>
    </xf>
    <xf numFmtId="0" fontId="27" fillId="0" borderId="0" xfId="7" applyFont="1" applyAlignment="1">
      <alignment horizontal="right"/>
    </xf>
    <xf numFmtId="41" fontId="11" fillId="0" borderId="0" xfId="2" applyNumberFormat="1" applyFont="1" applyFill="1" applyBorder="1" applyAlignment="1">
      <alignment horizontal="right"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178" fontId="21" fillId="0" borderId="0" xfId="0" applyNumberFormat="1" applyFont="1" applyBorder="1" applyAlignment="1">
      <alignment horizontal="center" vertical="center"/>
    </xf>
    <xf numFmtId="178" fontId="22" fillId="0" borderId="26" xfId="3" applyNumberFormat="1" applyFont="1" applyFill="1" applyBorder="1" applyAlignment="1">
      <alignment vertical="center"/>
    </xf>
    <xf numFmtId="38" fontId="22" fillId="0" borderId="26" xfId="3" applyNumberFormat="1" applyFont="1" applyFill="1" applyBorder="1" applyAlignment="1">
      <alignment vertical="center"/>
    </xf>
    <xf numFmtId="41" fontId="30" fillId="0" borderId="10" xfId="9" applyFont="1" applyBorder="1" applyAlignment="1">
      <alignment vertical="center"/>
    </xf>
    <xf numFmtId="181" fontId="30" fillId="0" borderId="56" xfId="10" applyNumberFormat="1" applyFont="1" applyBorder="1" applyAlignment="1">
      <alignment vertical="center"/>
    </xf>
    <xf numFmtId="181" fontId="30" fillId="0" borderId="13" xfId="10" applyNumberFormat="1" applyFont="1" applyBorder="1" applyAlignment="1">
      <alignment vertical="center"/>
    </xf>
    <xf numFmtId="181" fontId="30" fillId="0" borderId="37" xfId="10" applyNumberFormat="1" applyFont="1" applyBorder="1" applyAlignment="1">
      <alignment vertical="center"/>
    </xf>
    <xf numFmtId="0" fontId="27" fillId="0" borderId="14" xfId="7" applyFont="1" applyBorder="1" applyAlignment="1">
      <alignment horizontal="center" vertical="center" wrapText="1"/>
    </xf>
    <xf numFmtId="0" fontId="27" fillId="0" borderId="19" xfId="7" applyFont="1" applyBorder="1" applyAlignment="1">
      <alignment horizontal="center" vertical="center" wrapText="1"/>
    </xf>
    <xf numFmtId="41" fontId="30" fillId="0" borderId="19" xfId="9" applyFont="1" applyBorder="1">
      <alignment vertical="center"/>
    </xf>
    <xf numFmtId="181" fontId="30" fillId="0" borderId="41" xfId="10" applyNumberFormat="1" applyFont="1" applyBorder="1">
      <alignment vertical="center"/>
    </xf>
    <xf numFmtId="181" fontId="30" fillId="0" borderId="19" xfId="10" applyNumberFormat="1" applyFont="1" applyBorder="1">
      <alignment vertical="center"/>
    </xf>
    <xf numFmtId="181" fontId="30" fillId="0" borderId="17" xfId="10" applyNumberFormat="1" applyFont="1" applyBorder="1" applyAlignment="1">
      <alignment horizontal="center" vertical="center" wrapText="1"/>
    </xf>
    <xf numFmtId="181" fontId="30" fillId="0" borderId="41" xfId="10" applyNumberFormat="1" applyFont="1" applyBorder="1" applyAlignment="1">
      <alignment vertical="center" wrapText="1"/>
    </xf>
    <xf numFmtId="181" fontId="30" fillId="0" borderId="54" xfId="10" applyNumberFormat="1" applyFont="1" applyBorder="1" applyAlignment="1">
      <alignment vertical="center" wrapText="1"/>
    </xf>
    <xf numFmtId="41" fontId="30" fillId="0" borderId="0" xfId="2" applyFont="1" applyFill="1" applyAlignment="1">
      <alignment vertical="center"/>
    </xf>
    <xf numFmtId="0" fontId="27" fillId="0" borderId="14" xfId="7" applyFont="1" applyBorder="1" applyAlignment="1">
      <alignment horizontal="center" vertical="center"/>
    </xf>
    <xf numFmtId="41" fontId="30" fillId="0" borderId="3" xfId="9" applyFont="1" applyBorder="1">
      <alignment vertical="center"/>
    </xf>
    <xf numFmtId="0" fontId="27" fillId="0" borderId="15" xfId="7" applyFont="1" applyBorder="1" applyAlignment="1">
      <alignment horizontal="center" vertical="center" wrapText="1"/>
    </xf>
    <xf numFmtId="0" fontId="27" fillId="0" borderId="3" xfId="7" applyFont="1" applyBorder="1" applyAlignment="1">
      <alignment horizontal="center" vertical="center" wrapText="1"/>
    </xf>
    <xf numFmtId="181" fontId="30" fillId="0" borderId="3" xfId="10" applyNumberFormat="1" applyFont="1" applyBorder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81" fontId="31" fillId="0" borderId="41" xfId="10" applyNumberFormat="1" applyFont="1" applyBorder="1" applyAlignment="1">
      <alignment vertical="center" wrapText="1"/>
    </xf>
    <xf numFmtId="0" fontId="0" fillId="0" borderId="21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9" fontId="11" fillId="0" borderId="10" xfId="3" applyNumberFormat="1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176" fontId="20" fillId="0" borderId="13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vertical="center" wrapText="1"/>
    </xf>
    <xf numFmtId="0" fontId="11" fillId="0" borderId="10" xfId="3" applyFont="1" applyFill="1" applyBorder="1" applyAlignment="1">
      <alignment vertical="center" wrapText="1"/>
    </xf>
    <xf numFmtId="0" fontId="6" fillId="0" borderId="29" xfId="3" applyFont="1" applyFill="1" applyBorder="1" applyAlignment="1">
      <alignment vertical="center"/>
    </xf>
    <xf numFmtId="0" fontId="6" fillId="0" borderId="35" xfId="3" applyFont="1" applyFill="1" applyBorder="1" applyAlignment="1">
      <alignment vertical="center"/>
    </xf>
    <xf numFmtId="0" fontId="11" fillId="0" borderId="58" xfId="3" applyFont="1" applyFill="1" applyBorder="1" applyAlignment="1">
      <alignment vertical="center" wrapText="1"/>
    </xf>
    <xf numFmtId="176" fontId="6" fillId="0" borderId="5" xfId="3" applyNumberFormat="1" applyFont="1" applyFill="1" applyBorder="1" applyAlignment="1">
      <alignment vertical="center"/>
    </xf>
    <xf numFmtId="176" fontId="11" fillId="0" borderId="0" xfId="3" applyNumberFormat="1" applyFont="1" applyFill="1" applyAlignment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58" xfId="3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81" fontId="30" fillId="0" borderId="60" xfId="10" applyNumberFormat="1" applyFont="1" applyBorder="1" applyAlignment="1">
      <alignment horizontal="center" vertical="center" wrapText="1"/>
    </xf>
    <xf numFmtId="181" fontId="30" fillId="0" borderId="54" xfId="10" applyNumberFormat="1" applyFont="1" applyBorder="1" applyAlignment="1">
      <alignment horizontal="center" vertical="center" wrapText="1"/>
    </xf>
    <xf numFmtId="0" fontId="27" fillId="0" borderId="21" xfId="7" applyFont="1" applyBorder="1" applyAlignment="1">
      <alignment horizontal="center" vertical="center"/>
    </xf>
    <xf numFmtId="0" fontId="13" fillId="0" borderId="33" xfId="3" applyFont="1" applyFill="1" applyBorder="1" applyAlignment="1">
      <alignment vertical="center"/>
    </xf>
    <xf numFmtId="0" fontId="13" fillId="0" borderId="40" xfId="3" applyFont="1" applyFill="1" applyBorder="1" applyAlignment="1">
      <alignment vertical="center"/>
    </xf>
    <xf numFmtId="177" fontId="11" fillId="0" borderId="19" xfId="3" applyNumberFormat="1" applyFont="1" applyFill="1" applyBorder="1" applyAlignment="1">
      <alignment vertical="center"/>
    </xf>
    <xf numFmtId="178" fontId="11" fillId="0" borderId="19" xfId="3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vertical="center"/>
    </xf>
    <xf numFmtId="176" fontId="13" fillId="0" borderId="29" xfId="3" applyNumberFormat="1" applyFont="1" applyFill="1" applyBorder="1" applyAlignment="1">
      <alignment vertical="center"/>
    </xf>
    <xf numFmtId="176" fontId="13" fillId="0" borderId="29" xfId="3" applyNumberFormat="1" applyFont="1" applyFill="1" applyBorder="1" applyAlignment="1">
      <alignment horizontal="right"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23" xfId="3" applyNumberFormat="1" applyFont="1" applyFill="1" applyBorder="1" applyAlignment="1">
      <alignment vertical="center"/>
    </xf>
    <xf numFmtId="41" fontId="11" fillId="0" borderId="0" xfId="3" applyNumberFormat="1" applyFont="1" applyFill="1" applyBorder="1" applyAlignment="1">
      <alignment horizontal="right" vertical="center"/>
    </xf>
    <xf numFmtId="38" fontId="11" fillId="0" borderId="62" xfId="3" applyNumberFormat="1" applyFont="1" applyFill="1" applyBorder="1" applyAlignment="1">
      <alignment vertical="center"/>
    </xf>
    <xf numFmtId="9" fontId="11" fillId="0" borderId="62" xfId="1" applyFont="1" applyFill="1" applyBorder="1" applyAlignment="1">
      <alignment horizontal="center" vertical="center"/>
    </xf>
    <xf numFmtId="0" fontId="11" fillId="0" borderId="62" xfId="3" applyFont="1" applyFill="1" applyBorder="1" applyAlignment="1">
      <alignment vertical="center"/>
    </xf>
    <xf numFmtId="176" fontId="11" fillId="0" borderId="62" xfId="3" applyNumberFormat="1" applyFont="1" applyFill="1" applyBorder="1" applyAlignment="1">
      <alignment vertical="center"/>
    </xf>
    <xf numFmtId="176" fontId="11" fillId="0" borderId="63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1" fontId="29" fillId="0" borderId="0" xfId="2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right" vertical="center"/>
    </xf>
    <xf numFmtId="41" fontId="11" fillId="0" borderId="0" xfId="2" applyFont="1" applyFill="1" applyBorder="1">
      <alignment vertical="center"/>
    </xf>
    <xf numFmtId="181" fontId="30" fillId="0" borderId="4" xfId="10" applyNumberFormat="1" applyFont="1" applyBorder="1" applyAlignment="1">
      <alignment vertical="center" wrapText="1"/>
    </xf>
    <xf numFmtId="0" fontId="11" fillId="0" borderId="0" xfId="3" applyFont="1" applyFill="1" applyBorder="1" applyAlignment="1">
      <alignment vertical="center"/>
    </xf>
    <xf numFmtId="0" fontId="27" fillId="0" borderId="6" xfId="7" applyFont="1" applyBorder="1" applyAlignment="1">
      <alignment horizontal="center" vertical="center" wrapText="1"/>
    </xf>
    <xf numFmtId="41" fontId="30" fillId="0" borderId="6" xfId="9" applyFont="1" applyBorder="1">
      <alignment vertical="center"/>
    </xf>
    <xf numFmtId="181" fontId="30" fillId="0" borderId="6" xfId="10" applyNumberFormat="1" applyFont="1" applyBorder="1">
      <alignment vertical="center"/>
    </xf>
    <xf numFmtId="41" fontId="30" fillId="0" borderId="19" xfId="2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81" fontId="30" fillId="0" borderId="35" xfId="10" applyNumberFormat="1" applyFont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28" fillId="0" borderId="19" xfId="5" applyFont="1" applyBorder="1" applyAlignment="1">
      <alignment horizontal="center" vertical="center" wrapText="1"/>
    </xf>
    <xf numFmtId="0" fontId="28" fillId="0" borderId="49" xfId="5" applyFont="1" applyBorder="1" applyAlignment="1">
      <alignment horizontal="center" vertical="center" wrapText="1"/>
    </xf>
    <xf numFmtId="0" fontId="28" fillId="0" borderId="43" xfId="5" applyFont="1" applyBorder="1" applyAlignment="1">
      <alignment horizontal="center" vertical="center"/>
    </xf>
    <xf numFmtId="0" fontId="28" fillId="0" borderId="7" xfId="5" applyFont="1" applyBorder="1" applyAlignment="1">
      <alignment horizontal="center" vertical="center"/>
    </xf>
    <xf numFmtId="0" fontId="28" fillId="0" borderId="9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28" fillId="0" borderId="14" xfId="5" applyFont="1" applyBorder="1" applyAlignment="1">
      <alignment horizontal="center" vertical="center"/>
    </xf>
    <xf numFmtId="0" fontId="28" fillId="0" borderId="19" xfId="5" applyFont="1" applyBorder="1" applyAlignment="1">
      <alignment horizontal="center" vertical="center"/>
    </xf>
    <xf numFmtId="0" fontId="28" fillId="0" borderId="48" xfId="5" applyFont="1" applyBorder="1" applyAlignment="1">
      <alignment horizontal="center" vertical="center"/>
    </xf>
    <xf numFmtId="0" fontId="28" fillId="0" borderId="49" xfId="5" applyFont="1" applyBorder="1" applyAlignment="1">
      <alignment horizontal="center" vertical="center"/>
    </xf>
    <xf numFmtId="0" fontId="28" fillId="0" borderId="41" xfId="5" applyFont="1" applyBorder="1" applyAlignment="1">
      <alignment horizontal="center" vertical="center"/>
    </xf>
    <xf numFmtId="0" fontId="28" fillId="0" borderId="50" xfId="5" applyFont="1" applyBorder="1" applyAlignment="1">
      <alignment horizontal="center" vertical="center"/>
    </xf>
    <xf numFmtId="0" fontId="28" fillId="0" borderId="17" xfId="5" applyFont="1" applyBorder="1" applyAlignment="1">
      <alignment horizontal="center" vertical="center"/>
    </xf>
    <xf numFmtId="0" fontId="28" fillId="0" borderId="51" xfId="5" applyFont="1" applyBorder="1" applyAlignment="1">
      <alignment horizontal="center" vertical="center"/>
    </xf>
    <xf numFmtId="0" fontId="2" fillId="0" borderId="52" xfId="5" applyFont="1" applyBorder="1" applyAlignment="1">
      <alignment horizontal="center" vertical="center"/>
    </xf>
    <xf numFmtId="0" fontId="2" fillId="0" borderId="30" xfId="5" applyFont="1" applyBorder="1" applyAlignment="1">
      <alignment horizontal="center" vertical="center"/>
    </xf>
    <xf numFmtId="0" fontId="2" fillId="0" borderId="31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46" xfId="5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39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9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61" xfId="3" applyFont="1" applyFill="1" applyBorder="1" applyAlignment="1">
      <alignment horizontal="left" vertical="center" wrapText="1"/>
    </xf>
    <xf numFmtId="0" fontId="11" fillId="0" borderId="62" xfId="3" applyFont="1" applyFill="1" applyBorder="1" applyAlignment="1">
      <alignment horizontal="left" vertical="center" wrapText="1"/>
    </xf>
    <xf numFmtId="0" fontId="13" fillId="0" borderId="33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1" fontId="30" fillId="0" borderId="59" xfId="10" applyNumberFormat="1" applyFont="1" applyBorder="1" applyAlignment="1">
      <alignment horizontal="center" vertical="center" wrapText="1"/>
    </xf>
    <xf numFmtId="181" fontId="30" fillId="0" borderId="60" xfId="10" applyNumberFormat="1" applyFont="1" applyBorder="1" applyAlignment="1">
      <alignment horizontal="center" vertical="center" wrapText="1"/>
    </xf>
    <xf numFmtId="181" fontId="30" fillId="0" borderId="11" xfId="10" applyNumberFormat="1" applyFont="1" applyBorder="1" applyAlignment="1">
      <alignment horizontal="center" vertical="center" wrapText="1"/>
    </xf>
    <xf numFmtId="0" fontId="27" fillId="0" borderId="2" xfId="7" applyFont="1" applyBorder="1" applyAlignment="1">
      <alignment horizontal="center" vertical="center"/>
    </xf>
    <xf numFmtId="0" fontId="27" fillId="0" borderId="32" xfId="7" applyFont="1" applyBorder="1" applyAlignment="1">
      <alignment horizontal="center" vertical="center"/>
    </xf>
    <xf numFmtId="0" fontId="27" fillId="0" borderId="16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 wrapText="1"/>
    </xf>
    <xf numFmtId="0" fontId="27" fillId="0" borderId="26" xfId="7" applyFont="1" applyBorder="1" applyAlignment="1">
      <alignment horizontal="center" vertical="center" wrapText="1"/>
    </xf>
    <xf numFmtId="0" fontId="27" fillId="0" borderId="10" xfId="7" applyFont="1" applyBorder="1" applyAlignment="1">
      <alignment horizontal="center" vertical="center" wrapText="1"/>
    </xf>
    <xf numFmtId="0" fontId="27" fillId="0" borderId="10" xfId="7" applyFont="1" applyBorder="1" applyAlignment="1">
      <alignment horizontal="center" vertical="center"/>
    </xf>
    <xf numFmtId="0" fontId="27" fillId="0" borderId="2" xfId="7" applyFont="1" applyBorder="1" applyAlignment="1">
      <alignment horizontal="center" vertical="center" wrapText="1"/>
    </xf>
    <xf numFmtId="0" fontId="27" fillId="0" borderId="32" xfId="7" applyFont="1" applyBorder="1" applyAlignment="1">
      <alignment horizontal="center" vertical="center" wrapText="1"/>
    </xf>
    <xf numFmtId="0" fontId="27" fillId="0" borderId="16" xfId="7" applyFont="1" applyBorder="1" applyAlignment="1">
      <alignment horizontal="center" vertical="center" wrapText="1"/>
    </xf>
    <xf numFmtId="41" fontId="30" fillId="0" borderId="1" xfId="9" applyFont="1" applyBorder="1" applyAlignment="1">
      <alignment horizontal="center" vertical="center"/>
    </xf>
    <xf numFmtId="41" fontId="30" fillId="0" borderId="26" xfId="9" applyFont="1" applyBorder="1" applyAlignment="1">
      <alignment horizontal="center" vertical="center"/>
    </xf>
    <xf numFmtId="41" fontId="30" fillId="0" borderId="10" xfId="9" applyFont="1" applyBorder="1" applyAlignment="1">
      <alignment horizontal="center" vertical="center"/>
    </xf>
    <xf numFmtId="181" fontId="30" fillId="0" borderId="1" xfId="10" applyNumberFormat="1" applyFont="1" applyBorder="1" applyAlignment="1">
      <alignment horizontal="center" vertical="center"/>
    </xf>
    <xf numFmtId="181" fontId="30" fillId="0" borderId="26" xfId="10" applyNumberFormat="1" applyFont="1" applyBorder="1" applyAlignment="1">
      <alignment horizontal="center" vertical="center"/>
    </xf>
    <xf numFmtId="181" fontId="30" fillId="0" borderId="10" xfId="10" applyNumberFormat="1" applyFont="1" applyBorder="1" applyAlignment="1">
      <alignment horizontal="center" vertical="center"/>
    </xf>
    <xf numFmtId="0" fontId="27" fillId="0" borderId="58" xfId="7" applyFont="1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7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32" fillId="0" borderId="14" xfId="7" applyFont="1" applyBorder="1" applyAlignment="1">
      <alignment horizontal="center" vertical="center"/>
    </xf>
    <xf numFmtId="0" fontId="32" fillId="0" borderId="19" xfId="7" applyFont="1" applyBorder="1" applyAlignment="1">
      <alignment horizontal="center" vertical="center"/>
    </xf>
    <xf numFmtId="0" fontId="32" fillId="0" borderId="48" xfId="7" applyFont="1" applyBorder="1" applyAlignment="1">
      <alignment horizontal="center" vertical="center"/>
    </xf>
    <xf numFmtId="0" fontId="32" fillId="0" borderId="49" xfId="7" applyFont="1" applyBorder="1" applyAlignment="1">
      <alignment horizontal="center" vertical="center"/>
    </xf>
    <xf numFmtId="0" fontId="32" fillId="0" borderId="19" xfId="8" applyFont="1" applyBorder="1" applyAlignment="1">
      <alignment horizontal="center" vertical="center" wrapText="1"/>
    </xf>
    <xf numFmtId="0" fontId="32" fillId="0" borderId="49" xfId="8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 wrapText="1"/>
    </xf>
    <xf numFmtId="0" fontId="32" fillId="0" borderId="55" xfId="7" applyFont="1" applyBorder="1" applyAlignment="1">
      <alignment horizontal="center" vertical="center" wrapText="1"/>
    </xf>
    <xf numFmtId="0" fontId="32" fillId="0" borderId="41" xfId="7" applyFont="1" applyBorder="1" applyAlignment="1">
      <alignment horizontal="center" vertical="center"/>
    </xf>
    <xf numFmtId="0" fontId="32" fillId="0" borderId="50" xfId="7" applyFont="1" applyBorder="1" applyAlignment="1">
      <alignment horizontal="center" vertical="center"/>
    </xf>
    <xf numFmtId="0" fontId="32" fillId="0" borderId="54" xfId="7" applyFont="1" applyBorder="1" applyAlignment="1">
      <alignment horizontal="center" vertical="center"/>
    </xf>
    <xf numFmtId="0" fontId="32" fillId="0" borderId="57" xfId="7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4"/>
  <sheetViews>
    <sheetView tabSelected="1" topLeftCell="C1" workbookViewId="0">
      <selection activeCell="H4" sqref="H4:L4"/>
    </sheetView>
  </sheetViews>
  <sheetFormatPr defaultRowHeight="16.5"/>
  <cols>
    <col min="1" max="1" width="1.33203125" style="167" customWidth="1"/>
    <col min="2" max="2" width="11.5546875" style="167" hidden="1" customWidth="1"/>
    <col min="3" max="3" width="13.33203125" style="167" bestFit="1" customWidth="1"/>
    <col min="4" max="4" width="15.44140625" style="167" bestFit="1" customWidth="1"/>
    <col min="5" max="5" width="14.88671875" style="167" customWidth="1"/>
    <col min="6" max="6" width="15.109375" style="167" customWidth="1"/>
    <col min="7" max="7" width="11.44140625" style="167" customWidth="1"/>
    <col min="8" max="8" width="11.33203125" style="167" customWidth="1"/>
    <col min="9" max="9" width="14.6640625" style="167" customWidth="1"/>
    <col min="10" max="10" width="12" style="167" customWidth="1"/>
    <col min="11" max="11" width="15.5546875" style="167" customWidth="1"/>
    <col min="12" max="12" width="11.5546875" style="167" customWidth="1"/>
    <col min="13" max="16384" width="8.88671875" style="167"/>
  </cols>
  <sheetData>
    <row r="1" spans="2:13" ht="9.9499999999999993" customHeight="1"/>
    <row r="2" spans="2:13" ht="26.25">
      <c r="B2" s="259"/>
      <c r="C2" s="168" t="s">
        <v>240</v>
      </c>
      <c r="D2" s="259"/>
      <c r="E2" s="259"/>
      <c r="F2" s="259"/>
      <c r="G2" s="259"/>
      <c r="H2" s="259"/>
      <c r="I2" s="259"/>
      <c r="J2" s="259"/>
      <c r="K2" s="259"/>
      <c r="L2" s="169" t="s">
        <v>241</v>
      </c>
      <c r="M2" s="259"/>
    </row>
    <row r="3" spans="2:13" ht="9.9499999999999993" customHeight="1" thickBot="1"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</row>
    <row r="4" spans="2:13" ht="30" customHeight="1">
      <c r="B4" s="259"/>
      <c r="C4" s="389" t="s">
        <v>242</v>
      </c>
      <c r="D4" s="390"/>
      <c r="E4" s="390"/>
      <c r="F4" s="390"/>
      <c r="G4" s="391"/>
      <c r="H4" s="389" t="s">
        <v>243</v>
      </c>
      <c r="I4" s="390"/>
      <c r="J4" s="390"/>
      <c r="K4" s="390"/>
      <c r="L4" s="392"/>
      <c r="M4" s="259"/>
    </row>
    <row r="5" spans="2:13" ht="16.5" customHeight="1">
      <c r="B5" s="259"/>
      <c r="C5" s="393" t="s">
        <v>244</v>
      </c>
      <c r="D5" s="394"/>
      <c r="E5" s="387" t="s">
        <v>445</v>
      </c>
      <c r="F5" s="387" t="s">
        <v>446</v>
      </c>
      <c r="G5" s="397" t="s">
        <v>245</v>
      </c>
      <c r="H5" s="393" t="s">
        <v>244</v>
      </c>
      <c r="I5" s="394"/>
      <c r="J5" s="387" t="s">
        <v>447</v>
      </c>
      <c r="K5" s="387" t="s">
        <v>446</v>
      </c>
      <c r="L5" s="399" t="s">
        <v>245</v>
      </c>
      <c r="M5" s="259"/>
    </row>
    <row r="6" spans="2:13" ht="22.5" customHeight="1" thickBot="1">
      <c r="B6" s="259"/>
      <c r="C6" s="395"/>
      <c r="D6" s="396"/>
      <c r="E6" s="388"/>
      <c r="F6" s="388"/>
      <c r="G6" s="398"/>
      <c r="H6" s="395"/>
      <c r="I6" s="396"/>
      <c r="J6" s="388"/>
      <c r="K6" s="388"/>
      <c r="L6" s="400"/>
      <c r="M6" s="259"/>
    </row>
    <row r="7" spans="2:13" ht="24.95" customHeight="1" thickTop="1">
      <c r="B7" s="259"/>
      <c r="C7" s="410" t="s">
        <v>246</v>
      </c>
      <c r="D7" s="411"/>
      <c r="E7" s="170">
        <f>SUM(E8:E16)</f>
        <v>61753280</v>
      </c>
      <c r="F7" s="170">
        <f>SUM(F8:F16)</f>
        <v>65458400</v>
      </c>
      <c r="G7" s="171">
        <f>SUM(G8:G16)</f>
        <v>3705120</v>
      </c>
      <c r="H7" s="410" t="s">
        <v>246</v>
      </c>
      <c r="I7" s="411"/>
      <c r="J7" s="170">
        <f>SUM(J8:J23)</f>
        <v>61753280</v>
      </c>
      <c r="K7" s="170">
        <f>SUM(K8:K23)</f>
        <v>65458400</v>
      </c>
      <c r="L7" s="172">
        <f>SUM(L8:L23)</f>
        <v>3705120</v>
      </c>
      <c r="M7" s="259"/>
    </row>
    <row r="8" spans="2:13" ht="24.95" customHeight="1">
      <c r="B8" s="259"/>
      <c r="C8" s="260" t="s">
        <v>247</v>
      </c>
      <c r="D8" s="261" t="s">
        <v>248</v>
      </c>
      <c r="E8" s="173">
        <v>9000000</v>
      </c>
      <c r="F8" s="173">
        <v>9000000</v>
      </c>
      <c r="G8" s="174">
        <f>F8-E8</f>
        <v>0</v>
      </c>
      <c r="H8" s="412" t="s">
        <v>249</v>
      </c>
      <c r="I8" s="261" t="s">
        <v>250</v>
      </c>
      <c r="J8" s="173">
        <v>36486390</v>
      </c>
      <c r="K8" s="173">
        <v>41387020</v>
      </c>
      <c r="L8" s="175">
        <f>K8-J8</f>
        <v>4900630</v>
      </c>
      <c r="M8" s="259"/>
    </row>
    <row r="9" spans="2:13" ht="24.95" customHeight="1">
      <c r="B9" s="259"/>
      <c r="C9" s="414" t="s">
        <v>251</v>
      </c>
      <c r="D9" s="261" t="s">
        <v>252</v>
      </c>
      <c r="E9" s="173">
        <v>47633000</v>
      </c>
      <c r="F9" s="173">
        <v>50633000</v>
      </c>
      <c r="G9" s="174">
        <f t="shared" ref="G9:G16" si="0">F9-E9</f>
        <v>3000000</v>
      </c>
      <c r="H9" s="413"/>
      <c r="I9" s="261" t="s">
        <v>253</v>
      </c>
      <c r="J9" s="173">
        <v>0</v>
      </c>
      <c r="K9" s="173">
        <v>0</v>
      </c>
      <c r="L9" s="175">
        <f>K9-J9</f>
        <v>0</v>
      </c>
      <c r="M9" s="259"/>
    </row>
    <row r="10" spans="2:13" ht="24.95" customHeight="1">
      <c r="B10" s="259"/>
      <c r="C10" s="414"/>
      <c r="D10" s="261" t="s">
        <v>254</v>
      </c>
      <c r="E10" s="173">
        <v>0</v>
      </c>
      <c r="F10" s="173">
        <v>0</v>
      </c>
      <c r="G10" s="174">
        <f t="shared" si="0"/>
        <v>0</v>
      </c>
      <c r="H10" s="413"/>
      <c r="I10" s="261" t="s">
        <v>255</v>
      </c>
      <c r="J10" s="173">
        <v>60000</v>
      </c>
      <c r="K10" s="173">
        <v>80000</v>
      </c>
      <c r="L10" s="175">
        <f t="shared" ref="L10:L22" si="1">K10-J10</f>
        <v>20000</v>
      </c>
      <c r="M10" s="259"/>
    </row>
    <row r="11" spans="2:13" ht="24.95" customHeight="1">
      <c r="B11" s="259"/>
      <c r="C11" s="414"/>
      <c r="D11" s="261" t="s">
        <v>256</v>
      </c>
      <c r="E11" s="173">
        <v>0</v>
      </c>
      <c r="F11" s="173">
        <v>0</v>
      </c>
      <c r="G11" s="174">
        <f t="shared" si="0"/>
        <v>0</v>
      </c>
      <c r="H11" s="410"/>
      <c r="I11" s="261" t="s">
        <v>257</v>
      </c>
      <c r="J11" s="173">
        <v>4875000</v>
      </c>
      <c r="K11" s="173">
        <v>5441990</v>
      </c>
      <c r="L11" s="175">
        <f t="shared" si="1"/>
        <v>566990</v>
      </c>
      <c r="M11" s="259"/>
    </row>
    <row r="12" spans="2:13" ht="24.95" customHeight="1">
      <c r="B12" s="259"/>
      <c r="C12" s="414" t="s">
        <v>258</v>
      </c>
      <c r="D12" s="261" t="s">
        <v>259</v>
      </c>
      <c r="E12" s="173">
        <v>0</v>
      </c>
      <c r="F12" s="173">
        <v>0</v>
      </c>
      <c r="G12" s="174">
        <f>F12-E12</f>
        <v>0</v>
      </c>
      <c r="H12" s="412" t="s">
        <v>260</v>
      </c>
      <c r="I12" s="261" t="s">
        <v>261</v>
      </c>
      <c r="J12" s="173">
        <v>0</v>
      </c>
      <c r="K12" s="173">
        <v>0</v>
      </c>
      <c r="L12" s="175">
        <f t="shared" si="1"/>
        <v>0</v>
      </c>
      <c r="M12" s="259"/>
    </row>
    <row r="13" spans="2:13" ht="24.95" customHeight="1">
      <c r="B13" s="259"/>
      <c r="C13" s="414"/>
      <c r="D13" s="261" t="s">
        <v>262</v>
      </c>
      <c r="E13" s="173">
        <v>0</v>
      </c>
      <c r="F13" s="173">
        <v>200000</v>
      </c>
      <c r="G13" s="174">
        <f t="shared" si="0"/>
        <v>200000</v>
      </c>
      <c r="H13" s="413"/>
      <c r="I13" s="261" t="s">
        <v>263</v>
      </c>
      <c r="J13" s="173">
        <v>0</v>
      </c>
      <c r="K13" s="173">
        <v>1350000</v>
      </c>
      <c r="L13" s="175">
        <f t="shared" si="1"/>
        <v>1350000</v>
      </c>
      <c r="M13" s="259"/>
    </row>
    <row r="14" spans="2:13" ht="24.95" customHeight="1">
      <c r="B14" s="259"/>
      <c r="C14" s="260" t="s">
        <v>264</v>
      </c>
      <c r="D14" s="261" t="s">
        <v>265</v>
      </c>
      <c r="E14" s="264">
        <v>4413690</v>
      </c>
      <c r="F14" s="264">
        <v>4818810</v>
      </c>
      <c r="G14" s="174">
        <f t="shared" si="0"/>
        <v>405120</v>
      </c>
      <c r="H14" s="410"/>
      <c r="I14" s="261" t="s">
        <v>266</v>
      </c>
      <c r="J14" s="173">
        <v>0</v>
      </c>
      <c r="K14" s="173">
        <v>1960000</v>
      </c>
      <c r="L14" s="175">
        <f t="shared" si="1"/>
        <v>1960000</v>
      </c>
      <c r="M14" s="259"/>
    </row>
    <row r="15" spans="2:13" ht="24.95" customHeight="1">
      <c r="B15" s="259"/>
      <c r="C15" s="260" t="s">
        <v>267</v>
      </c>
      <c r="D15" s="261" t="s">
        <v>268</v>
      </c>
      <c r="E15" s="173">
        <v>698590</v>
      </c>
      <c r="F15" s="173">
        <v>798590</v>
      </c>
      <c r="G15" s="174">
        <f t="shared" si="0"/>
        <v>100000</v>
      </c>
      <c r="H15" s="412" t="s">
        <v>269</v>
      </c>
      <c r="I15" s="261" t="s">
        <v>270</v>
      </c>
      <c r="J15" s="173">
        <v>11427800</v>
      </c>
      <c r="K15" s="173">
        <v>8939000</v>
      </c>
      <c r="L15" s="175">
        <f t="shared" si="1"/>
        <v>-2488800</v>
      </c>
      <c r="M15" s="259"/>
    </row>
    <row r="16" spans="2:13" ht="24.95" customHeight="1">
      <c r="B16" s="259"/>
      <c r="C16" s="260" t="s">
        <v>271</v>
      </c>
      <c r="D16" s="261" t="s">
        <v>272</v>
      </c>
      <c r="E16" s="173">
        <v>8000</v>
      </c>
      <c r="F16" s="173">
        <v>8000</v>
      </c>
      <c r="G16" s="174">
        <f t="shared" si="0"/>
        <v>0</v>
      </c>
      <c r="H16" s="413"/>
      <c r="I16" s="261" t="s">
        <v>273</v>
      </c>
      <c r="J16" s="173">
        <v>609200</v>
      </c>
      <c r="K16" s="173">
        <v>636000</v>
      </c>
      <c r="L16" s="175">
        <f t="shared" si="1"/>
        <v>26800</v>
      </c>
      <c r="M16" s="259"/>
    </row>
    <row r="17" spans="2:13" ht="24.95" customHeight="1">
      <c r="B17" s="259"/>
      <c r="C17" s="401"/>
      <c r="D17" s="402"/>
      <c r="E17" s="402"/>
      <c r="F17" s="402"/>
      <c r="G17" s="403"/>
      <c r="H17" s="413"/>
      <c r="I17" s="261" t="s">
        <v>274</v>
      </c>
      <c r="J17" s="173">
        <v>500000</v>
      </c>
      <c r="K17" s="173">
        <v>500000</v>
      </c>
      <c r="L17" s="175">
        <f t="shared" si="1"/>
        <v>0</v>
      </c>
      <c r="M17" s="259"/>
    </row>
    <row r="18" spans="2:13" ht="24.95" customHeight="1">
      <c r="B18" s="259"/>
      <c r="C18" s="404"/>
      <c r="D18" s="405"/>
      <c r="E18" s="405"/>
      <c r="F18" s="405"/>
      <c r="G18" s="406"/>
      <c r="H18" s="413"/>
      <c r="I18" s="261" t="s">
        <v>275</v>
      </c>
      <c r="J18" s="173">
        <v>500000</v>
      </c>
      <c r="K18" s="173">
        <v>400000</v>
      </c>
      <c r="L18" s="175">
        <f t="shared" si="1"/>
        <v>-100000</v>
      </c>
      <c r="M18" s="259"/>
    </row>
    <row r="19" spans="2:13" ht="24.95" customHeight="1">
      <c r="B19" s="259"/>
      <c r="C19" s="404"/>
      <c r="D19" s="405"/>
      <c r="E19" s="405"/>
      <c r="F19" s="405"/>
      <c r="G19" s="406"/>
      <c r="H19" s="413"/>
      <c r="I19" s="261" t="s">
        <v>276</v>
      </c>
      <c r="J19" s="173">
        <v>84000</v>
      </c>
      <c r="K19" s="173">
        <v>84000</v>
      </c>
      <c r="L19" s="175">
        <f t="shared" si="1"/>
        <v>0</v>
      </c>
      <c r="M19" s="259"/>
    </row>
    <row r="20" spans="2:13" ht="24.95" customHeight="1">
      <c r="B20" s="259"/>
      <c r="C20" s="404"/>
      <c r="D20" s="405"/>
      <c r="E20" s="405"/>
      <c r="F20" s="405"/>
      <c r="G20" s="406"/>
      <c r="H20" s="410"/>
      <c r="I20" s="261" t="s">
        <v>277</v>
      </c>
      <c r="J20" s="173">
        <v>7204000</v>
      </c>
      <c r="K20" s="173">
        <v>4673500</v>
      </c>
      <c r="L20" s="175">
        <f t="shared" si="1"/>
        <v>-2530500</v>
      </c>
      <c r="M20" s="259"/>
    </row>
    <row r="21" spans="2:13" ht="24.95" customHeight="1">
      <c r="B21" s="259"/>
      <c r="C21" s="404"/>
      <c r="D21" s="405"/>
      <c r="E21" s="405"/>
      <c r="F21" s="405"/>
      <c r="G21" s="406"/>
      <c r="H21" s="260" t="s">
        <v>278</v>
      </c>
      <c r="I21" s="261" t="s">
        <v>279</v>
      </c>
      <c r="J21" s="173">
        <v>6890</v>
      </c>
      <c r="K21" s="173">
        <v>6890</v>
      </c>
      <c r="L21" s="175">
        <f t="shared" si="1"/>
        <v>0</v>
      </c>
      <c r="M21" s="259"/>
    </row>
    <row r="22" spans="2:13" ht="24.95" customHeight="1">
      <c r="B22" s="259"/>
      <c r="C22" s="404"/>
      <c r="D22" s="405"/>
      <c r="E22" s="405"/>
      <c r="F22" s="405"/>
      <c r="G22" s="406"/>
      <c r="H22" s="260" t="s">
        <v>280</v>
      </c>
      <c r="I22" s="261" t="s">
        <v>281</v>
      </c>
      <c r="J22" s="173">
        <v>0</v>
      </c>
      <c r="K22" s="173">
        <v>0</v>
      </c>
      <c r="L22" s="175">
        <f t="shared" si="1"/>
        <v>0</v>
      </c>
      <c r="M22" s="259"/>
    </row>
    <row r="23" spans="2:13" ht="17.25" thickBot="1">
      <c r="B23" s="259"/>
      <c r="C23" s="407"/>
      <c r="D23" s="408"/>
      <c r="E23" s="408"/>
      <c r="F23" s="408"/>
      <c r="G23" s="409"/>
      <c r="H23" s="262" t="s">
        <v>282</v>
      </c>
      <c r="I23" s="263" t="s">
        <v>283</v>
      </c>
      <c r="J23" s="176">
        <v>0</v>
      </c>
      <c r="K23" s="176">
        <v>0</v>
      </c>
      <c r="L23" s="177">
        <f>K23-J23</f>
        <v>0</v>
      </c>
      <c r="M23" s="259"/>
    </row>
    <row r="24" spans="2:13"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</row>
  </sheetData>
  <mergeCells count="18">
    <mergeCell ref="C17:G23"/>
    <mergeCell ref="C7:D7"/>
    <mergeCell ref="H7:I7"/>
    <mergeCell ref="H8:H11"/>
    <mergeCell ref="C9:C11"/>
    <mergeCell ref="C12:C13"/>
    <mergeCell ref="H12:H14"/>
    <mergeCell ref="H15:H20"/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</mergeCells>
  <phoneticPr fontId="5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63"/>
  <sheetViews>
    <sheetView showRuler="0" topLeftCell="C1" zoomScaleNormal="100" zoomScaleSheetLayoutView="85" workbookViewId="0">
      <selection activeCell="AC6" sqref="AC6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" style="10" bestFit="1" customWidth="1"/>
    <col min="8" max="8" width="6.21875" style="10" bestFit="1" customWidth="1"/>
    <col min="9" max="10" width="6.109375" style="10" customWidth="1"/>
    <col min="11" max="11" width="6.88671875" style="10" bestFit="1" customWidth="1"/>
    <col min="12" max="12" width="7.44140625" style="11" customWidth="1"/>
    <col min="13" max="13" width="6" style="13" customWidth="1"/>
    <col min="14" max="14" width="19.77734375" style="1" customWidth="1"/>
    <col min="15" max="15" width="3.88671875" style="2" customWidth="1"/>
    <col min="16" max="16" width="2.77734375" style="2" customWidth="1"/>
    <col min="17" max="17" width="2.6640625" style="2" customWidth="1"/>
    <col min="18" max="18" width="10" style="2" bestFit="1" customWidth="1"/>
    <col min="19" max="19" width="3.109375" style="2" customWidth="1"/>
    <col min="20" max="20" width="3.88671875" style="2" bestFit="1" customWidth="1"/>
    <col min="21" max="21" width="5.33203125" style="2" bestFit="1" customWidth="1"/>
    <col min="22" max="22" width="4.88671875" style="2" customWidth="1"/>
    <col min="23" max="23" width="4.77734375" style="2" bestFit="1" customWidth="1"/>
    <col min="24" max="24" width="5.44140625" style="2" bestFit="1" customWidth="1"/>
    <col min="25" max="25" width="3.88671875" style="2" bestFit="1" customWidth="1"/>
    <col min="26" max="26" width="2.109375" style="2" bestFit="1" customWidth="1"/>
    <col min="27" max="27" width="3.44140625" style="2" customWidth="1"/>
    <col min="28" max="28" width="2.5546875" style="2" customWidth="1"/>
    <col min="29" max="29" width="11.33203125" style="2" bestFit="1" customWidth="1"/>
    <col min="30" max="30" width="2.77734375" style="2" customWidth="1"/>
    <col min="31" max="31" width="13.77734375" style="6"/>
    <col min="32" max="16384" width="13.77734375" style="1"/>
  </cols>
  <sheetData>
    <row r="1" spans="1:31" s="12" customFormat="1" ht="19.5" customHeight="1" thickBot="1">
      <c r="A1" s="425" t="s">
        <v>352</v>
      </c>
      <c r="B1" s="425"/>
      <c r="C1" s="425"/>
      <c r="D1" s="10"/>
      <c r="E1" s="10"/>
      <c r="F1" s="10"/>
      <c r="G1" s="10"/>
      <c r="H1" s="10"/>
      <c r="I1" s="10"/>
      <c r="J1" s="10"/>
      <c r="K1" s="10"/>
      <c r="L1" s="11"/>
      <c r="M1" s="13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6"/>
    </row>
    <row r="2" spans="1:31" s="3" customFormat="1" ht="27" customHeight="1">
      <c r="A2" s="426" t="s">
        <v>66</v>
      </c>
      <c r="B2" s="427"/>
      <c r="C2" s="427"/>
      <c r="D2" s="428" t="s">
        <v>374</v>
      </c>
      <c r="E2" s="430" t="s">
        <v>373</v>
      </c>
      <c r="F2" s="431"/>
      <c r="G2" s="431"/>
      <c r="H2" s="431"/>
      <c r="I2" s="431"/>
      <c r="J2" s="431"/>
      <c r="K2" s="431"/>
      <c r="L2" s="418" t="s">
        <v>23</v>
      </c>
      <c r="M2" s="418"/>
      <c r="N2" s="419" t="s">
        <v>56</v>
      </c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1"/>
      <c r="AE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429"/>
      <c r="E3" s="180" t="s">
        <v>124</v>
      </c>
      <c r="F3" s="309" t="s">
        <v>353</v>
      </c>
      <c r="G3" s="232" t="s">
        <v>170</v>
      </c>
      <c r="H3" s="180" t="s">
        <v>113</v>
      </c>
      <c r="I3" s="265" t="s">
        <v>290</v>
      </c>
      <c r="J3" s="333" t="s">
        <v>371</v>
      </c>
      <c r="K3" s="180" t="s">
        <v>115</v>
      </c>
      <c r="L3" s="188" t="s">
        <v>125</v>
      </c>
      <c r="M3" s="27" t="s">
        <v>4</v>
      </c>
      <c r="N3" s="422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4"/>
      <c r="AE3" s="9"/>
    </row>
    <row r="4" spans="1:31" s="3" customFormat="1" ht="29.25" customHeight="1">
      <c r="A4" s="432" t="s">
        <v>24</v>
      </c>
      <c r="B4" s="433"/>
      <c r="C4" s="434"/>
      <c r="D4" s="28">
        <f>SUM(D5,D9,D22,D28,D32,D38)</f>
        <v>70106</v>
      </c>
      <c r="E4" s="83">
        <f>(F4+G4+H4+I4+K4+J4)</f>
        <v>66330.328999999998</v>
      </c>
      <c r="F4" s="28">
        <f>SUM(F5,F11,F16,F22,F28,F32,F38)</f>
        <v>48141.726000000002</v>
      </c>
      <c r="G4" s="28">
        <f>SUM(G9,G5,G16,G22,G28,G32,G38,)</f>
        <v>1400</v>
      </c>
      <c r="H4" s="28">
        <f>H5+H9+H22+H32+H38</f>
        <v>12024.477000000001</v>
      </c>
      <c r="I4" s="28">
        <f>I5+I9+I22+I28+I32+I38</f>
        <v>613.15499999999997</v>
      </c>
      <c r="J4" s="28">
        <f>J5+J9+J22+J28+J32+J38</f>
        <v>3</v>
      </c>
      <c r="K4" s="28">
        <f>K5+K9+K22+K32+K38</f>
        <v>4147.9709999999995</v>
      </c>
      <c r="L4" s="29">
        <f>E4-D4</f>
        <v>-3775.6710000000021</v>
      </c>
      <c r="M4" s="45">
        <f>IF(D4=0,0,L4/D4)</f>
        <v>-5.3856602858528543E-2</v>
      </c>
      <c r="N4" s="30" t="s">
        <v>214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2">
        <f>SUM(AC5,AC9,AC22,AC32,AC38,AC28)</f>
        <v>66330329</v>
      </c>
      <c r="AD4" s="33" t="s">
        <v>213</v>
      </c>
      <c r="AE4" s="9"/>
    </row>
    <row r="5" spans="1:31" ht="21" customHeight="1" thickBot="1">
      <c r="A5" s="41" t="s">
        <v>61</v>
      </c>
      <c r="B5" s="42" t="s">
        <v>61</v>
      </c>
      <c r="C5" s="181" t="s">
        <v>123</v>
      </c>
      <c r="D5" s="43">
        <v>7200</v>
      </c>
      <c r="E5" s="43">
        <f>SUM(F5:K5)</f>
        <v>11998.637000000001</v>
      </c>
      <c r="F5" s="43">
        <v>0</v>
      </c>
      <c r="G5" s="43">
        <v>0</v>
      </c>
      <c r="H5" s="43">
        <f>AC5/1000</f>
        <v>11998.637000000001</v>
      </c>
      <c r="I5" s="43"/>
      <c r="J5" s="43"/>
      <c r="K5" s="43">
        <v>0</v>
      </c>
      <c r="L5" s="44">
        <f>E5-D5</f>
        <v>4798.6370000000006</v>
      </c>
      <c r="M5" s="45">
        <f>IF(D5=0,0,L5/D5)</f>
        <v>0.66647736111111122</v>
      </c>
      <c r="N5" s="46" t="s">
        <v>354</v>
      </c>
      <c r="O5" s="178"/>
      <c r="P5" s="47"/>
      <c r="Q5" s="47"/>
      <c r="R5" s="47"/>
      <c r="S5" s="47"/>
      <c r="T5" s="47"/>
      <c r="U5" s="48"/>
      <c r="V5" s="48" t="s">
        <v>64</v>
      </c>
      <c r="W5" s="48"/>
      <c r="X5" s="48"/>
      <c r="Y5" s="48"/>
      <c r="Z5" s="48"/>
      <c r="AA5" s="48"/>
      <c r="AB5" s="49"/>
      <c r="AC5" s="49">
        <f>AC6+AC7</f>
        <v>11998637</v>
      </c>
      <c r="AD5" s="50" t="s">
        <v>25</v>
      </c>
    </row>
    <row r="6" spans="1:31" ht="21" customHeight="1">
      <c r="A6" s="51" t="s">
        <v>62</v>
      </c>
      <c r="B6" s="335" t="s">
        <v>114</v>
      </c>
      <c r="C6" s="53" t="s">
        <v>114</v>
      </c>
      <c r="D6" s="54"/>
      <c r="E6" s="54"/>
      <c r="F6" s="54"/>
      <c r="G6" s="54"/>
      <c r="H6" s="54"/>
      <c r="I6" s="54"/>
      <c r="J6" s="54"/>
      <c r="K6" s="54"/>
      <c r="L6" s="55"/>
      <c r="M6" s="37"/>
      <c r="N6" s="58" t="s">
        <v>355</v>
      </c>
      <c r="O6" s="59"/>
      <c r="P6" s="60"/>
      <c r="Q6" s="60"/>
      <c r="R6" s="340">
        <v>150000</v>
      </c>
      <c r="S6" s="340" t="s">
        <v>58</v>
      </c>
      <c r="T6" s="341" t="s">
        <v>59</v>
      </c>
      <c r="U6" s="340">
        <v>4</v>
      </c>
      <c r="V6" s="340" t="s">
        <v>57</v>
      </c>
      <c r="W6" s="341" t="s">
        <v>59</v>
      </c>
      <c r="X6" s="61">
        <v>12</v>
      </c>
      <c r="Y6" s="229" t="s">
        <v>0</v>
      </c>
      <c r="Z6" s="229" t="s">
        <v>54</v>
      </c>
      <c r="AA6" s="229"/>
      <c r="AB6" s="340"/>
      <c r="AC6" s="340">
        <f>R6*U6*X6</f>
        <v>7200000</v>
      </c>
      <c r="AD6" s="62" t="s">
        <v>58</v>
      </c>
    </row>
    <row r="7" spans="1:31" ht="21" customHeight="1">
      <c r="A7" s="51"/>
      <c r="B7" s="335"/>
      <c r="C7" s="53"/>
      <c r="D7" s="54"/>
      <c r="E7" s="54"/>
      <c r="F7" s="54"/>
      <c r="G7" s="54"/>
      <c r="H7" s="54"/>
      <c r="I7" s="54"/>
      <c r="J7" s="54"/>
      <c r="K7" s="54"/>
      <c r="L7" s="55"/>
      <c r="M7" s="37"/>
      <c r="N7" s="58" t="s">
        <v>359</v>
      </c>
      <c r="O7" s="59"/>
      <c r="P7" s="60"/>
      <c r="Q7" s="60"/>
      <c r="R7" s="340">
        <v>4798637</v>
      </c>
      <c r="S7" s="340" t="s">
        <v>58</v>
      </c>
      <c r="T7" s="341" t="s">
        <v>59</v>
      </c>
      <c r="U7" s="340">
        <v>1</v>
      </c>
      <c r="V7" s="340" t="s">
        <v>57</v>
      </c>
      <c r="W7" s="341" t="s">
        <v>59</v>
      </c>
      <c r="X7" s="61">
        <v>1</v>
      </c>
      <c r="Y7" s="229" t="s">
        <v>0</v>
      </c>
      <c r="Z7" s="229" t="s">
        <v>54</v>
      </c>
      <c r="AA7" s="229"/>
      <c r="AB7" s="340"/>
      <c r="AC7" s="340">
        <f>R7*U7*X7</f>
        <v>4798637</v>
      </c>
      <c r="AD7" s="62" t="s">
        <v>58</v>
      </c>
    </row>
    <row r="8" spans="1:31" ht="21" customHeight="1">
      <c r="A8" s="51"/>
      <c r="B8" s="52"/>
      <c r="C8" s="53"/>
      <c r="D8" s="54"/>
      <c r="E8" s="54"/>
      <c r="F8" s="54"/>
      <c r="G8" s="54"/>
      <c r="H8" s="54"/>
      <c r="I8" s="54"/>
      <c r="J8" s="54"/>
      <c r="K8" s="54"/>
      <c r="L8" s="55"/>
      <c r="M8" s="37"/>
      <c r="N8" s="58"/>
      <c r="O8" s="59"/>
      <c r="P8" s="60"/>
      <c r="Q8" s="60"/>
      <c r="R8" s="182"/>
      <c r="S8" s="182"/>
      <c r="T8" s="183"/>
      <c r="U8" s="182"/>
      <c r="V8" s="182"/>
      <c r="W8" s="183"/>
      <c r="X8" s="61"/>
      <c r="Y8" s="179"/>
      <c r="Z8" s="179"/>
      <c r="AA8" s="179"/>
      <c r="AB8" s="182"/>
      <c r="AC8" s="182"/>
      <c r="AD8" s="62"/>
    </row>
    <row r="9" spans="1:31" s="12" customFormat="1" ht="19.5" customHeight="1">
      <c r="A9" s="41" t="s">
        <v>30</v>
      </c>
      <c r="B9" s="415" t="s">
        <v>17</v>
      </c>
      <c r="C9" s="416"/>
      <c r="D9" s="213">
        <f>SUM(D11,D16)</f>
        <v>52525</v>
      </c>
      <c r="E9" s="213">
        <f>E10+E16</f>
        <v>49525</v>
      </c>
      <c r="F9" s="213">
        <f t="shared" ref="F9:K9" si="0">F10</f>
        <v>3224</v>
      </c>
      <c r="G9" s="213">
        <f t="shared" si="0"/>
        <v>101</v>
      </c>
      <c r="H9" s="213">
        <f t="shared" si="0"/>
        <v>0</v>
      </c>
      <c r="I9" s="213">
        <v>0</v>
      </c>
      <c r="J9" s="213"/>
      <c r="K9" s="213">
        <f t="shared" si="0"/>
        <v>0</v>
      </c>
      <c r="L9" s="214">
        <f>E9-D9</f>
        <v>-3000</v>
      </c>
      <c r="M9" s="215">
        <f>IF(D9=0,0,L9/D9)</f>
        <v>-5.7115659209900048E-2</v>
      </c>
      <c r="N9" s="65" t="s">
        <v>67</v>
      </c>
      <c r="O9" s="48"/>
      <c r="P9" s="66"/>
      <c r="Q9" s="66"/>
      <c r="R9" s="48"/>
      <c r="S9" s="48"/>
      <c r="T9" s="48"/>
      <c r="U9" s="48"/>
      <c r="V9" s="48"/>
      <c r="W9" s="67"/>
      <c r="X9" s="67"/>
      <c r="Y9" s="67"/>
      <c r="Z9" s="67"/>
      <c r="AA9" s="67"/>
      <c r="AB9" s="67"/>
      <c r="AC9" s="48">
        <f>AC10</f>
        <v>49525000</v>
      </c>
      <c r="AD9" s="50" t="s">
        <v>25</v>
      </c>
      <c r="AE9" s="6"/>
    </row>
    <row r="10" spans="1:31" ht="21" customHeight="1" thickBot="1">
      <c r="A10" s="51"/>
      <c r="B10" s="52" t="s">
        <v>71</v>
      </c>
      <c r="C10" s="52" t="s">
        <v>69</v>
      </c>
      <c r="D10" s="43">
        <f>D11</f>
        <v>3775</v>
      </c>
      <c r="E10" s="43">
        <f t="shared" ref="E10:K10" si="1">E11</f>
        <v>3325</v>
      </c>
      <c r="F10" s="43">
        <f t="shared" si="1"/>
        <v>3224</v>
      </c>
      <c r="G10" s="43">
        <f t="shared" si="1"/>
        <v>101</v>
      </c>
      <c r="H10" s="43">
        <f t="shared" si="1"/>
        <v>0</v>
      </c>
      <c r="I10" s="213">
        <v>0</v>
      </c>
      <c r="J10" s="213"/>
      <c r="K10" s="43">
        <f t="shared" si="1"/>
        <v>0</v>
      </c>
      <c r="L10" s="44">
        <f>E10-D10</f>
        <v>-450</v>
      </c>
      <c r="M10" s="45">
        <f>IF(D10=0,0,L10/D10)</f>
        <v>-0.11920529801324503</v>
      </c>
      <c r="N10" s="69" t="s">
        <v>67</v>
      </c>
      <c r="O10" s="70"/>
      <c r="P10" s="71"/>
      <c r="Q10" s="71"/>
      <c r="R10" s="71"/>
      <c r="S10" s="71"/>
      <c r="T10" s="71"/>
      <c r="U10" s="72"/>
      <c r="V10" s="73" t="s">
        <v>70</v>
      </c>
      <c r="W10" s="73"/>
      <c r="X10" s="73"/>
      <c r="Y10" s="73"/>
      <c r="Z10" s="73"/>
      <c r="AA10" s="73"/>
      <c r="AB10" s="74"/>
      <c r="AC10" s="74">
        <f>SUM(AC11,AC16)</f>
        <v>49525000</v>
      </c>
      <c r="AD10" s="75" t="s">
        <v>68</v>
      </c>
    </row>
    <row r="11" spans="1:31" ht="21" customHeight="1" thickBot="1">
      <c r="A11" s="51"/>
      <c r="B11" s="52"/>
      <c r="C11" s="435" t="s">
        <v>346</v>
      </c>
      <c r="D11" s="43">
        <v>3775</v>
      </c>
      <c r="E11" s="43">
        <f>AC11/1000</f>
        <v>3325</v>
      </c>
      <c r="F11" s="43">
        <f>(AC12)/1000</f>
        <v>3224</v>
      </c>
      <c r="G11" s="43">
        <f>SUM(AC13:AC13)/1000</f>
        <v>101</v>
      </c>
      <c r="H11" s="43">
        <v>0</v>
      </c>
      <c r="I11" s="213">
        <v>0</v>
      </c>
      <c r="J11" s="213"/>
      <c r="K11" s="43">
        <v>0</v>
      </c>
      <c r="L11" s="44">
        <f>E11-D11</f>
        <v>-450</v>
      </c>
      <c r="M11" s="45">
        <f>IF(D11=0,0,L11/D11)</f>
        <v>-0.11920529801324503</v>
      </c>
      <c r="N11" s="185" t="s">
        <v>347</v>
      </c>
      <c r="O11" s="98"/>
      <c r="P11" s="99"/>
      <c r="Q11" s="99"/>
      <c r="R11" s="99"/>
      <c r="S11" s="99"/>
      <c r="T11" s="99"/>
      <c r="U11" s="100"/>
      <c r="V11" s="101" t="s">
        <v>72</v>
      </c>
      <c r="W11" s="101"/>
      <c r="X11" s="101"/>
      <c r="Y11" s="101"/>
      <c r="Z11" s="101"/>
      <c r="AA11" s="101"/>
      <c r="AB11" s="102"/>
      <c r="AC11" s="102">
        <f>SUM(AC12:AC14)</f>
        <v>3325000</v>
      </c>
      <c r="AD11" s="103" t="s">
        <v>25</v>
      </c>
    </row>
    <row r="12" spans="1:31" ht="21" customHeight="1">
      <c r="A12" s="51"/>
      <c r="B12" s="52"/>
      <c r="C12" s="436"/>
      <c r="D12" s="54"/>
      <c r="E12" s="54"/>
      <c r="F12" s="54"/>
      <c r="G12" s="54"/>
      <c r="H12" s="54"/>
      <c r="I12" s="289"/>
      <c r="J12" s="289"/>
      <c r="K12" s="54"/>
      <c r="L12" s="55"/>
      <c r="M12" s="37"/>
      <c r="N12" s="235" t="s">
        <v>360</v>
      </c>
      <c r="O12" s="233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6"/>
      <c r="AC12" s="237">
        <v>3224000</v>
      </c>
      <c r="AD12" s="238" t="s">
        <v>58</v>
      </c>
    </row>
    <row r="13" spans="1:31" ht="21" customHeight="1">
      <c r="A13" s="51"/>
      <c r="B13" s="52"/>
      <c r="C13" s="323"/>
      <c r="D13" s="54"/>
      <c r="E13" s="54"/>
      <c r="F13" s="54"/>
      <c r="G13" s="54"/>
      <c r="H13" s="54"/>
      <c r="I13" s="54"/>
      <c r="J13" s="54"/>
      <c r="K13" s="54"/>
      <c r="L13" s="55"/>
      <c r="M13" s="37"/>
      <c r="N13" s="235" t="s">
        <v>320</v>
      </c>
      <c r="O13" s="233"/>
      <c r="P13" s="234"/>
      <c r="Q13" s="234"/>
      <c r="R13" s="312"/>
      <c r="S13" s="312"/>
      <c r="T13" s="313"/>
      <c r="U13" s="312"/>
      <c r="V13" s="312"/>
      <c r="W13" s="313"/>
      <c r="X13" s="312"/>
      <c r="Y13" s="312"/>
      <c r="Z13" s="312"/>
      <c r="AA13" s="312"/>
      <c r="AB13" s="83"/>
      <c r="AC13" s="83">
        <v>101000</v>
      </c>
      <c r="AD13" s="62" t="s">
        <v>58</v>
      </c>
    </row>
    <row r="14" spans="1:31" ht="21" customHeight="1">
      <c r="A14" s="51"/>
      <c r="B14" s="52"/>
      <c r="C14" s="323"/>
      <c r="D14" s="54"/>
      <c r="E14" s="54"/>
      <c r="F14" s="54"/>
      <c r="G14" s="54"/>
      <c r="H14" s="54"/>
      <c r="I14" s="54"/>
      <c r="J14" s="54"/>
      <c r="K14" s="54"/>
      <c r="L14" s="55"/>
      <c r="M14" s="37"/>
      <c r="N14" s="235" t="s">
        <v>318</v>
      </c>
      <c r="O14" s="233"/>
      <c r="P14" s="234"/>
      <c r="Q14" s="234"/>
      <c r="AC14" s="329">
        <v>0</v>
      </c>
      <c r="AD14" s="328" t="s">
        <v>358</v>
      </c>
    </row>
    <row r="15" spans="1:31" ht="21" customHeight="1">
      <c r="A15" s="51"/>
      <c r="B15" s="64"/>
      <c r="C15" s="324"/>
      <c r="D15" s="76"/>
      <c r="E15" s="76"/>
      <c r="F15" s="76"/>
      <c r="G15" s="76"/>
      <c r="H15" s="76"/>
      <c r="I15" s="76"/>
      <c r="J15" s="76"/>
      <c r="K15" s="76"/>
      <c r="L15" s="77"/>
      <c r="M15" s="319"/>
      <c r="N15" s="320"/>
      <c r="O15" s="321"/>
      <c r="P15" s="322"/>
      <c r="Q15" s="322"/>
      <c r="R15" s="310"/>
      <c r="S15" s="310"/>
      <c r="T15" s="311"/>
      <c r="U15" s="310"/>
      <c r="V15" s="310"/>
      <c r="W15" s="311"/>
      <c r="X15" s="310"/>
      <c r="Y15" s="310"/>
      <c r="Z15" s="310"/>
      <c r="AA15" s="310"/>
      <c r="AB15" s="88"/>
      <c r="AC15" s="88"/>
      <c r="AD15" s="89"/>
    </row>
    <row r="16" spans="1:31" ht="21" customHeight="1" thickBot="1">
      <c r="A16" s="51"/>
      <c r="B16" s="52"/>
      <c r="C16" s="435" t="s">
        <v>348</v>
      </c>
      <c r="D16" s="54">
        <v>48750</v>
      </c>
      <c r="E16" s="54">
        <f>SUM(F16:K16)</f>
        <v>46200</v>
      </c>
      <c r="F16" s="54">
        <f>AC17/1000</f>
        <v>44901</v>
      </c>
      <c r="G16" s="43">
        <f>SUM(AC18:AC20)/1000</f>
        <v>1299</v>
      </c>
      <c r="H16" s="54">
        <f>AC21</f>
        <v>0</v>
      </c>
      <c r="I16" s="54">
        <f>AC21</f>
        <v>0</v>
      </c>
      <c r="J16" s="54"/>
      <c r="K16" s="54">
        <f>AC21</f>
        <v>0</v>
      </c>
      <c r="L16" s="44">
        <f>E16-D16</f>
        <v>-2550</v>
      </c>
      <c r="M16" s="45">
        <f>IF(D16=0,0,L16/D16)</f>
        <v>-5.2307692307692305E-2</v>
      </c>
      <c r="N16" s="185" t="s">
        <v>349</v>
      </c>
      <c r="O16" s="98"/>
      <c r="P16" s="234"/>
      <c r="Q16" s="234"/>
      <c r="R16" s="1"/>
      <c r="S16" s="1"/>
      <c r="T16" s="1"/>
      <c r="U16" s="1"/>
      <c r="V16" s="101" t="s">
        <v>70</v>
      </c>
      <c r="W16" s="101"/>
      <c r="X16" s="325"/>
      <c r="Y16" s="325"/>
      <c r="Z16" s="325"/>
      <c r="AA16" s="325"/>
      <c r="AB16" s="325"/>
      <c r="AC16" s="102">
        <f>SUM(AC17:AC20)</f>
        <v>46200000</v>
      </c>
      <c r="AD16" s="326" t="s">
        <v>350</v>
      </c>
    </row>
    <row r="17" spans="1:32" ht="21" customHeight="1">
      <c r="A17" s="51"/>
      <c r="B17" s="52"/>
      <c r="C17" s="436"/>
      <c r="D17" s="54"/>
      <c r="E17" s="54"/>
      <c r="F17" s="54"/>
      <c r="G17" s="54"/>
      <c r="H17" s="54"/>
      <c r="I17" s="54"/>
      <c r="J17" s="54"/>
      <c r="K17" s="54"/>
      <c r="L17" s="55"/>
      <c r="M17" s="37"/>
      <c r="N17" s="235" t="s">
        <v>361</v>
      </c>
      <c r="O17" s="233"/>
      <c r="P17" s="234"/>
      <c r="Q17" s="234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37">
        <v>44901000</v>
      </c>
      <c r="AD17" s="238" t="s">
        <v>161</v>
      </c>
    </row>
    <row r="18" spans="1:32" ht="21" customHeight="1">
      <c r="A18" s="51"/>
      <c r="B18" s="52"/>
      <c r="C18" s="323"/>
      <c r="D18" s="54"/>
      <c r="E18" s="54"/>
      <c r="F18" s="54"/>
      <c r="G18" s="54"/>
      <c r="H18" s="54"/>
      <c r="I18" s="54"/>
      <c r="J18" s="54"/>
      <c r="K18" s="54"/>
      <c r="L18" s="55"/>
      <c r="M18" s="37"/>
      <c r="N18" s="235" t="s">
        <v>319</v>
      </c>
      <c r="O18" s="239"/>
      <c r="P18" s="240"/>
      <c r="Q18" s="240"/>
      <c r="R18" s="312"/>
      <c r="S18" s="312"/>
      <c r="T18" s="313"/>
      <c r="U18" s="312"/>
      <c r="V18" s="312"/>
      <c r="W18" s="313"/>
      <c r="X18" s="312"/>
      <c r="Y18" s="312"/>
      <c r="Z18" s="312"/>
      <c r="AA18" s="312"/>
      <c r="AB18" s="83"/>
      <c r="AC18" s="83">
        <v>1099000</v>
      </c>
      <c r="AD18" s="62" t="s">
        <v>58</v>
      </c>
    </row>
    <row r="19" spans="1:32" ht="21" customHeight="1">
      <c r="A19" s="51"/>
      <c r="B19" s="52"/>
      <c r="C19" s="323"/>
      <c r="D19" s="54"/>
      <c r="E19" s="54"/>
      <c r="F19" s="54"/>
      <c r="G19" s="54"/>
      <c r="H19" s="54"/>
      <c r="I19" s="54"/>
      <c r="J19" s="54"/>
      <c r="K19" s="54"/>
      <c r="L19" s="55"/>
      <c r="M19" s="37"/>
      <c r="N19" s="235" t="s">
        <v>317</v>
      </c>
      <c r="O19" s="239"/>
      <c r="P19" s="240"/>
      <c r="Q19" s="240"/>
      <c r="R19" s="312"/>
      <c r="S19" s="312"/>
      <c r="T19" s="313"/>
      <c r="U19" s="312"/>
      <c r="V19" s="312"/>
      <c r="W19" s="313"/>
      <c r="X19" s="312"/>
      <c r="Y19" s="312"/>
      <c r="Z19" s="312"/>
      <c r="AA19" s="312"/>
      <c r="AB19" s="83"/>
      <c r="AC19" s="83">
        <v>0</v>
      </c>
      <c r="AD19" s="62" t="s">
        <v>58</v>
      </c>
    </row>
    <row r="20" spans="1:32" ht="21" customHeight="1">
      <c r="A20" s="51"/>
      <c r="B20" s="52"/>
      <c r="C20" s="323"/>
      <c r="D20" s="54"/>
      <c r="E20" s="54"/>
      <c r="F20" s="54"/>
      <c r="G20" s="54"/>
      <c r="H20" s="54"/>
      <c r="I20" s="54"/>
      <c r="J20" s="54"/>
      <c r="K20" s="54"/>
      <c r="L20" s="55"/>
      <c r="M20" s="37"/>
      <c r="N20" s="235" t="s">
        <v>335</v>
      </c>
      <c r="O20" s="239"/>
      <c r="P20" s="240"/>
      <c r="Q20" s="240"/>
      <c r="R20" s="1"/>
      <c r="S20" s="312"/>
      <c r="T20" s="313"/>
      <c r="U20" s="312"/>
      <c r="V20" s="312"/>
      <c r="W20" s="313"/>
      <c r="X20" s="312"/>
      <c r="Y20" s="312"/>
      <c r="Z20" s="312"/>
      <c r="AA20" s="312"/>
      <c r="AB20" s="83"/>
      <c r="AC20" s="83">
        <v>200000</v>
      </c>
      <c r="AD20" s="62" t="s">
        <v>58</v>
      </c>
    </row>
    <row r="21" spans="1:32" s="12" customFormat="1" ht="19.5" customHeight="1">
      <c r="A21" s="63"/>
      <c r="B21" s="64"/>
      <c r="C21" s="324"/>
      <c r="D21" s="54"/>
      <c r="E21" s="54"/>
      <c r="F21" s="54"/>
      <c r="G21" s="54"/>
      <c r="H21" s="54"/>
      <c r="I21" s="54"/>
      <c r="J21" s="54"/>
      <c r="K21" s="54"/>
      <c r="L21" s="55"/>
      <c r="M21" s="86"/>
      <c r="N21" s="235"/>
      <c r="O21" s="96"/>
      <c r="P21" s="105"/>
      <c r="Q21" s="105"/>
      <c r="R21" s="96"/>
      <c r="S21" s="96"/>
      <c r="T21" s="96"/>
      <c r="U21" s="96"/>
      <c r="V21" s="96"/>
      <c r="W21" s="97"/>
      <c r="X21" s="97"/>
      <c r="Y21" s="97"/>
      <c r="Z21" s="97"/>
      <c r="AA21" s="97"/>
      <c r="AB21" s="97"/>
      <c r="AC21" s="96"/>
      <c r="AD21" s="89"/>
      <c r="AE21" s="6"/>
    </row>
    <row r="22" spans="1:32" ht="21" customHeight="1" thickBot="1">
      <c r="A22" s="41" t="s">
        <v>77</v>
      </c>
      <c r="B22" s="42" t="s">
        <v>13</v>
      </c>
      <c r="C22" s="42" t="s">
        <v>118</v>
      </c>
      <c r="D22" s="43">
        <v>4359</v>
      </c>
      <c r="E22" s="43">
        <f>SUM(F22:K22)</f>
        <v>4145.9709999999995</v>
      </c>
      <c r="F22" s="43">
        <v>0</v>
      </c>
      <c r="G22" s="43">
        <v>0</v>
      </c>
      <c r="H22" s="43">
        <v>0</v>
      </c>
      <c r="I22" s="43">
        <v>0</v>
      </c>
      <c r="J22" s="43"/>
      <c r="K22" s="43">
        <f>AC22/1000</f>
        <v>4145.9709999999995</v>
      </c>
      <c r="L22" s="44">
        <f>E22-D22</f>
        <v>-213.02900000000045</v>
      </c>
      <c r="M22" s="45">
        <f>IF(D22=0,0,L22/D22)</f>
        <v>-4.887107134663924E-2</v>
      </c>
      <c r="N22" s="46" t="s">
        <v>31</v>
      </c>
      <c r="O22" s="110"/>
      <c r="P22" s="36"/>
      <c r="Q22" s="36"/>
      <c r="R22" s="36"/>
      <c r="S22" s="36"/>
      <c r="T22" s="36"/>
      <c r="U22" s="36"/>
      <c r="V22" s="111" t="s">
        <v>72</v>
      </c>
      <c r="W22" s="111"/>
      <c r="X22" s="111"/>
      <c r="Y22" s="111"/>
      <c r="Z22" s="111"/>
      <c r="AA22" s="111"/>
      <c r="AB22" s="112"/>
      <c r="AC22" s="112">
        <f>SUM(AC23:AC26)</f>
        <v>4145971</v>
      </c>
      <c r="AD22" s="113" t="s">
        <v>25</v>
      </c>
      <c r="AE22" s="23"/>
      <c r="AF22" s="24"/>
    </row>
    <row r="23" spans="1:32" ht="21" customHeight="1">
      <c r="A23" s="51"/>
      <c r="B23" s="52"/>
      <c r="C23" s="52" t="s">
        <v>119</v>
      </c>
      <c r="D23" s="54"/>
      <c r="E23" s="54"/>
      <c r="F23" s="54"/>
      <c r="G23" s="54"/>
      <c r="H23" s="54"/>
      <c r="I23" s="54"/>
      <c r="J23" s="54"/>
      <c r="K23" s="54"/>
      <c r="L23" s="55"/>
      <c r="M23" s="35"/>
      <c r="N23" s="231" t="s">
        <v>162</v>
      </c>
      <c r="O23" s="368" t="s">
        <v>398</v>
      </c>
      <c r="P23" s="230"/>
      <c r="Q23" s="230"/>
      <c r="R23" s="84">
        <v>1869000</v>
      </c>
      <c r="S23" s="85" t="s">
        <v>163</v>
      </c>
      <c r="T23" s="241">
        <v>25</v>
      </c>
      <c r="U23" s="90" t="s">
        <v>163</v>
      </c>
      <c r="V23" s="242">
        <v>5</v>
      </c>
      <c r="W23" s="243">
        <v>1.5</v>
      </c>
      <c r="X23" s="229" t="s">
        <v>164</v>
      </c>
      <c r="Y23" s="229">
        <v>209</v>
      </c>
      <c r="Z23" s="229" t="s">
        <v>165</v>
      </c>
      <c r="AA23" s="230"/>
      <c r="AB23" s="83"/>
      <c r="AC23" s="83">
        <f>ROUNDDOWN(R23*T23*W23/Y23,-1)*V23</f>
        <v>1676700</v>
      </c>
      <c r="AD23" s="62" t="s">
        <v>166</v>
      </c>
      <c r="AE23" s="23"/>
      <c r="AF23" s="24"/>
    </row>
    <row r="24" spans="1:32" ht="21" customHeight="1">
      <c r="A24" s="51"/>
      <c r="B24" s="52"/>
      <c r="C24" s="52"/>
      <c r="D24" s="54"/>
      <c r="E24" s="54"/>
      <c r="F24" s="54"/>
      <c r="G24" s="54"/>
      <c r="H24" s="54"/>
      <c r="I24" s="54"/>
      <c r="J24" s="54"/>
      <c r="K24" s="54"/>
      <c r="L24" s="55"/>
      <c r="M24" s="35"/>
      <c r="N24" s="218"/>
      <c r="O24" s="368" t="s">
        <v>399</v>
      </c>
      <c r="P24" s="217"/>
      <c r="Q24" s="217"/>
      <c r="R24" s="84">
        <v>1712000</v>
      </c>
      <c r="S24" s="85" t="s">
        <v>163</v>
      </c>
      <c r="T24" s="241">
        <v>25</v>
      </c>
      <c r="U24" s="90" t="s">
        <v>163</v>
      </c>
      <c r="V24" s="242">
        <v>7</v>
      </c>
      <c r="W24" s="243">
        <v>1.5</v>
      </c>
      <c r="X24" s="229" t="s">
        <v>164</v>
      </c>
      <c r="Y24" s="229">
        <v>209</v>
      </c>
      <c r="Z24" s="229" t="s">
        <v>165</v>
      </c>
      <c r="AA24" s="230"/>
      <c r="AB24" s="83"/>
      <c r="AC24" s="83">
        <f>ROUNDDOWN(R24*T24*W24/Y24,-1)*V24</f>
        <v>2150190</v>
      </c>
      <c r="AD24" s="62" t="s">
        <v>166</v>
      </c>
      <c r="AE24" s="23"/>
      <c r="AF24" s="24"/>
    </row>
    <row r="25" spans="1:32" ht="21" customHeight="1">
      <c r="A25" s="51"/>
      <c r="B25" s="52"/>
      <c r="C25" s="52"/>
      <c r="D25" s="54"/>
      <c r="E25" s="54"/>
      <c r="F25" s="54"/>
      <c r="G25" s="54"/>
      <c r="H25" s="54"/>
      <c r="I25" s="54"/>
      <c r="J25" s="54"/>
      <c r="K25" s="54"/>
      <c r="L25" s="55"/>
      <c r="M25" s="35"/>
      <c r="N25" s="254" t="s">
        <v>216</v>
      </c>
      <c r="O25" s="218"/>
      <c r="P25" s="217"/>
      <c r="Q25" s="217"/>
      <c r="R25" s="84">
        <f>AC23+AC24</f>
        <v>3826890</v>
      </c>
      <c r="S25" s="85" t="s">
        <v>59</v>
      </c>
      <c r="T25" s="241">
        <v>1</v>
      </c>
      <c r="U25" s="90" t="s">
        <v>59</v>
      </c>
      <c r="V25" s="242">
        <v>1</v>
      </c>
      <c r="W25" s="243">
        <v>1</v>
      </c>
      <c r="X25" s="229" t="s">
        <v>74</v>
      </c>
      <c r="Y25" s="229">
        <v>12</v>
      </c>
      <c r="Z25" s="229" t="s">
        <v>215</v>
      </c>
      <c r="AA25" s="253"/>
      <c r="AB25" s="83"/>
      <c r="AC25" s="83">
        <f>ROUNDDOWN(R25*T25*W25/Y25,-1)*V25</f>
        <v>318900</v>
      </c>
      <c r="AD25" s="62" t="s">
        <v>58</v>
      </c>
      <c r="AE25" s="23"/>
      <c r="AF25" s="24"/>
    </row>
    <row r="26" spans="1:32" ht="21" customHeight="1">
      <c r="A26" s="51"/>
      <c r="B26" s="373"/>
      <c r="C26" s="373"/>
      <c r="D26" s="54"/>
      <c r="E26" s="54"/>
      <c r="F26" s="54"/>
      <c r="G26" s="54"/>
      <c r="H26" s="54"/>
      <c r="I26" s="54"/>
      <c r="J26" s="54"/>
      <c r="K26" s="54"/>
      <c r="L26" s="55"/>
      <c r="M26" s="35"/>
      <c r="N26" s="375" t="s">
        <v>401</v>
      </c>
      <c r="O26" s="218"/>
      <c r="P26" s="217"/>
      <c r="Q26" s="217"/>
      <c r="R26" s="84"/>
      <c r="S26" s="85"/>
      <c r="T26" s="241"/>
      <c r="U26" s="90"/>
      <c r="V26" s="242"/>
      <c r="W26" s="243"/>
      <c r="X26" s="229"/>
      <c r="Y26" s="229"/>
      <c r="Z26" s="229"/>
      <c r="AA26" s="374"/>
      <c r="AB26" s="83"/>
      <c r="AC26" s="83">
        <v>181</v>
      </c>
      <c r="AD26" s="62" t="s">
        <v>58</v>
      </c>
      <c r="AE26" s="23"/>
      <c r="AF26" s="24"/>
    </row>
    <row r="27" spans="1:32" ht="21" customHeight="1">
      <c r="A27" s="63"/>
      <c r="B27" s="64"/>
      <c r="C27" s="64"/>
      <c r="D27" s="76"/>
      <c r="E27" s="76"/>
      <c r="F27" s="76"/>
      <c r="G27" s="76"/>
      <c r="H27" s="76"/>
      <c r="I27" s="76"/>
      <c r="J27" s="76"/>
      <c r="K27" s="76"/>
      <c r="L27" s="55"/>
      <c r="M27" s="35"/>
      <c r="N27" s="368"/>
      <c r="O27" s="218"/>
      <c r="P27" s="217"/>
      <c r="Q27" s="217"/>
      <c r="R27" s="84"/>
      <c r="S27" s="85"/>
      <c r="T27" s="241"/>
      <c r="U27" s="90"/>
      <c r="V27" s="242"/>
      <c r="W27" s="243"/>
      <c r="X27" s="229"/>
      <c r="Y27" s="229"/>
      <c r="Z27" s="229"/>
      <c r="AA27" s="266"/>
      <c r="AB27" s="83"/>
      <c r="AC27" s="83"/>
      <c r="AD27" s="62"/>
      <c r="AE27" s="23"/>
      <c r="AF27" s="24"/>
    </row>
    <row r="28" spans="1:32" s="4" customFormat="1" ht="21" customHeight="1" thickBot="1">
      <c r="A28" s="51" t="s">
        <v>290</v>
      </c>
      <c r="B28" s="52" t="s">
        <v>290</v>
      </c>
      <c r="C28" s="52" t="s">
        <v>291</v>
      </c>
      <c r="D28" s="54">
        <v>200</v>
      </c>
      <c r="E28" s="54">
        <f>I28</f>
        <v>600.15499999999997</v>
      </c>
      <c r="F28" s="54"/>
      <c r="G28" s="54"/>
      <c r="H28" s="54"/>
      <c r="I28" s="54">
        <f>AC28/1000</f>
        <v>600.15499999999997</v>
      </c>
      <c r="J28" s="54"/>
      <c r="K28" s="54"/>
      <c r="L28" s="44">
        <f>E28-D28</f>
        <v>400.15499999999997</v>
      </c>
      <c r="M28" s="45">
        <f>IF(D28=0,0,L28/D28)</f>
        <v>2.000775</v>
      </c>
      <c r="N28" s="46" t="s">
        <v>287</v>
      </c>
      <c r="O28" s="272"/>
      <c r="P28" s="217"/>
      <c r="Q28" s="217"/>
      <c r="R28" s="84"/>
      <c r="S28" s="85"/>
      <c r="T28" s="241"/>
      <c r="U28" s="90"/>
      <c r="V28" s="111" t="s">
        <v>70</v>
      </c>
      <c r="W28" s="111"/>
      <c r="X28" s="111"/>
      <c r="Y28" s="111"/>
      <c r="Z28" s="111"/>
      <c r="AA28" s="111"/>
      <c r="AB28" s="112"/>
      <c r="AC28" s="112">
        <f>SUM(AC29:AC31)</f>
        <v>600155</v>
      </c>
      <c r="AD28" s="113" t="s">
        <v>25</v>
      </c>
      <c r="AE28" s="270"/>
      <c r="AF28" s="271"/>
    </row>
    <row r="29" spans="1:32" ht="21" customHeight="1">
      <c r="A29" s="51"/>
      <c r="B29" s="52"/>
      <c r="C29" s="52" t="s">
        <v>290</v>
      </c>
      <c r="D29" s="54"/>
      <c r="E29" s="54"/>
      <c r="F29" s="54"/>
      <c r="G29" s="54"/>
      <c r="H29" s="54"/>
      <c r="I29" s="54"/>
      <c r="J29" s="54"/>
      <c r="K29" s="54"/>
      <c r="L29" s="55"/>
      <c r="M29" s="35"/>
      <c r="N29" s="267" t="s">
        <v>289</v>
      </c>
      <c r="O29" s="218"/>
      <c r="P29" s="217"/>
      <c r="Q29" s="217"/>
      <c r="R29" s="84"/>
      <c r="S29" s="85"/>
      <c r="T29" s="241"/>
      <c r="U29" s="90"/>
      <c r="V29" s="242"/>
      <c r="W29" s="243"/>
      <c r="X29" s="229"/>
      <c r="Y29" s="229"/>
      <c r="Z29" s="229"/>
      <c r="AA29" s="266"/>
      <c r="AB29" s="83"/>
      <c r="AC29" s="83">
        <v>300000</v>
      </c>
      <c r="AD29" s="62" t="s">
        <v>285</v>
      </c>
      <c r="AE29" s="23"/>
      <c r="AF29" s="24"/>
    </row>
    <row r="30" spans="1:32" ht="21" customHeight="1">
      <c r="A30" s="51"/>
      <c r="B30" s="335"/>
      <c r="C30" s="335"/>
      <c r="D30" s="54"/>
      <c r="E30" s="54"/>
      <c r="F30" s="54"/>
      <c r="G30" s="54"/>
      <c r="H30" s="54"/>
      <c r="I30" s="54"/>
      <c r="J30" s="54"/>
      <c r="K30" s="54"/>
      <c r="L30" s="55"/>
      <c r="M30" s="35"/>
      <c r="N30" s="341" t="s">
        <v>362</v>
      </c>
      <c r="O30" s="218"/>
      <c r="P30" s="217"/>
      <c r="Q30" s="217"/>
      <c r="R30" s="84"/>
      <c r="S30" s="85"/>
      <c r="T30" s="241"/>
      <c r="U30" s="90"/>
      <c r="V30" s="242"/>
      <c r="W30" s="243"/>
      <c r="X30" s="229"/>
      <c r="Y30" s="229"/>
      <c r="Z30" s="229"/>
      <c r="AA30" s="340"/>
      <c r="AB30" s="83"/>
      <c r="AC30" s="83">
        <v>300155</v>
      </c>
      <c r="AD30" s="62" t="s">
        <v>111</v>
      </c>
      <c r="AE30" s="23"/>
      <c r="AF30" s="24"/>
    </row>
    <row r="31" spans="1:32" s="4" customFormat="1" ht="21" customHeight="1">
      <c r="A31" s="51"/>
      <c r="B31" s="52"/>
      <c r="C31" s="52"/>
      <c r="D31" s="54"/>
      <c r="E31" s="54"/>
      <c r="F31" s="54"/>
      <c r="G31" s="54"/>
      <c r="H31" s="54"/>
      <c r="I31" s="54"/>
      <c r="J31" s="54"/>
      <c r="K31" s="54"/>
      <c r="L31" s="55"/>
      <c r="M31" s="86"/>
      <c r="N31" s="221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221"/>
      <c r="AB31" s="56"/>
      <c r="AC31" s="114"/>
      <c r="AD31" s="62"/>
      <c r="AE31" s="7"/>
    </row>
    <row r="32" spans="1:32" ht="21" customHeight="1" thickBot="1">
      <c r="A32" s="41" t="s">
        <v>14</v>
      </c>
      <c r="B32" s="42" t="s">
        <v>14</v>
      </c>
      <c r="C32" s="42" t="s">
        <v>78</v>
      </c>
      <c r="D32" s="43">
        <v>5807</v>
      </c>
      <c r="E32" s="43">
        <f>SUM(F32:K32)</f>
        <v>0</v>
      </c>
      <c r="F32" s="43">
        <f>ROUND(SUM(AC33),-3)/1000</f>
        <v>0</v>
      </c>
      <c r="G32" s="43">
        <v>0</v>
      </c>
      <c r="H32" s="43">
        <f>AC34/1000</f>
        <v>0</v>
      </c>
      <c r="I32" s="43">
        <f>AC36/1000</f>
        <v>0</v>
      </c>
      <c r="J32" s="43"/>
      <c r="K32" s="43">
        <v>0</v>
      </c>
      <c r="L32" s="44">
        <f>E32-D32</f>
        <v>-5807</v>
      </c>
      <c r="M32" s="45">
        <f>IF(D32=0,0,L32/D32)</f>
        <v>-1</v>
      </c>
      <c r="N32" s="46" t="s">
        <v>288</v>
      </c>
      <c r="O32" s="110"/>
      <c r="P32" s="48"/>
      <c r="Q32" s="48"/>
      <c r="R32" s="48"/>
      <c r="S32" s="48"/>
      <c r="T32" s="48"/>
      <c r="U32" s="48"/>
      <c r="V32" s="111" t="s">
        <v>70</v>
      </c>
      <c r="W32" s="111"/>
      <c r="X32" s="111"/>
      <c r="Y32" s="111"/>
      <c r="Z32" s="111"/>
      <c r="AA32" s="111"/>
      <c r="AB32" s="112"/>
      <c r="AC32" s="112">
        <f>SUM(AC33:AC36)</f>
        <v>0</v>
      </c>
      <c r="AD32" s="113" t="s">
        <v>25</v>
      </c>
    </row>
    <row r="33" spans="1:31" ht="21" customHeight="1">
      <c r="A33" s="51"/>
      <c r="B33" s="52"/>
      <c r="C33" s="52" t="s">
        <v>321</v>
      </c>
      <c r="D33" s="54"/>
      <c r="E33" s="54"/>
      <c r="F33" s="54"/>
      <c r="G33" s="54"/>
      <c r="H33" s="54"/>
      <c r="I33" s="54"/>
      <c r="J33" s="54"/>
      <c r="K33" s="54"/>
      <c r="L33" s="55"/>
      <c r="M33" s="86"/>
      <c r="N33" s="82" t="s">
        <v>169</v>
      </c>
      <c r="O33" s="166"/>
      <c r="P33" s="165"/>
      <c r="Q33" s="165"/>
      <c r="R33" s="165"/>
      <c r="S33" s="165"/>
      <c r="T33" s="165"/>
      <c r="U33" s="165"/>
      <c r="V33" s="59"/>
      <c r="W33" s="59"/>
      <c r="X33" s="59"/>
      <c r="Y33" s="165"/>
      <c r="Z33" s="165"/>
      <c r="AA33" s="165"/>
      <c r="AB33" s="83"/>
      <c r="AC33" s="83">
        <v>0</v>
      </c>
      <c r="AD33" s="62" t="s">
        <v>160</v>
      </c>
    </row>
    <row r="34" spans="1:31" ht="21" customHeight="1">
      <c r="A34" s="51"/>
      <c r="B34" s="52"/>
      <c r="C34" s="52"/>
      <c r="D34" s="54"/>
      <c r="E34" s="54"/>
      <c r="F34" s="54"/>
      <c r="G34" s="54"/>
      <c r="H34" s="54"/>
      <c r="I34" s="54"/>
      <c r="J34" s="54"/>
      <c r="K34" s="54"/>
      <c r="L34" s="55"/>
      <c r="M34" s="86"/>
      <c r="N34" s="82" t="s">
        <v>167</v>
      </c>
      <c r="O34" s="166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>
        <v>0</v>
      </c>
      <c r="AD34" s="62" t="s">
        <v>160</v>
      </c>
    </row>
    <row r="35" spans="1:31" ht="21" customHeight="1">
      <c r="A35" s="51"/>
      <c r="B35" s="52"/>
      <c r="C35" s="52"/>
      <c r="D35" s="54"/>
      <c r="E35" s="54"/>
      <c r="F35" s="54"/>
      <c r="G35" s="54"/>
      <c r="H35" s="54"/>
      <c r="I35" s="54"/>
      <c r="J35" s="54"/>
      <c r="K35" s="54"/>
      <c r="L35" s="55"/>
      <c r="M35" s="86"/>
      <c r="N35" s="82" t="s">
        <v>168</v>
      </c>
      <c r="O35" s="166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>
        <v>0</v>
      </c>
      <c r="AD35" s="62" t="s">
        <v>160</v>
      </c>
    </row>
    <row r="36" spans="1:31" ht="21" customHeight="1">
      <c r="A36" s="51"/>
      <c r="B36" s="52"/>
      <c r="C36" s="52"/>
      <c r="D36" s="54"/>
      <c r="E36" s="54"/>
      <c r="F36" s="54"/>
      <c r="G36" s="54"/>
      <c r="H36" s="54"/>
      <c r="I36" s="54"/>
      <c r="J36" s="54"/>
      <c r="K36" s="54"/>
      <c r="L36" s="55"/>
      <c r="M36" s="86"/>
      <c r="N36" s="82" t="s">
        <v>313</v>
      </c>
      <c r="O36" s="281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>
        <v>0</v>
      </c>
      <c r="AD36" s="62" t="s">
        <v>58</v>
      </c>
    </row>
    <row r="37" spans="1:31" ht="21" customHeight="1">
      <c r="A37" s="63"/>
      <c r="B37" s="52"/>
      <c r="C37" s="52"/>
      <c r="D37" s="54"/>
      <c r="E37" s="54"/>
      <c r="F37" s="54"/>
      <c r="G37" s="54"/>
      <c r="H37" s="54"/>
      <c r="I37" s="54"/>
      <c r="J37" s="54"/>
      <c r="K37" s="54"/>
      <c r="L37" s="55"/>
      <c r="M37" s="86"/>
      <c r="N37" s="82"/>
      <c r="O37" s="166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62"/>
    </row>
    <row r="38" spans="1:31" ht="21" customHeight="1" thickBot="1">
      <c r="A38" s="51" t="s">
        <v>79</v>
      </c>
      <c r="B38" s="107" t="s">
        <v>16</v>
      </c>
      <c r="C38" s="349" t="s">
        <v>80</v>
      </c>
      <c r="D38" s="348">
        <f>D39</f>
        <v>15</v>
      </c>
      <c r="E38" s="43">
        <f>SUM(E39,E48)</f>
        <v>60.566000000000003</v>
      </c>
      <c r="F38" s="43">
        <f>SUM(F39,F48)</f>
        <v>16.725999999999999</v>
      </c>
      <c r="G38" s="43">
        <f>SUM(G39,G48)</f>
        <v>0</v>
      </c>
      <c r="H38" s="43">
        <f>SUM(H39,H48)</f>
        <v>25.84</v>
      </c>
      <c r="I38" s="43">
        <f>I39+I48</f>
        <v>13</v>
      </c>
      <c r="J38" s="43">
        <f>J39+J48</f>
        <v>3</v>
      </c>
      <c r="K38" s="43">
        <f>SUM(K39,K48)</f>
        <v>2</v>
      </c>
      <c r="L38" s="347">
        <f>E38-D38</f>
        <v>45.566000000000003</v>
      </c>
      <c r="M38" s="45">
        <f>IF(D38=0,0,L38/D38)</f>
        <v>3.0377333333333336</v>
      </c>
      <c r="N38" s="46" t="s">
        <v>81</v>
      </c>
      <c r="O38" s="110"/>
      <c r="P38" s="48"/>
      <c r="Q38" s="48"/>
      <c r="R38" s="48"/>
      <c r="S38" s="48"/>
      <c r="T38" s="48"/>
      <c r="U38" s="48"/>
      <c r="V38" s="111" t="s">
        <v>116</v>
      </c>
      <c r="W38" s="111"/>
      <c r="X38" s="111"/>
      <c r="Y38" s="111"/>
      <c r="Z38" s="111"/>
      <c r="AA38" s="111"/>
      <c r="AB38" s="112"/>
      <c r="AC38" s="112">
        <f>AC39+AC48</f>
        <v>60566</v>
      </c>
      <c r="AD38" s="113" t="s">
        <v>25</v>
      </c>
    </row>
    <row r="39" spans="1:31" ht="21" customHeight="1">
      <c r="A39" s="51"/>
      <c r="B39" s="52"/>
      <c r="C39" s="52" t="s">
        <v>121</v>
      </c>
      <c r="D39" s="54">
        <v>15</v>
      </c>
      <c r="E39" s="43">
        <f>SUM(F39:K39)</f>
        <v>40.566000000000003</v>
      </c>
      <c r="F39" s="43">
        <f>(AC40+AC41)/1000</f>
        <v>16.725999999999999</v>
      </c>
      <c r="G39" s="43">
        <v>0</v>
      </c>
      <c r="H39" s="43">
        <f>(AC42+AC43)/1000</f>
        <v>15.84</v>
      </c>
      <c r="I39" s="43">
        <f>(AC45)/1000</f>
        <v>3</v>
      </c>
      <c r="J39" s="43">
        <f>AC46/1000</f>
        <v>3</v>
      </c>
      <c r="K39" s="43">
        <f>(AC44)/1000</f>
        <v>2</v>
      </c>
      <c r="L39" s="55">
        <f>E39-D39</f>
        <v>25.566000000000003</v>
      </c>
      <c r="M39" s="45">
        <f>IF(D39=0,0,L39/D39)</f>
        <v>1.7044000000000001</v>
      </c>
      <c r="N39" s="346" t="s">
        <v>82</v>
      </c>
      <c r="O39" s="38"/>
      <c r="P39" s="39"/>
      <c r="Q39" s="39"/>
      <c r="R39" s="39"/>
      <c r="S39" s="39"/>
      <c r="T39" s="39"/>
      <c r="U39" s="39"/>
      <c r="V39" s="184" t="s">
        <v>117</v>
      </c>
      <c r="W39" s="39"/>
      <c r="X39" s="39"/>
      <c r="Y39" s="39"/>
      <c r="Z39" s="39"/>
      <c r="AA39" s="39"/>
      <c r="AB39" s="57"/>
      <c r="AC39" s="57">
        <f>AC40+AC41+AC42+AC43+AC45+AC44+AC46</f>
        <v>40566</v>
      </c>
      <c r="AD39" s="40" t="s">
        <v>25</v>
      </c>
    </row>
    <row r="40" spans="1:31" ht="21" customHeight="1">
      <c r="A40" s="51"/>
      <c r="B40" s="335"/>
      <c r="C40" s="335" t="s">
        <v>122</v>
      </c>
      <c r="D40" s="54"/>
      <c r="E40" s="54"/>
      <c r="F40" s="54"/>
      <c r="G40" s="54"/>
      <c r="H40" s="54"/>
      <c r="I40" s="54"/>
      <c r="J40" s="54"/>
      <c r="K40" s="54"/>
      <c r="L40" s="55"/>
      <c r="M40" s="37"/>
      <c r="N40" s="82" t="s">
        <v>363</v>
      </c>
      <c r="O40" s="218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57"/>
      <c r="AC40" s="57">
        <v>10000</v>
      </c>
      <c r="AD40" s="40" t="s">
        <v>368</v>
      </c>
    </row>
    <row r="41" spans="1:31" ht="21" customHeight="1">
      <c r="A41" s="51"/>
      <c r="B41" s="335"/>
      <c r="C41" s="335"/>
      <c r="D41" s="54"/>
      <c r="E41" s="54"/>
      <c r="F41" s="54"/>
      <c r="G41" s="54"/>
      <c r="H41" s="54"/>
      <c r="I41" s="54"/>
      <c r="J41" s="54"/>
      <c r="K41" s="54"/>
      <c r="L41" s="55"/>
      <c r="M41" s="37"/>
      <c r="N41" s="82" t="s">
        <v>364</v>
      </c>
      <c r="O41" s="218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57"/>
      <c r="AC41" s="57">
        <v>6726</v>
      </c>
      <c r="AD41" s="40" t="s">
        <v>368</v>
      </c>
    </row>
    <row r="42" spans="1:31" ht="21" customHeight="1">
      <c r="A42" s="51"/>
      <c r="B42" s="335"/>
      <c r="C42" s="335"/>
      <c r="D42" s="54"/>
      <c r="E42" s="54"/>
      <c r="F42" s="54"/>
      <c r="G42" s="54"/>
      <c r="H42" s="54"/>
      <c r="I42" s="54"/>
      <c r="J42" s="54"/>
      <c r="K42" s="54"/>
      <c r="L42" s="55"/>
      <c r="M42" s="37"/>
      <c r="N42" s="82" t="s">
        <v>365</v>
      </c>
      <c r="O42" s="218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57"/>
      <c r="AC42" s="57">
        <v>10000</v>
      </c>
      <c r="AD42" s="40" t="s">
        <v>368</v>
      </c>
    </row>
    <row r="43" spans="1:31" ht="21" customHeight="1">
      <c r="A43" s="51"/>
      <c r="B43" s="335"/>
      <c r="C43" s="335"/>
      <c r="D43" s="54"/>
      <c r="E43" s="54"/>
      <c r="F43" s="54"/>
      <c r="G43" s="54"/>
      <c r="H43" s="54"/>
      <c r="I43" s="54"/>
      <c r="J43" s="54"/>
      <c r="K43" s="54"/>
      <c r="L43" s="55"/>
      <c r="M43" s="37"/>
      <c r="N43" s="82" t="s">
        <v>397</v>
      </c>
      <c r="O43" s="218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57"/>
      <c r="AC43" s="57">
        <v>5840</v>
      </c>
      <c r="AD43" s="40" t="s">
        <v>368</v>
      </c>
    </row>
    <row r="44" spans="1:31" ht="21" customHeight="1">
      <c r="A44" s="51"/>
      <c r="B44" s="335"/>
      <c r="C44" s="335"/>
      <c r="D44" s="54"/>
      <c r="E44" s="54"/>
      <c r="F44" s="54"/>
      <c r="G44" s="54"/>
      <c r="H44" s="54"/>
      <c r="I44" s="54"/>
      <c r="J44" s="54"/>
      <c r="K44" s="54"/>
      <c r="L44" s="55"/>
      <c r="M44" s="37"/>
      <c r="N44" s="82" t="s">
        <v>366</v>
      </c>
      <c r="O44" s="218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57"/>
      <c r="AC44" s="57">
        <v>2000</v>
      </c>
      <c r="AD44" s="40" t="s">
        <v>58</v>
      </c>
    </row>
    <row r="45" spans="1:31" ht="21" customHeight="1">
      <c r="A45" s="51"/>
      <c r="B45" s="335"/>
      <c r="C45" s="335"/>
      <c r="D45" s="54"/>
      <c r="E45" s="54"/>
      <c r="F45" s="54"/>
      <c r="G45" s="54"/>
      <c r="H45" s="54"/>
      <c r="I45" s="54"/>
      <c r="J45" s="54"/>
      <c r="K45" s="54"/>
      <c r="L45" s="55"/>
      <c r="M45" s="37"/>
      <c r="N45" s="82" t="s">
        <v>367</v>
      </c>
      <c r="O45" s="218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57"/>
      <c r="AC45" s="57">
        <v>3000</v>
      </c>
      <c r="AD45" s="40" t="s">
        <v>368</v>
      </c>
    </row>
    <row r="46" spans="1:31" ht="21" customHeight="1">
      <c r="A46" s="51"/>
      <c r="B46" s="335"/>
      <c r="C46" s="335"/>
      <c r="D46" s="54"/>
      <c r="E46" s="54"/>
      <c r="F46" s="54"/>
      <c r="G46" s="54"/>
      <c r="H46" s="54"/>
      <c r="I46" s="54"/>
      <c r="J46" s="54"/>
      <c r="K46" s="54"/>
      <c r="L46" s="55"/>
      <c r="M46" s="37"/>
      <c r="N46" s="82" t="s">
        <v>372</v>
      </c>
      <c r="O46" s="218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57"/>
      <c r="AC46" s="57">
        <v>3000</v>
      </c>
      <c r="AD46" s="40" t="s">
        <v>368</v>
      </c>
    </row>
    <row r="47" spans="1:31" s="12" customFormat="1" ht="19.5" customHeight="1">
      <c r="A47" s="68"/>
      <c r="B47" s="109"/>
      <c r="C47" s="52"/>
      <c r="D47" s="54"/>
      <c r="E47" s="54"/>
      <c r="F47" s="54"/>
      <c r="G47" s="54"/>
      <c r="H47" s="54"/>
      <c r="I47" s="54"/>
      <c r="J47" s="54"/>
      <c r="K47" s="54"/>
      <c r="L47" s="55"/>
      <c r="M47" s="37"/>
      <c r="N47" s="87"/>
      <c r="O47" s="96"/>
      <c r="P47" s="96"/>
      <c r="Q47" s="96"/>
      <c r="R47" s="96"/>
      <c r="S47" s="96"/>
      <c r="T47" s="96"/>
      <c r="U47" s="96"/>
      <c r="V47" s="417"/>
      <c r="W47" s="417"/>
      <c r="X47" s="96"/>
      <c r="Y47" s="96"/>
      <c r="Z47" s="96"/>
      <c r="AA47" s="96"/>
      <c r="AB47" s="96"/>
      <c r="AC47" s="120"/>
      <c r="AD47" s="40"/>
      <c r="AE47" s="6"/>
    </row>
    <row r="48" spans="1:31" ht="21" customHeight="1" thickBot="1">
      <c r="A48" s="51"/>
      <c r="B48" s="52"/>
      <c r="C48" s="42" t="s">
        <v>120</v>
      </c>
      <c r="D48" s="43">
        <v>0</v>
      </c>
      <c r="E48" s="43">
        <f>SUM(F48:K48)</f>
        <v>20</v>
      </c>
      <c r="F48" s="43">
        <v>0</v>
      </c>
      <c r="G48" s="43">
        <v>0</v>
      </c>
      <c r="H48" s="43">
        <f>AC49/1000</f>
        <v>10</v>
      </c>
      <c r="I48" s="43">
        <f>AC50/1000</f>
        <v>10</v>
      </c>
      <c r="J48" s="43">
        <f>AC51/1000</f>
        <v>0</v>
      </c>
      <c r="K48" s="43">
        <v>0</v>
      </c>
      <c r="L48" s="44">
        <f>E48-D48</f>
        <v>20</v>
      </c>
      <c r="M48" s="45">
        <f>IF(D48=0,0,L48/D48)</f>
        <v>0</v>
      </c>
      <c r="N48" s="350" t="s">
        <v>32</v>
      </c>
      <c r="O48" s="115"/>
      <c r="P48" s="39"/>
      <c r="Q48" s="39"/>
      <c r="R48" s="39"/>
      <c r="S48" s="39"/>
      <c r="T48" s="39"/>
      <c r="U48" s="39"/>
      <c r="V48" s="351" t="s">
        <v>117</v>
      </c>
      <c r="W48" s="351"/>
      <c r="X48" s="351"/>
      <c r="Y48" s="351"/>
      <c r="Z48" s="351"/>
      <c r="AA48" s="351"/>
      <c r="AB48" s="352"/>
      <c r="AC48" s="352">
        <f>AC49+AC50+AC51</f>
        <v>20000</v>
      </c>
      <c r="AD48" s="353" t="s">
        <v>25</v>
      </c>
    </row>
    <row r="49" spans="1:31" ht="21" customHeight="1">
      <c r="A49" s="51"/>
      <c r="B49" s="335"/>
      <c r="C49" s="335" t="s">
        <v>16</v>
      </c>
      <c r="D49" s="54"/>
      <c r="E49" s="54"/>
      <c r="F49" s="54"/>
      <c r="G49" s="54"/>
      <c r="H49" s="54"/>
      <c r="I49" s="54"/>
      <c r="J49" s="54"/>
      <c r="K49" s="54"/>
      <c r="L49" s="55"/>
      <c r="M49" s="37"/>
      <c r="N49" s="345" t="s">
        <v>369</v>
      </c>
      <c r="O49" s="218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57"/>
      <c r="AC49" s="57">
        <v>10000</v>
      </c>
      <c r="AD49" s="354" t="s">
        <v>25</v>
      </c>
    </row>
    <row r="50" spans="1:31" ht="21" customHeight="1">
      <c r="A50" s="51"/>
      <c r="B50" s="335"/>
      <c r="C50" s="335"/>
      <c r="D50" s="54"/>
      <c r="E50" s="54"/>
      <c r="F50" s="54"/>
      <c r="G50" s="54"/>
      <c r="H50" s="54"/>
      <c r="I50" s="54"/>
      <c r="J50" s="54"/>
      <c r="K50" s="54"/>
      <c r="L50" s="55"/>
      <c r="M50" s="37"/>
      <c r="N50" s="345" t="s">
        <v>370</v>
      </c>
      <c r="O50" s="218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57"/>
      <c r="AC50" s="57">
        <v>10000</v>
      </c>
      <c r="AD50" s="40" t="s">
        <v>25</v>
      </c>
    </row>
    <row r="51" spans="1:31" ht="21" customHeight="1">
      <c r="A51" s="51"/>
      <c r="B51" s="335"/>
      <c r="C51" s="335"/>
      <c r="D51" s="54"/>
      <c r="E51" s="54"/>
      <c r="F51" s="54"/>
      <c r="G51" s="54"/>
      <c r="H51" s="54"/>
      <c r="I51" s="54"/>
      <c r="J51" s="54"/>
      <c r="K51" s="54"/>
      <c r="L51" s="55"/>
      <c r="M51" s="37"/>
      <c r="N51" s="345"/>
      <c r="O51" s="218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57"/>
      <c r="AC51" s="57"/>
      <c r="AD51" s="40" t="s">
        <v>25</v>
      </c>
    </row>
    <row r="52" spans="1:31" s="12" customFormat="1" ht="19.5" customHeight="1" thickBot="1">
      <c r="A52" s="327"/>
      <c r="B52" s="121"/>
      <c r="C52" s="122"/>
      <c r="D52" s="123"/>
      <c r="E52" s="123"/>
      <c r="F52" s="123"/>
      <c r="G52" s="123"/>
      <c r="H52" s="123"/>
      <c r="I52" s="123"/>
      <c r="J52" s="123"/>
      <c r="K52" s="123"/>
      <c r="L52" s="124"/>
      <c r="M52" s="125"/>
      <c r="N52" s="78"/>
      <c r="O52" s="80"/>
      <c r="P52" s="80"/>
      <c r="Q52" s="80"/>
      <c r="R52" s="80"/>
      <c r="S52" s="80"/>
      <c r="T52" s="79"/>
      <c r="U52" s="80"/>
      <c r="V52" s="79"/>
      <c r="W52" s="79"/>
      <c r="X52" s="80"/>
      <c r="Y52" s="80"/>
      <c r="Z52" s="126"/>
      <c r="AA52" s="126"/>
      <c r="AB52" s="79"/>
      <c r="AC52" s="80"/>
      <c r="AD52" s="81"/>
      <c r="AE52" s="6"/>
    </row>
    <row r="63" spans="1:31" ht="19.5" customHeight="1">
      <c r="AE63" s="6" t="s">
        <v>65</v>
      </c>
    </row>
  </sheetData>
  <mergeCells count="11">
    <mergeCell ref="B9:C9"/>
    <mergeCell ref="V47:W47"/>
    <mergeCell ref="L2:M2"/>
    <mergeCell ref="N2:AD3"/>
    <mergeCell ref="A1:C1"/>
    <mergeCell ref="A2:C2"/>
    <mergeCell ref="D2:D3"/>
    <mergeCell ref="E2:K2"/>
    <mergeCell ref="A4:C4"/>
    <mergeCell ref="C11:C12"/>
    <mergeCell ref="C16:C17"/>
  </mergeCells>
  <phoneticPr fontId="5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162"/>
  <sheetViews>
    <sheetView zoomScale="84" zoomScaleNormal="84" zoomScaleSheetLayoutView="100" workbookViewId="0">
      <selection activeCell="AF6" sqref="AF6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441406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7.44140625" style="19" customWidth="1"/>
    <col min="10" max="10" width="6.77734375" style="19" customWidth="1"/>
    <col min="11" max="11" width="7.21875" style="19" customWidth="1"/>
    <col min="12" max="12" width="6.88671875" style="19" customWidth="1"/>
    <col min="13" max="13" width="6.33203125" style="212" customWidth="1"/>
    <col min="14" max="14" width="21.44140625" style="4" customWidth="1"/>
    <col min="15" max="15" width="3.33203125" style="4" customWidth="1"/>
    <col min="16" max="17" width="1.44140625" style="4" customWidth="1"/>
    <col min="18" max="18" width="8.88671875" style="5" customWidth="1"/>
    <col min="19" max="19" width="3.44140625" style="5" customWidth="1"/>
    <col min="20" max="20" width="3.21875" style="5" customWidth="1"/>
    <col min="21" max="21" width="3.88671875" style="5" customWidth="1"/>
    <col min="22" max="22" width="6.6640625" style="5" customWidth="1"/>
    <col min="23" max="23" width="4.5546875" style="5" customWidth="1"/>
    <col min="24" max="24" width="4.44140625" style="5" customWidth="1"/>
    <col min="25" max="25" width="4.77734375" style="5" customWidth="1"/>
    <col min="26" max="26" width="4" style="5" bestFit="1" customWidth="1"/>
    <col min="27" max="27" width="3" style="5" customWidth="1"/>
    <col min="28" max="28" width="2.44140625" style="5" customWidth="1"/>
    <col min="29" max="29" width="1.44140625" style="5" customWidth="1"/>
    <col min="30" max="30" width="10.77734375" style="5" customWidth="1"/>
    <col min="31" max="31" width="2.77734375" style="5" customWidth="1"/>
    <col min="32" max="32" width="11.5546875" style="4" bestFit="1" customWidth="1"/>
    <col min="33" max="118" width="13.77734375" style="4"/>
    <col min="119" max="128" width="13.77734375" style="4" customWidth="1"/>
    <col min="129" max="16384" width="13.77734375" style="4"/>
  </cols>
  <sheetData>
    <row r="1" spans="1:32" s="12" customFormat="1" ht="21" customHeight="1" thickBot="1">
      <c r="A1" s="437" t="s">
        <v>351</v>
      </c>
      <c r="B1" s="438"/>
      <c r="C1" s="438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358"/>
      <c r="O1" s="358"/>
      <c r="P1" s="358"/>
      <c r="Q1" s="358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60"/>
      <c r="AF1" s="1"/>
    </row>
    <row r="2" spans="1:32" s="3" customFormat="1" ht="21" customHeight="1">
      <c r="A2" s="426" t="s">
        <v>22</v>
      </c>
      <c r="B2" s="427"/>
      <c r="C2" s="427"/>
      <c r="D2" s="428" t="s">
        <v>376</v>
      </c>
      <c r="E2" s="430" t="s">
        <v>375</v>
      </c>
      <c r="F2" s="431"/>
      <c r="G2" s="431"/>
      <c r="H2" s="431"/>
      <c r="I2" s="431"/>
      <c r="J2" s="431"/>
      <c r="K2" s="431"/>
      <c r="L2" s="418" t="s">
        <v>23</v>
      </c>
      <c r="M2" s="418"/>
      <c r="N2" s="419" t="s">
        <v>55</v>
      </c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1"/>
    </row>
    <row r="3" spans="1:32" s="3" customFormat="1" ht="30.75" customHeight="1" thickBot="1">
      <c r="A3" s="25" t="s">
        <v>1</v>
      </c>
      <c r="B3" s="26" t="s">
        <v>2</v>
      </c>
      <c r="C3" s="26" t="s">
        <v>3</v>
      </c>
      <c r="D3" s="429"/>
      <c r="E3" s="333" t="s">
        <v>124</v>
      </c>
      <c r="F3" s="333" t="s">
        <v>159</v>
      </c>
      <c r="G3" s="333" t="s">
        <v>170</v>
      </c>
      <c r="H3" s="333" t="s">
        <v>113</v>
      </c>
      <c r="I3" s="333" t="s">
        <v>290</v>
      </c>
      <c r="J3" s="333" t="s">
        <v>371</v>
      </c>
      <c r="K3" s="333" t="s">
        <v>115</v>
      </c>
      <c r="L3" s="188" t="s">
        <v>125</v>
      </c>
      <c r="M3" s="127" t="s">
        <v>4</v>
      </c>
      <c r="N3" s="422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4"/>
    </row>
    <row r="4" spans="1:32" s="12" customFormat="1" ht="21" customHeight="1">
      <c r="A4" s="441" t="s">
        <v>33</v>
      </c>
      <c r="B4" s="442"/>
      <c r="C4" s="442"/>
      <c r="D4" s="198">
        <f>SUM(D5,D88,D102,D159)</f>
        <v>70106</v>
      </c>
      <c r="E4" s="198">
        <f>SUM(F4,G4,H4,K4,I4,J4)</f>
        <v>66329.673760000005</v>
      </c>
      <c r="F4" s="198">
        <f>SUM(F5,F88,F102,F159)</f>
        <v>48141.726000000002</v>
      </c>
      <c r="G4" s="198">
        <f>SUM(G5,G88,G102,G159)</f>
        <v>1400</v>
      </c>
      <c r="H4" s="198">
        <f>SUM(H5,H88,H102,H159)</f>
        <v>12023.821759999999</v>
      </c>
      <c r="I4" s="198">
        <f>SUM(I5,I88,I102,I159,I126)</f>
        <v>613.15499999999997</v>
      </c>
      <c r="J4" s="198">
        <f>SUM(J5,J88,J102,J159,J126)</f>
        <v>3</v>
      </c>
      <c r="K4" s="198">
        <f>SUM(K5,K88,K102,K159)</f>
        <v>4147.9709999999995</v>
      </c>
      <c r="L4" s="197">
        <f>E4-D4</f>
        <v>-3776.3262399999949</v>
      </c>
      <c r="M4" s="199">
        <f>IF(D4=0,0,L4/D4)</f>
        <v>-5.3865949276809329E-2</v>
      </c>
      <c r="N4" s="200" t="s">
        <v>140</v>
      </c>
      <c r="O4" s="201"/>
      <c r="P4" s="201"/>
      <c r="Q4" s="201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>
        <f>SUM(AD5,AD88,AD102,AD159)</f>
        <v>66330329</v>
      </c>
      <c r="AE4" s="203" t="s">
        <v>25</v>
      </c>
      <c r="AF4" s="2"/>
    </row>
    <row r="5" spans="1:32" s="12" customFormat="1" ht="21" customHeight="1">
      <c r="A5" s="132" t="s">
        <v>6</v>
      </c>
      <c r="B5" s="439" t="s">
        <v>7</v>
      </c>
      <c r="C5" s="440"/>
      <c r="D5" s="195">
        <f t="shared" ref="D5:I5" si="0">SUM(D6,D50,D59)</f>
        <v>44317</v>
      </c>
      <c r="E5" s="195">
        <f t="shared" si="0"/>
        <v>41723.769999999997</v>
      </c>
      <c r="F5" s="195">
        <f t="shared" si="0"/>
        <v>34754.74</v>
      </c>
      <c r="G5" s="195">
        <f t="shared" si="0"/>
        <v>1400</v>
      </c>
      <c r="H5" s="195">
        <f t="shared" si="0"/>
        <v>1633.34476</v>
      </c>
      <c r="I5" s="195">
        <f t="shared" si="0"/>
        <v>0</v>
      </c>
      <c r="J5" s="195"/>
      <c r="K5" s="195">
        <f>SUM(K6,K50,K59)</f>
        <v>4145.79</v>
      </c>
      <c r="L5" s="128">
        <f>E5-D5</f>
        <v>-2593.2300000000032</v>
      </c>
      <c r="M5" s="204">
        <f>IF(D5=0,0,L5/D5)</f>
        <v>-5.8515468104790559E-2</v>
      </c>
      <c r="N5" s="218" t="s">
        <v>139</v>
      </c>
      <c r="O5" s="218"/>
      <c r="P5" s="218"/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>
        <f>SUM(AD6,AD50,AD59)</f>
        <v>41933530</v>
      </c>
      <c r="AE5" s="40" t="s">
        <v>25</v>
      </c>
      <c r="AF5" s="2"/>
    </row>
    <row r="6" spans="1:32" s="12" customFormat="1" ht="21" customHeight="1">
      <c r="A6" s="51"/>
      <c r="B6" s="334" t="s">
        <v>8</v>
      </c>
      <c r="C6" s="206" t="s">
        <v>5</v>
      </c>
      <c r="D6" s="207">
        <f>SUM(D7,D10,D26,D30,D46)</f>
        <v>35921</v>
      </c>
      <c r="E6" s="205">
        <f>SUM(E7,E10,E26,E30)</f>
        <v>33735.369999999995</v>
      </c>
      <c r="F6" s="205">
        <f>F7+F10+F26+F30+F46</f>
        <v>28399.579999999998</v>
      </c>
      <c r="G6" s="205">
        <f>SUM(G7,G10,G26,G30,G46)</f>
        <v>1400</v>
      </c>
      <c r="H6" s="205">
        <f>SUM(H7,H10,H26,H30)</f>
        <v>0</v>
      </c>
      <c r="I6" s="205">
        <v>0</v>
      </c>
      <c r="J6" s="205">
        <f>SUM(J7,J10,J26,J30)</f>
        <v>0</v>
      </c>
      <c r="K6" s="205">
        <f>SUM(K7,K10,K26,K30)</f>
        <v>4145.79</v>
      </c>
      <c r="L6" s="208">
        <f>E6-D6</f>
        <v>-2185.6300000000047</v>
      </c>
      <c r="M6" s="209">
        <f>IF(D6=0,0,L6/D6)</f>
        <v>-6.0845466440243995E-2</v>
      </c>
      <c r="N6" s="339" t="s">
        <v>138</v>
      </c>
      <c r="O6" s="339"/>
      <c r="P6" s="339"/>
      <c r="Q6" s="339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>
        <f>SUM(AD7,AD10,AD26,AD30,AD46)</f>
        <v>33945370</v>
      </c>
      <c r="AE6" s="210" t="s">
        <v>25</v>
      </c>
      <c r="AF6" s="2"/>
    </row>
    <row r="7" spans="1:32" s="12" customFormat="1" ht="21" customHeight="1">
      <c r="A7" s="51"/>
      <c r="B7" s="335"/>
      <c r="C7" s="334" t="s">
        <v>34</v>
      </c>
      <c r="D7" s="191">
        <v>22428</v>
      </c>
      <c r="E7" s="134">
        <f>F7</f>
        <v>21329</v>
      </c>
      <c r="F7" s="134">
        <f>AD7/1000</f>
        <v>21329</v>
      </c>
      <c r="G7" s="134">
        <v>0</v>
      </c>
      <c r="H7" s="134">
        <v>0</v>
      </c>
      <c r="I7" s="134">
        <v>0</v>
      </c>
      <c r="J7" s="134">
        <v>0</v>
      </c>
      <c r="K7" s="134">
        <v>0</v>
      </c>
      <c r="L7" s="133">
        <f>E7-D7</f>
        <v>-1099</v>
      </c>
      <c r="M7" s="140">
        <f>IF(D7=0,0,L7/D7)</f>
        <v>-4.9001248439450688E-2</v>
      </c>
      <c r="N7" s="339" t="s">
        <v>83</v>
      </c>
      <c r="O7" s="339"/>
      <c r="P7" s="220"/>
      <c r="Q7" s="220"/>
      <c r="R7" s="220"/>
      <c r="S7" s="220"/>
      <c r="T7" s="219"/>
      <c r="U7" s="219"/>
      <c r="V7" s="219"/>
      <c r="W7" s="338" t="s">
        <v>126</v>
      </c>
      <c r="X7" s="338"/>
      <c r="Y7" s="338"/>
      <c r="Z7" s="338"/>
      <c r="AA7" s="338"/>
      <c r="AB7" s="338"/>
      <c r="AC7" s="211"/>
      <c r="AD7" s="211">
        <f>SUM(AD8:AD9)</f>
        <v>21329000</v>
      </c>
      <c r="AE7" s="210" t="s">
        <v>58</v>
      </c>
      <c r="AF7" s="1"/>
    </row>
    <row r="8" spans="1:32" s="12" customFormat="1" ht="21" customHeight="1">
      <c r="A8" s="51"/>
      <c r="B8" s="335"/>
      <c r="C8" s="335"/>
      <c r="D8" s="189"/>
      <c r="E8" s="244"/>
      <c r="F8" s="244"/>
      <c r="G8" s="244"/>
      <c r="H8" s="244"/>
      <c r="I8" s="244"/>
      <c r="J8" s="244"/>
      <c r="K8" s="244"/>
      <c r="L8" s="129"/>
      <c r="M8" s="86"/>
      <c r="N8" s="84" t="s">
        <v>175</v>
      </c>
      <c r="O8" s="245" t="s">
        <v>400</v>
      </c>
      <c r="P8" s="340"/>
      <c r="Q8" s="340"/>
      <c r="R8" s="84">
        <v>1869000</v>
      </c>
      <c r="S8" s="84"/>
      <c r="T8" s="85" t="s">
        <v>171</v>
      </c>
      <c r="U8" s="85" t="s">
        <v>172</v>
      </c>
      <c r="V8" s="85">
        <v>1</v>
      </c>
      <c r="W8" s="85" t="s">
        <v>173</v>
      </c>
      <c r="X8" s="85" t="s">
        <v>172</v>
      </c>
      <c r="Y8" s="246">
        <v>5</v>
      </c>
      <c r="Z8" s="85" t="s">
        <v>29</v>
      </c>
      <c r="AA8" s="85" t="s">
        <v>174</v>
      </c>
      <c r="AB8" s="340"/>
      <c r="AC8" s="83"/>
      <c r="AD8" s="83">
        <f t="shared" ref="AD8:AD9" si="1">R8*V8*Y8</f>
        <v>9345000</v>
      </c>
      <c r="AE8" s="62" t="s">
        <v>25</v>
      </c>
      <c r="AF8" s="1"/>
    </row>
    <row r="9" spans="1:32" s="12" customFormat="1" ht="21" customHeight="1">
      <c r="A9" s="51"/>
      <c r="B9" s="335"/>
      <c r="C9" s="64"/>
      <c r="D9" s="190"/>
      <c r="E9" s="131"/>
      <c r="F9" s="131"/>
      <c r="G9" s="131"/>
      <c r="H9" s="131"/>
      <c r="I9" s="131"/>
      <c r="J9" s="131"/>
      <c r="K9" s="131"/>
      <c r="L9" s="131"/>
      <c r="M9" s="104"/>
      <c r="N9" s="84"/>
      <c r="O9" s="245" t="s">
        <v>399</v>
      </c>
      <c r="P9" s="340"/>
      <c r="Q9" s="340"/>
      <c r="R9" s="84">
        <v>1712000</v>
      </c>
      <c r="S9" s="84"/>
      <c r="T9" s="85" t="s">
        <v>171</v>
      </c>
      <c r="U9" s="85" t="s">
        <v>172</v>
      </c>
      <c r="V9" s="85">
        <v>1</v>
      </c>
      <c r="W9" s="85" t="s">
        <v>173</v>
      </c>
      <c r="X9" s="85" t="s">
        <v>172</v>
      </c>
      <c r="Y9" s="246">
        <v>7</v>
      </c>
      <c r="Z9" s="85" t="s">
        <v>29</v>
      </c>
      <c r="AA9" s="85" t="s">
        <v>174</v>
      </c>
      <c r="AB9" s="340"/>
      <c r="AC9" s="83"/>
      <c r="AD9" s="83">
        <f t="shared" si="1"/>
        <v>11984000</v>
      </c>
      <c r="AE9" s="62" t="s">
        <v>25</v>
      </c>
      <c r="AF9" s="1"/>
    </row>
    <row r="10" spans="1:32" s="12" customFormat="1" ht="21" customHeight="1">
      <c r="A10" s="51"/>
      <c r="B10" s="335"/>
      <c r="C10" s="334" t="s">
        <v>35</v>
      </c>
      <c r="D10" s="191">
        <v>7947</v>
      </c>
      <c r="E10" s="134">
        <f>F10+G10+H10+K10</f>
        <v>7375.49</v>
      </c>
      <c r="F10" s="134">
        <f>SUM(명절휴가비,AD15)/1000</f>
        <v>2348.6</v>
      </c>
      <c r="G10" s="134">
        <f>SUM(AD23)/1000</f>
        <v>1200</v>
      </c>
      <c r="H10" s="134">
        <v>0</v>
      </c>
      <c r="I10" s="134">
        <v>0</v>
      </c>
      <c r="J10" s="134">
        <v>0</v>
      </c>
      <c r="K10" s="134">
        <f>SUM(연장근로수당)/1000</f>
        <v>3826.89</v>
      </c>
      <c r="L10" s="133">
        <f>E10-D10</f>
        <v>-571.51000000000022</v>
      </c>
      <c r="M10" s="140">
        <f>IF(D10=0,0,L10/D10)</f>
        <v>-7.1915188121303666E-2</v>
      </c>
      <c r="N10" s="118" t="s">
        <v>36</v>
      </c>
      <c r="O10" s="339"/>
      <c r="P10" s="220"/>
      <c r="Q10" s="220"/>
      <c r="R10" s="220"/>
      <c r="S10" s="220"/>
      <c r="T10" s="219"/>
      <c r="U10" s="219"/>
      <c r="V10" s="219"/>
      <c r="W10" s="338" t="s">
        <v>126</v>
      </c>
      <c r="X10" s="338"/>
      <c r="Y10" s="338"/>
      <c r="Z10" s="338"/>
      <c r="AA10" s="338"/>
      <c r="AB10" s="338"/>
      <c r="AC10" s="211"/>
      <c r="AD10" s="211">
        <f>SUM(명절휴가비,연장근로수당,AD15,AD23)</f>
        <v>7375490</v>
      </c>
      <c r="AE10" s="210" t="s">
        <v>58</v>
      </c>
      <c r="AF10" s="1"/>
    </row>
    <row r="11" spans="1:32" s="12" customFormat="1" ht="21" customHeight="1">
      <c r="A11" s="51"/>
      <c r="B11" s="335"/>
      <c r="C11" s="335"/>
      <c r="D11" s="189"/>
      <c r="E11" s="129"/>
      <c r="F11" s="129"/>
      <c r="G11" s="129"/>
      <c r="H11" s="129"/>
      <c r="I11" s="129"/>
      <c r="J11" s="129"/>
      <c r="K11" s="129"/>
      <c r="L11" s="129"/>
      <c r="M11" s="86"/>
      <c r="N11" s="337" t="s">
        <v>177</v>
      </c>
      <c r="O11" s="341"/>
      <c r="P11" s="341"/>
      <c r="Q11" s="341"/>
      <c r="R11" s="341"/>
      <c r="S11" s="341"/>
      <c r="T11" s="340"/>
      <c r="U11" s="340"/>
      <c r="V11" s="340"/>
      <c r="W11" s="336" t="s">
        <v>73</v>
      </c>
      <c r="X11" s="336"/>
      <c r="Y11" s="336"/>
      <c r="Z11" s="336"/>
      <c r="AA11" s="336"/>
      <c r="AB11" s="336"/>
      <c r="AC11" s="88" t="s">
        <v>88</v>
      </c>
      <c r="AD11" s="88">
        <f>SUM(AD12:AD13)</f>
        <v>2148600</v>
      </c>
      <c r="AE11" s="89" t="s">
        <v>58</v>
      </c>
      <c r="AF11" s="18"/>
    </row>
    <row r="12" spans="1:32" s="12" customFormat="1" ht="21" customHeight="1">
      <c r="A12" s="51"/>
      <c r="B12" s="335"/>
      <c r="C12" s="335"/>
      <c r="D12" s="189"/>
      <c r="E12" s="129"/>
      <c r="F12" s="129"/>
      <c r="G12" s="129"/>
      <c r="H12" s="129"/>
      <c r="I12" s="129"/>
      <c r="J12" s="129"/>
      <c r="K12" s="129"/>
      <c r="L12" s="129"/>
      <c r="M12" s="86"/>
      <c r="N12" s="251" t="s">
        <v>226</v>
      </c>
      <c r="O12" s="258" t="str">
        <f>O8</f>
        <v>4호</v>
      </c>
      <c r="P12" s="341"/>
      <c r="Q12" s="341"/>
      <c r="R12" s="84">
        <v>1869000</v>
      </c>
      <c r="S12" s="84"/>
      <c r="T12" s="85" t="s">
        <v>171</v>
      </c>
      <c r="U12" s="85" t="s">
        <v>172</v>
      </c>
      <c r="V12" s="247">
        <v>1</v>
      </c>
      <c r="W12" s="85" t="s">
        <v>172</v>
      </c>
      <c r="X12" s="248">
        <v>0.6</v>
      </c>
      <c r="Y12" s="249">
        <v>1</v>
      </c>
      <c r="Z12" s="250" t="s">
        <v>176</v>
      </c>
      <c r="AA12" s="85" t="s">
        <v>174</v>
      </c>
      <c r="AB12" s="340"/>
      <c r="AC12" s="83"/>
      <c r="AD12" s="83">
        <f t="shared" ref="AD12" si="2">R12*V12*X12*Y12</f>
        <v>1121400</v>
      </c>
      <c r="AE12" s="62" t="s">
        <v>171</v>
      </c>
      <c r="AF12" s="18"/>
    </row>
    <row r="13" spans="1:32" s="12" customFormat="1" ht="21" customHeight="1">
      <c r="A13" s="51"/>
      <c r="B13" s="335"/>
      <c r="C13" s="335"/>
      <c r="D13" s="189"/>
      <c r="E13" s="129"/>
      <c r="F13" s="129"/>
      <c r="G13" s="129"/>
      <c r="H13" s="129"/>
      <c r="I13" s="129"/>
      <c r="J13" s="129"/>
      <c r="K13" s="129"/>
      <c r="L13" s="129"/>
      <c r="M13" s="86"/>
      <c r="N13" s="341" t="s">
        <v>227</v>
      </c>
      <c r="O13" s="258" t="str">
        <f>O9</f>
        <v>1호</v>
      </c>
      <c r="P13" s="341"/>
      <c r="Q13" s="341"/>
      <c r="R13" s="84">
        <v>1712000</v>
      </c>
      <c r="S13" s="84"/>
      <c r="T13" s="85" t="s">
        <v>171</v>
      </c>
      <c r="U13" s="85" t="s">
        <v>172</v>
      </c>
      <c r="V13" s="247">
        <v>1</v>
      </c>
      <c r="W13" s="85" t="s">
        <v>172</v>
      </c>
      <c r="X13" s="248">
        <v>0.6</v>
      </c>
      <c r="Y13" s="249">
        <v>1</v>
      </c>
      <c r="Z13" s="250" t="s">
        <v>29</v>
      </c>
      <c r="AA13" s="85" t="s">
        <v>174</v>
      </c>
      <c r="AB13" s="340"/>
      <c r="AC13" s="83"/>
      <c r="AD13" s="83">
        <f>R13*V13*X13*Y13</f>
        <v>1027200</v>
      </c>
      <c r="AE13" s="62" t="s">
        <v>171</v>
      </c>
      <c r="AF13" s="18"/>
    </row>
    <row r="14" spans="1:32" s="12" customFormat="1" ht="21" customHeight="1">
      <c r="A14" s="51"/>
      <c r="B14" s="335"/>
      <c r="C14" s="335"/>
      <c r="D14" s="189"/>
      <c r="E14" s="129"/>
      <c r="F14" s="129"/>
      <c r="G14" s="129"/>
      <c r="H14" s="129"/>
      <c r="I14" s="129"/>
      <c r="J14" s="129"/>
      <c r="K14" s="129"/>
      <c r="L14" s="129"/>
      <c r="M14" s="86"/>
      <c r="N14" s="341"/>
      <c r="O14" s="258"/>
      <c r="P14" s="341"/>
      <c r="Q14" s="341"/>
      <c r="R14" s="84"/>
      <c r="S14" s="84"/>
      <c r="T14" s="85"/>
      <c r="U14" s="85"/>
      <c r="V14" s="247"/>
      <c r="W14" s="85"/>
      <c r="X14" s="248"/>
      <c r="Y14" s="249"/>
      <c r="Z14" s="250"/>
      <c r="AA14" s="85"/>
      <c r="AB14" s="340"/>
      <c r="AC14" s="83"/>
      <c r="AD14" s="83"/>
      <c r="AE14" s="62"/>
      <c r="AF14" s="18"/>
    </row>
    <row r="15" spans="1:32" s="12" customFormat="1" ht="21" customHeight="1">
      <c r="A15" s="51"/>
      <c r="B15" s="335"/>
      <c r="C15" s="335"/>
      <c r="D15" s="189"/>
      <c r="E15" s="129"/>
      <c r="F15" s="129"/>
      <c r="G15" s="129"/>
      <c r="H15" s="129"/>
      <c r="I15" s="129"/>
      <c r="J15" s="129"/>
      <c r="K15" s="129"/>
      <c r="L15" s="129"/>
      <c r="M15" s="86"/>
      <c r="N15" s="337" t="s">
        <v>223</v>
      </c>
      <c r="O15" s="258"/>
      <c r="P15" s="341"/>
      <c r="Q15" s="341"/>
      <c r="R15" s="84"/>
      <c r="S15" s="84"/>
      <c r="T15" s="85"/>
      <c r="U15" s="85"/>
      <c r="V15" s="247"/>
      <c r="W15" s="336" t="s">
        <v>73</v>
      </c>
      <c r="X15" s="336"/>
      <c r="Y15" s="336"/>
      <c r="Z15" s="336"/>
      <c r="AA15" s="336"/>
      <c r="AB15" s="336"/>
      <c r="AC15" s="88" t="s">
        <v>63</v>
      </c>
      <c r="AD15" s="88">
        <f>SUM(AD16:AD16)</f>
        <v>200000</v>
      </c>
      <c r="AE15" s="89" t="s">
        <v>58</v>
      </c>
      <c r="AF15" s="18"/>
    </row>
    <row r="16" spans="1:32" s="12" customFormat="1" ht="21" customHeight="1">
      <c r="A16" s="51"/>
      <c r="B16" s="335"/>
      <c r="C16" s="335"/>
      <c r="D16" s="189"/>
      <c r="E16" s="129"/>
      <c r="F16" s="129"/>
      <c r="G16" s="129"/>
      <c r="H16" s="129"/>
      <c r="I16" s="129"/>
      <c r="J16" s="129"/>
      <c r="K16" s="129"/>
      <c r="L16" s="129"/>
      <c r="M16" s="86"/>
      <c r="N16" s="341" t="s">
        <v>332</v>
      </c>
      <c r="O16" s="258"/>
      <c r="P16" s="341"/>
      <c r="Q16" s="341"/>
      <c r="R16" s="84">
        <v>40000</v>
      </c>
      <c r="S16" s="84"/>
      <c r="T16" s="85" t="s">
        <v>228</v>
      </c>
      <c r="U16" s="85"/>
      <c r="V16" s="247"/>
      <c r="W16" s="85"/>
      <c r="X16" s="248"/>
      <c r="Y16" s="249">
        <v>5</v>
      </c>
      <c r="Z16" s="250" t="s">
        <v>229</v>
      </c>
      <c r="AA16" s="85"/>
      <c r="AB16" s="340"/>
      <c r="AC16" s="83"/>
      <c r="AD16" s="83">
        <f>R16*Y16</f>
        <v>200000</v>
      </c>
      <c r="AE16" s="62" t="s">
        <v>230</v>
      </c>
      <c r="AF16" s="18"/>
    </row>
    <row r="17" spans="1:32" s="12" customFormat="1" ht="21" customHeight="1">
      <c r="A17" s="51"/>
      <c r="B17" s="335"/>
      <c r="C17" s="335"/>
      <c r="D17" s="189"/>
      <c r="E17" s="129"/>
      <c r="F17" s="129"/>
      <c r="G17" s="129"/>
      <c r="H17" s="129"/>
      <c r="I17" s="129"/>
      <c r="J17" s="129"/>
      <c r="K17" s="129"/>
      <c r="L17" s="129"/>
      <c r="M17" s="86"/>
      <c r="N17" s="341"/>
      <c r="O17" s="341"/>
      <c r="P17" s="341"/>
      <c r="Q17" s="341"/>
      <c r="R17" s="341"/>
      <c r="S17" s="341"/>
      <c r="T17" s="340"/>
      <c r="U17" s="340"/>
      <c r="V17" s="340"/>
      <c r="W17" s="340"/>
      <c r="X17" s="340"/>
      <c r="Y17" s="340"/>
      <c r="Z17" s="340"/>
      <c r="AA17" s="340"/>
      <c r="AB17" s="340"/>
      <c r="AC17" s="83"/>
      <c r="AD17" s="83"/>
      <c r="AE17" s="62"/>
      <c r="AF17" s="18"/>
    </row>
    <row r="18" spans="1:32" s="12" customFormat="1" ht="21" customHeight="1">
      <c r="A18" s="51"/>
      <c r="B18" s="335"/>
      <c r="C18" s="335"/>
      <c r="D18" s="189"/>
      <c r="E18" s="129"/>
      <c r="F18" s="129"/>
      <c r="G18" s="129"/>
      <c r="H18" s="129"/>
      <c r="I18" s="129"/>
      <c r="J18" s="129"/>
      <c r="K18" s="129"/>
      <c r="L18" s="129"/>
      <c r="M18" s="86"/>
      <c r="N18" s="337" t="s">
        <v>224</v>
      </c>
      <c r="O18" s="341"/>
      <c r="P18" s="341"/>
      <c r="Q18" s="341"/>
      <c r="R18" s="341"/>
      <c r="S18" s="341"/>
      <c r="T18" s="340"/>
      <c r="U18" s="340"/>
      <c r="V18" s="340"/>
      <c r="W18" s="336" t="s">
        <v>73</v>
      </c>
      <c r="X18" s="336"/>
      <c r="Y18" s="336"/>
      <c r="Z18" s="336"/>
      <c r="AA18" s="336"/>
      <c r="AB18" s="336"/>
      <c r="AC18" s="88" t="s">
        <v>88</v>
      </c>
      <c r="AD18" s="88">
        <f>AD19+AD20</f>
        <v>3826890</v>
      </c>
      <c r="AE18" s="89" t="s">
        <v>58</v>
      </c>
      <c r="AF18" s="18"/>
    </row>
    <row r="19" spans="1:32" s="12" customFormat="1" ht="21" customHeight="1">
      <c r="A19" s="51"/>
      <c r="B19" s="335"/>
      <c r="C19" s="335"/>
      <c r="D19" s="189"/>
      <c r="E19" s="129"/>
      <c r="F19" s="129"/>
      <c r="G19" s="129"/>
      <c r="H19" s="129"/>
      <c r="I19" s="129"/>
      <c r="J19" s="129"/>
      <c r="K19" s="129"/>
      <c r="L19" s="129"/>
      <c r="M19" s="86"/>
      <c r="N19" s="341"/>
      <c r="O19" s="258" t="str">
        <f>O8</f>
        <v>4호</v>
      </c>
      <c r="P19" s="340"/>
      <c r="Q19" s="340"/>
      <c r="R19" s="84">
        <v>1869000</v>
      </c>
      <c r="S19" s="85" t="s">
        <v>58</v>
      </c>
      <c r="T19" s="85" t="s">
        <v>59</v>
      </c>
      <c r="U19" s="241">
        <v>25</v>
      </c>
      <c r="V19" s="90" t="s">
        <v>59</v>
      </c>
      <c r="W19" s="242">
        <v>5</v>
      </c>
      <c r="X19" s="243">
        <v>1.5</v>
      </c>
      <c r="Y19" s="229" t="s">
        <v>74</v>
      </c>
      <c r="Z19" s="229">
        <v>209</v>
      </c>
      <c r="AA19" s="229" t="s">
        <v>54</v>
      </c>
      <c r="AB19" s="340"/>
      <c r="AC19" s="83"/>
      <c r="AD19" s="83">
        <f>ROUNDDOWN(R19*U19*X19/Z19,-1)*W19</f>
        <v>1676700</v>
      </c>
      <c r="AE19" s="62" t="s">
        <v>58</v>
      </c>
      <c r="AF19" s="18"/>
    </row>
    <row r="20" spans="1:32" s="12" customFormat="1" ht="21" customHeight="1">
      <c r="A20" s="51"/>
      <c r="B20" s="335"/>
      <c r="C20" s="335"/>
      <c r="D20" s="189"/>
      <c r="E20" s="129"/>
      <c r="F20" s="129"/>
      <c r="G20" s="129"/>
      <c r="H20" s="129"/>
      <c r="I20" s="129"/>
      <c r="J20" s="129"/>
      <c r="K20" s="129"/>
      <c r="L20" s="129"/>
      <c r="M20" s="86"/>
      <c r="N20" s="341"/>
      <c r="O20" s="258" t="str">
        <f>O9</f>
        <v>1호</v>
      </c>
      <c r="P20" s="217"/>
      <c r="Q20" s="217"/>
      <c r="R20" s="84">
        <f>R9</f>
        <v>1712000</v>
      </c>
      <c r="S20" s="85" t="s">
        <v>58</v>
      </c>
      <c r="T20" s="85" t="s">
        <v>59</v>
      </c>
      <c r="U20" s="241">
        <v>25</v>
      </c>
      <c r="V20" s="90" t="s">
        <v>59</v>
      </c>
      <c r="W20" s="242">
        <v>7</v>
      </c>
      <c r="X20" s="243">
        <v>1.5</v>
      </c>
      <c r="Y20" s="229" t="s">
        <v>74</v>
      </c>
      <c r="Z20" s="229">
        <v>209</v>
      </c>
      <c r="AA20" s="229" t="s">
        <v>54</v>
      </c>
      <c r="AB20" s="340"/>
      <c r="AC20" s="83"/>
      <c r="AD20" s="83">
        <f>ROUNDDOWN(R20*U20*X20/Z20,-1)*W20</f>
        <v>2150190</v>
      </c>
      <c r="AE20" s="62" t="s">
        <v>58</v>
      </c>
      <c r="AF20" s="18"/>
    </row>
    <row r="21" spans="1:32" s="12" customFormat="1" ht="21" customHeight="1">
      <c r="A21" s="51"/>
      <c r="B21" s="335"/>
      <c r="C21" s="335"/>
      <c r="D21" s="189"/>
      <c r="E21" s="129"/>
      <c r="F21" s="129"/>
      <c r="G21" s="129"/>
      <c r="H21" s="129"/>
      <c r="I21" s="129"/>
      <c r="J21" s="129"/>
      <c r="K21" s="129"/>
      <c r="L21" s="129"/>
      <c r="M21" s="86"/>
      <c r="N21" s="341"/>
      <c r="O21" s="258"/>
      <c r="P21" s="217"/>
      <c r="Q21" s="217"/>
      <c r="R21" s="84"/>
      <c r="S21" s="85"/>
      <c r="T21" s="85"/>
      <c r="U21" s="241"/>
      <c r="V21" s="90"/>
      <c r="W21" s="242"/>
      <c r="X21" s="243"/>
      <c r="Y21" s="229"/>
      <c r="Z21" s="229"/>
      <c r="AA21" s="229"/>
      <c r="AB21" s="340"/>
      <c r="AC21" s="83"/>
      <c r="AD21" s="83"/>
      <c r="AE21" s="62"/>
      <c r="AF21" s="18"/>
    </row>
    <row r="22" spans="1:32" s="12" customFormat="1" ht="21" customHeight="1">
      <c r="A22" s="51"/>
      <c r="B22" s="335"/>
      <c r="C22" s="335"/>
      <c r="D22" s="189"/>
      <c r="E22" s="129"/>
      <c r="F22" s="129"/>
      <c r="G22" s="129"/>
      <c r="H22" s="129"/>
      <c r="I22" s="129"/>
      <c r="J22" s="129"/>
      <c r="K22" s="129"/>
      <c r="L22" s="129"/>
      <c r="M22" s="86"/>
      <c r="N22" s="341"/>
      <c r="O22" s="341"/>
      <c r="P22" s="341"/>
      <c r="Q22" s="341"/>
      <c r="R22" s="341"/>
      <c r="S22" s="341"/>
      <c r="T22" s="340"/>
      <c r="U22" s="340"/>
      <c r="V22" s="340"/>
      <c r="W22" s="340"/>
      <c r="X22" s="340"/>
      <c r="Y22" s="340"/>
      <c r="Z22" s="340"/>
      <c r="AA22" s="340"/>
      <c r="AB22" s="340"/>
      <c r="AC22" s="83"/>
      <c r="AD22" s="83"/>
      <c r="AE22" s="62"/>
      <c r="AF22" s="18"/>
    </row>
    <row r="23" spans="1:32" s="12" customFormat="1" ht="21" customHeight="1">
      <c r="A23" s="51"/>
      <c r="B23" s="335"/>
      <c r="C23" s="335"/>
      <c r="D23" s="189"/>
      <c r="E23" s="129"/>
      <c r="F23" s="129"/>
      <c r="G23" s="129"/>
      <c r="H23" s="129"/>
      <c r="I23" s="129"/>
      <c r="J23" s="129"/>
      <c r="K23" s="129"/>
      <c r="L23" s="129"/>
      <c r="M23" s="86"/>
      <c r="N23" s="337" t="s">
        <v>225</v>
      </c>
      <c r="O23" s="341"/>
      <c r="P23" s="341"/>
      <c r="Q23" s="341"/>
      <c r="R23" s="341"/>
      <c r="S23" s="341"/>
      <c r="T23" s="340"/>
      <c r="U23" s="340"/>
      <c r="V23" s="340"/>
      <c r="W23" s="336" t="s">
        <v>89</v>
      </c>
      <c r="X23" s="336"/>
      <c r="Y23" s="336"/>
      <c r="Z23" s="336"/>
      <c r="AA23" s="336"/>
      <c r="AB23" s="336"/>
      <c r="AC23" s="88" t="s">
        <v>91</v>
      </c>
      <c r="AD23" s="88">
        <f>SUM(AD24:AD24)</f>
        <v>1200000</v>
      </c>
      <c r="AE23" s="89" t="s">
        <v>90</v>
      </c>
      <c r="AF23" s="18"/>
    </row>
    <row r="24" spans="1:32" s="12" customFormat="1" ht="21" customHeight="1">
      <c r="A24" s="51"/>
      <c r="B24" s="335"/>
      <c r="C24" s="335"/>
      <c r="D24" s="189"/>
      <c r="E24" s="129"/>
      <c r="F24" s="129"/>
      <c r="G24" s="129"/>
      <c r="H24" s="129"/>
      <c r="I24" s="129"/>
      <c r="J24" s="129"/>
      <c r="K24" s="129"/>
      <c r="L24" s="129"/>
      <c r="M24" s="86"/>
      <c r="N24" s="341"/>
      <c r="O24" s="341"/>
      <c r="P24" s="341"/>
      <c r="Q24" s="341"/>
      <c r="R24" s="84">
        <v>100000</v>
      </c>
      <c r="S24" s="84"/>
      <c r="T24" s="85" t="s">
        <v>171</v>
      </c>
      <c r="U24" s="85" t="s">
        <v>172</v>
      </c>
      <c r="V24" s="85">
        <v>1</v>
      </c>
      <c r="W24" s="85" t="s">
        <v>173</v>
      </c>
      <c r="X24" s="85" t="s">
        <v>172</v>
      </c>
      <c r="Y24" s="246">
        <v>12</v>
      </c>
      <c r="Z24" s="85" t="s">
        <v>29</v>
      </c>
      <c r="AA24" s="85" t="s">
        <v>174</v>
      </c>
      <c r="AB24" s="340"/>
      <c r="AC24" s="83"/>
      <c r="AD24" s="83">
        <f t="shared" ref="AD24" si="3">R24*V24*Y24</f>
        <v>1200000</v>
      </c>
      <c r="AE24" s="62" t="s">
        <v>25</v>
      </c>
      <c r="AF24" s="18"/>
    </row>
    <row r="25" spans="1:32" s="12" customFormat="1" ht="21" customHeight="1">
      <c r="A25" s="51"/>
      <c r="B25" s="335"/>
      <c r="C25" s="335"/>
      <c r="D25" s="189"/>
      <c r="E25" s="129"/>
      <c r="F25" s="129"/>
      <c r="G25" s="129"/>
      <c r="H25" s="129"/>
      <c r="I25" s="129"/>
      <c r="J25" s="129"/>
      <c r="K25" s="129"/>
      <c r="L25" s="129"/>
      <c r="M25" s="86"/>
      <c r="N25" s="341"/>
      <c r="O25" s="341"/>
      <c r="P25" s="341"/>
      <c r="Q25" s="341"/>
      <c r="R25" s="340"/>
      <c r="S25" s="340"/>
      <c r="T25" s="60"/>
      <c r="U25" s="143"/>
      <c r="V25" s="60"/>
      <c r="W25" s="141"/>
      <c r="X25" s="141"/>
      <c r="Y25" s="340"/>
      <c r="Z25" s="340"/>
      <c r="AA25" s="340"/>
      <c r="AB25" s="340"/>
      <c r="AC25" s="340"/>
      <c r="AD25" s="340"/>
      <c r="AE25" s="62"/>
      <c r="AF25" s="18"/>
    </row>
    <row r="26" spans="1:32" s="12" customFormat="1" ht="21" customHeight="1">
      <c r="A26" s="51"/>
      <c r="B26" s="335"/>
      <c r="C26" s="334" t="s">
        <v>9</v>
      </c>
      <c r="D26" s="191">
        <v>2531</v>
      </c>
      <c r="E26" s="134">
        <f>F26+G26+H26+K26</f>
        <v>2392.0300000000002</v>
      </c>
      <c r="F26" s="134">
        <f>AD27/1000</f>
        <v>2073.13</v>
      </c>
      <c r="G26" s="134">
        <v>0</v>
      </c>
      <c r="H26" s="134">
        <v>0</v>
      </c>
      <c r="I26" s="134">
        <v>0</v>
      </c>
      <c r="J26" s="134">
        <v>0</v>
      </c>
      <c r="K26" s="134">
        <f>AD28/1000</f>
        <v>318.89999999999998</v>
      </c>
      <c r="L26" s="133">
        <f>E26-D26</f>
        <v>-138.9699999999998</v>
      </c>
      <c r="M26" s="140">
        <f>IF(D26=0,0,L26/D26)</f>
        <v>-5.4907151323587436E-2</v>
      </c>
      <c r="N26" s="118" t="s">
        <v>37</v>
      </c>
      <c r="O26" s="339"/>
      <c r="P26" s="220"/>
      <c r="Q26" s="220"/>
      <c r="R26" s="220"/>
      <c r="S26" s="220"/>
      <c r="T26" s="219"/>
      <c r="U26" s="219"/>
      <c r="V26" s="219"/>
      <c r="W26" s="338" t="s">
        <v>217</v>
      </c>
      <c r="X26" s="338"/>
      <c r="Y26" s="338"/>
      <c r="Z26" s="338"/>
      <c r="AA26" s="338"/>
      <c r="AB26" s="338"/>
      <c r="AC26" s="211" t="s">
        <v>218</v>
      </c>
      <c r="AD26" s="211">
        <f>AD27+AD28</f>
        <v>2392030</v>
      </c>
      <c r="AE26" s="210" t="s">
        <v>219</v>
      </c>
      <c r="AF26" s="2"/>
    </row>
    <row r="27" spans="1:32" s="12" customFormat="1" ht="21" customHeight="1">
      <c r="A27" s="51"/>
      <c r="B27" s="335"/>
      <c r="C27" s="335"/>
      <c r="D27" s="192"/>
      <c r="E27" s="129"/>
      <c r="F27" s="129"/>
      <c r="G27" s="129"/>
      <c r="H27" s="129"/>
      <c r="I27" s="129"/>
      <c r="J27" s="129"/>
      <c r="K27" s="129"/>
      <c r="L27" s="135"/>
      <c r="M27" s="86"/>
      <c r="N27" s="341" t="s">
        <v>231</v>
      </c>
      <c r="O27" s="341"/>
      <c r="P27" s="341"/>
      <c r="Q27" s="341"/>
      <c r="R27" s="340">
        <f>AD7+명절휴가비+AD15+AD23</f>
        <v>24877600</v>
      </c>
      <c r="S27" s="340"/>
      <c r="T27" s="229" t="s">
        <v>58</v>
      </c>
      <c r="U27" s="229" t="s">
        <v>74</v>
      </c>
      <c r="V27" s="93">
        <v>12</v>
      </c>
      <c r="W27" s="90" t="s">
        <v>0</v>
      </c>
      <c r="X27" s="340"/>
      <c r="Y27" s="340"/>
      <c r="Z27" s="340"/>
      <c r="AA27" s="340" t="s">
        <v>75</v>
      </c>
      <c r="AB27" s="340"/>
      <c r="AC27" s="83"/>
      <c r="AD27" s="83">
        <f>ROUNDDOWN(R27/V27,-1)</f>
        <v>2073130</v>
      </c>
      <c r="AE27" s="62" t="s">
        <v>68</v>
      </c>
      <c r="AF27" s="2"/>
    </row>
    <row r="28" spans="1:32" s="12" customFormat="1" ht="21" customHeight="1">
      <c r="A28" s="51"/>
      <c r="B28" s="335"/>
      <c r="C28" s="335"/>
      <c r="D28" s="192"/>
      <c r="E28" s="129"/>
      <c r="F28" s="129"/>
      <c r="G28" s="129"/>
      <c r="H28" s="129"/>
      <c r="I28" s="129"/>
      <c r="J28" s="129"/>
      <c r="K28" s="129"/>
      <c r="L28" s="135"/>
      <c r="M28" s="86"/>
      <c r="N28" s="341" t="s">
        <v>232</v>
      </c>
      <c r="O28" s="341"/>
      <c r="P28" s="341"/>
      <c r="Q28" s="341"/>
      <c r="R28" s="340">
        <f>연장근로수당</f>
        <v>3826890</v>
      </c>
      <c r="S28" s="340"/>
      <c r="T28" s="229" t="s">
        <v>58</v>
      </c>
      <c r="U28" s="229" t="s">
        <v>74</v>
      </c>
      <c r="V28" s="93">
        <v>12</v>
      </c>
      <c r="W28" s="90" t="s">
        <v>229</v>
      </c>
      <c r="X28" s="340"/>
      <c r="Y28" s="340"/>
      <c r="Z28" s="340"/>
      <c r="AA28" s="340" t="s">
        <v>215</v>
      </c>
      <c r="AB28" s="340"/>
      <c r="AC28" s="83"/>
      <c r="AD28" s="83">
        <f>ROUNDDOWN(R28/V28,-1)</f>
        <v>318900</v>
      </c>
      <c r="AE28" s="62" t="s">
        <v>230</v>
      </c>
      <c r="AF28" s="2"/>
    </row>
    <row r="29" spans="1:32" s="12" customFormat="1" ht="21" customHeight="1">
      <c r="A29" s="51"/>
      <c r="B29" s="335"/>
      <c r="C29" s="335"/>
      <c r="D29" s="193"/>
      <c r="E29" s="129"/>
      <c r="F29" s="129"/>
      <c r="G29" s="129"/>
      <c r="H29" s="129"/>
      <c r="I29" s="129"/>
      <c r="J29" s="129"/>
      <c r="K29" s="129"/>
      <c r="L29" s="135"/>
      <c r="M29" s="86"/>
      <c r="N29" s="218"/>
      <c r="O29" s="218"/>
      <c r="P29" s="218"/>
      <c r="Q29" s="218"/>
      <c r="R29" s="218"/>
      <c r="S29" s="218"/>
      <c r="T29" s="217"/>
      <c r="U29" s="217"/>
      <c r="V29" s="217"/>
      <c r="W29" s="217"/>
      <c r="X29" s="217"/>
      <c r="Y29" s="217"/>
      <c r="Z29" s="217"/>
      <c r="AA29" s="217"/>
      <c r="AB29" s="217"/>
      <c r="AC29" s="57"/>
      <c r="AD29" s="57"/>
      <c r="AE29" s="40"/>
      <c r="AF29" s="2"/>
    </row>
    <row r="30" spans="1:32" s="12" customFormat="1" ht="21" customHeight="1">
      <c r="A30" s="51"/>
      <c r="B30" s="335"/>
      <c r="C30" s="144" t="s">
        <v>92</v>
      </c>
      <c r="D30" s="191">
        <v>2815</v>
      </c>
      <c r="E30" s="134">
        <f>F30</f>
        <v>2638.85</v>
      </c>
      <c r="F30" s="134">
        <f>AD30/1000</f>
        <v>2638.85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45">
        <f>E30-D30</f>
        <v>-176.15000000000009</v>
      </c>
      <c r="M30" s="140">
        <f>IF(D30=0,0,L30/D30)</f>
        <v>-6.2575488454706965E-2</v>
      </c>
      <c r="N30" s="118" t="s">
        <v>38</v>
      </c>
      <c r="O30" s="339"/>
      <c r="P30" s="220"/>
      <c r="Q30" s="220"/>
      <c r="R30" s="220"/>
      <c r="S30" s="220"/>
      <c r="T30" s="219"/>
      <c r="U30" s="219"/>
      <c r="V30" s="219"/>
      <c r="W30" s="338" t="s">
        <v>126</v>
      </c>
      <c r="X30" s="338"/>
      <c r="Y30" s="338"/>
      <c r="Z30" s="338" t="s">
        <v>314</v>
      </c>
      <c r="AA30" s="338"/>
      <c r="AB30" s="338"/>
      <c r="AC30" s="211"/>
      <c r="AD30" s="211">
        <f>SUM(AD31:AD44)</f>
        <v>2638850</v>
      </c>
      <c r="AE30" s="210" t="s">
        <v>25</v>
      </c>
    </row>
    <row r="31" spans="1:32" s="12" customFormat="1" ht="21" customHeight="1">
      <c r="A31" s="51"/>
      <c r="B31" s="335"/>
      <c r="C31" s="286"/>
      <c r="D31" s="189"/>
      <c r="E31" s="244"/>
      <c r="F31" s="244"/>
      <c r="G31" s="244"/>
      <c r="H31" s="244"/>
      <c r="I31" s="244"/>
      <c r="J31" s="244"/>
      <c r="K31" s="244"/>
      <c r="L31" s="287"/>
      <c r="M31" s="86"/>
      <c r="N31" s="341" t="s">
        <v>180</v>
      </c>
      <c r="O31" s="218"/>
      <c r="P31" s="218"/>
      <c r="Q31" s="218"/>
      <c r="R31" s="340">
        <v>92070</v>
      </c>
      <c r="S31" s="340"/>
      <c r="T31" s="229" t="s">
        <v>58</v>
      </c>
      <c r="U31" s="229" t="s">
        <v>26</v>
      </c>
      <c r="V31" s="361"/>
      <c r="W31" s="229"/>
      <c r="X31" s="285">
        <v>6</v>
      </c>
      <c r="Y31" s="288"/>
      <c r="Z31" s="92"/>
      <c r="AA31" s="229" t="s">
        <v>54</v>
      </c>
      <c r="AB31" s="340"/>
      <c r="AC31" s="83"/>
      <c r="AD31" s="83">
        <f t="shared" ref="AD31:AD38" si="4">R31*X31</f>
        <v>552420</v>
      </c>
      <c r="AE31" s="62" t="s">
        <v>58</v>
      </c>
    </row>
    <row r="32" spans="1:32" s="12" customFormat="1" ht="21" customHeight="1">
      <c r="A32" s="51"/>
      <c r="B32" s="376"/>
      <c r="C32" s="286"/>
      <c r="D32" s="189"/>
      <c r="E32" s="244"/>
      <c r="F32" s="244"/>
      <c r="G32" s="244"/>
      <c r="H32" s="244"/>
      <c r="I32" s="244"/>
      <c r="J32" s="244"/>
      <c r="K32" s="244"/>
      <c r="L32" s="287"/>
      <c r="M32" s="86"/>
      <c r="N32" s="378" t="s">
        <v>180</v>
      </c>
      <c r="O32" s="218"/>
      <c r="P32" s="218"/>
      <c r="Q32" s="218"/>
      <c r="R32" s="377">
        <v>101960</v>
      </c>
      <c r="S32" s="377"/>
      <c r="T32" s="229" t="s">
        <v>58</v>
      </c>
      <c r="U32" s="229" t="s">
        <v>26</v>
      </c>
      <c r="V32" s="361"/>
      <c r="W32" s="229"/>
      <c r="X32" s="285">
        <v>6</v>
      </c>
      <c r="Y32" s="288"/>
      <c r="Z32" s="92"/>
      <c r="AA32" s="229" t="s">
        <v>54</v>
      </c>
      <c r="AB32" s="377"/>
      <c r="AC32" s="83"/>
      <c r="AD32" s="83">
        <f t="shared" si="4"/>
        <v>611760</v>
      </c>
      <c r="AE32" s="62" t="s">
        <v>58</v>
      </c>
    </row>
    <row r="33" spans="1:32" s="12" customFormat="1" ht="21" customHeight="1">
      <c r="A33" s="51"/>
      <c r="B33" s="335"/>
      <c r="C33" s="335"/>
      <c r="D33" s="189"/>
      <c r="E33" s="129"/>
      <c r="F33" s="129"/>
      <c r="G33" s="129"/>
      <c r="H33" s="129"/>
      <c r="I33" s="129"/>
      <c r="J33" s="129"/>
      <c r="K33" s="129"/>
      <c r="L33" s="129"/>
      <c r="M33" s="86"/>
      <c r="N33" s="341" t="s">
        <v>178</v>
      </c>
      <c r="O33" s="341"/>
      <c r="P33" s="341"/>
      <c r="Q33" s="341"/>
      <c r="R33" s="340">
        <v>66500</v>
      </c>
      <c r="S33" s="340"/>
      <c r="T33" s="229" t="s">
        <v>58</v>
      </c>
      <c r="U33" s="229" t="s">
        <v>26</v>
      </c>
      <c r="V33" s="361"/>
      <c r="W33" s="229"/>
      <c r="X33" s="285">
        <v>3</v>
      </c>
      <c r="Y33" s="288"/>
      <c r="Z33" s="92"/>
      <c r="AA33" s="229" t="s">
        <v>54</v>
      </c>
      <c r="AB33" s="340"/>
      <c r="AC33" s="83"/>
      <c r="AD33" s="355">
        <f t="shared" si="4"/>
        <v>199500</v>
      </c>
      <c r="AE33" s="62" t="s">
        <v>68</v>
      </c>
      <c r="AF33" s="2"/>
    </row>
    <row r="34" spans="1:32" s="12" customFormat="1" ht="21" customHeight="1">
      <c r="A34" s="51"/>
      <c r="B34" s="335"/>
      <c r="C34" s="335"/>
      <c r="D34" s="189"/>
      <c r="E34" s="129"/>
      <c r="F34" s="129"/>
      <c r="G34" s="129"/>
      <c r="H34" s="129"/>
      <c r="I34" s="129"/>
      <c r="J34" s="129"/>
      <c r="K34" s="129"/>
      <c r="L34" s="129"/>
      <c r="M34" s="86"/>
      <c r="N34" s="341" t="s">
        <v>394</v>
      </c>
      <c r="O34" s="341"/>
      <c r="P34" s="341"/>
      <c r="Q34" s="341"/>
      <c r="R34" s="340">
        <v>78000</v>
      </c>
      <c r="S34" s="340"/>
      <c r="T34" s="229" t="s">
        <v>58</v>
      </c>
      <c r="U34" s="229" t="s">
        <v>26</v>
      </c>
      <c r="V34" s="361"/>
      <c r="W34" s="229"/>
      <c r="X34" s="285">
        <v>3</v>
      </c>
      <c r="Y34" s="288"/>
      <c r="Z34" s="92"/>
      <c r="AA34" s="229" t="s">
        <v>54</v>
      </c>
      <c r="AB34" s="340"/>
      <c r="AC34" s="83"/>
      <c r="AD34" s="83">
        <f t="shared" si="4"/>
        <v>234000</v>
      </c>
      <c r="AE34" s="62" t="s">
        <v>58</v>
      </c>
      <c r="AF34" s="2"/>
    </row>
    <row r="35" spans="1:32" s="12" customFormat="1" ht="21" customHeight="1">
      <c r="A35" s="51"/>
      <c r="B35" s="376"/>
      <c r="C35" s="376"/>
      <c r="D35" s="189"/>
      <c r="E35" s="129"/>
      <c r="F35" s="129"/>
      <c r="G35" s="129"/>
      <c r="H35" s="129"/>
      <c r="I35" s="129"/>
      <c r="J35" s="129"/>
      <c r="K35" s="129"/>
      <c r="L35" s="129"/>
      <c r="M35" s="86"/>
      <c r="N35" s="378" t="s">
        <v>377</v>
      </c>
      <c r="O35" s="378"/>
      <c r="P35" s="378"/>
      <c r="Q35" s="378"/>
      <c r="R35" s="377">
        <v>72300</v>
      </c>
      <c r="S35" s="377"/>
      <c r="T35" s="229" t="s">
        <v>58</v>
      </c>
      <c r="U35" s="229" t="s">
        <v>26</v>
      </c>
      <c r="V35" s="361"/>
      <c r="W35" s="229"/>
      <c r="X35" s="285">
        <v>6</v>
      </c>
      <c r="Y35" s="288"/>
      <c r="Z35" s="92"/>
      <c r="AA35" s="229" t="s">
        <v>54</v>
      </c>
      <c r="AB35" s="377"/>
      <c r="AC35" s="83"/>
      <c r="AD35" s="83">
        <f t="shared" si="4"/>
        <v>433800</v>
      </c>
      <c r="AE35" s="62" t="s">
        <v>58</v>
      </c>
      <c r="AF35" s="2"/>
    </row>
    <row r="36" spans="1:32" s="12" customFormat="1" ht="21" customHeight="1">
      <c r="A36" s="51"/>
      <c r="B36" s="335"/>
      <c r="C36" s="335"/>
      <c r="D36" s="189"/>
      <c r="E36" s="129"/>
      <c r="F36" s="129"/>
      <c r="G36" s="129"/>
      <c r="H36" s="129"/>
      <c r="I36" s="129"/>
      <c r="J36" s="129"/>
      <c r="K36" s="129"/>
      <c r="L36" s="129"/>
      <c r="M36" s="86"/>
      <c r="N36" s="341" t="s">
        <v>377</v>
      </c>
      <c r="O36" s="341"/>
      <c r="P36" s="341"/>
      <c r="Q36" s="341"/>
      <c r="R36" s="340">
        <v>135600</v>
      </c>
      <c r="S36" s="340"/>
      <c r="T36" s="229" t="s">
        <v>58</v>
      </c>
      <c r="U36" s="229" t="s">
        <v>26</v>
      </c>
      <c r="V36" s="361"/>
      <c r="W36" s="229"/>
      <c r="X36" s="285">
        <v>1</v>
      </c>
      <c r="Y36" s="288"/>
      <c r="Z36" s="92"/>
      <c r="AA36" s="229" t="s">
        <v>54</v>
      </c>
      <c r="AB36" s="340"/>
      <c r="AC36" s="83"/>
      <c r="AD36" s="83">
        <f t="shared" si="4"/>
        <v>135600</v>
      </c>
      <c r="AE36" s="62" t="s">
        <v>58</v>
      </c>
      <c r="AF36" s="2"/>
    </row>
    <row r="37" spans="1:32" s="12" customFormat="1" ht="21" customHeight="1">
      <c r="A37" s="51"/>
      <c r="B37" s="376"/>
      <c r="C37" s="376"/>
      <c r="D37" s="189"/>
      <c r="E37" s="129"/>
      <c r="F37" s="129"/>
      <c r="G37" s="129"/>
      <c r="H37" s="129"/>
      <c r="I37" s="129"/>
      <c r="J37" s="129"/>
      <c r="K37" s="129"/>
      <c r="L37" s="129"/>
      <c r="M37" s="86"/>
      <c r="N37" s="378" t="s">
        <v>179</v>
      </c>
      <c r="O37" s="378"/>
      <c r="P37" s="378"/>
      <c r="Q37" s="378"/>
      <c r="R37" s="377">
        <v>18750</v>
      </c>
      <c r="S37" s="377"/>
      <c r="T37" s="229" t="s">
        <v>58</v>
      </c>
      <c r="U37" s="229" t="s">
        <v>26</v>
      </c>
      <c r="V37" s="361"/>
      <c r="W37" s="229"/>
      <c r="X37" s="285">
        <v>3</v>
      </c>
      <c r="Y37" s="288"/>
      <c r="Z37" s="92"/>
      <c r="AA37" s="229" t="s">
        <v>54</v>
      </c>
      <c r="AB37" s="377"/>
      <c r="AC37" s="83"/>
      <c r="AD37" s="83">
        <f t="shared" si="4"/>
        <v>56250</v>
      </c>
      <c r="AE37" s="62" t="s">
        <v>58</v>
      </c>
      <c r="AF37" s="2"/>
    </row>
    <row r="38" spans="1:32" s="12" customFormat="1" ht="21" customHeight="1">
      <c r="A38" s="51"/>
      <c r="B38" s="335"/>
      <c r="C38" s="335"/>
      <c r="D38" s="189"/>
      <c r="E38" s="129"/>
      <c r="F38" s="129"/>
      <c r="G38" s="129"/>
      <c r="H38" s="129"/>
      <c r="I38" s="129"/>
      <c r="J38" s="129"/>
      <c r="K38" s="129"/>
      <c r="L38" s="129"/>
      <c r="M38" s="86"/>
      <c r="N38" s="341" t="s">
        <v>179</v>
      </c>
      <c r="O38" s="341"/>
      <c r="P38" s="341"/>
      <c r="Q38" s="341"/>
      <c r="R38" s="340">
        <v>21990</v>
      </c>
      <c r="S38" s="340"/>
      <c r="T38" s="229" t="s">
        <v>58</v>
      </c>
      <c r="U38" s="229" t="s">
        <v>26</v>
      </c>
      <c r="V38" s="361"/>
      <c r="W38" s="229"/>
      <c r="X38" s="285">
        <v>3</v>
      </c>
      <c r="Y38" s="288"/>
      <c r="Z38" s="92"/>
      <c r="AA38" s="229" t="s">
        <v>54</v>
      </c>
      <c r="AB38" s="340"/>
      <c r="AC38" s="83"/>
      <c r="AD38" s="83">
        <f t="shared" si="4"/>
        <v>65970</v>
      </c>
      <c r="AE38" s="62" t="s">
        <v>68</v>
      </c>
      <c r="AF38" s="2"/>
    </row>
    <row r="39" spans="1:32" s="12" customFormat="1" ht="21" customHeight="1">
      <c r="A39" s="51"/>
      <c r="B39" s="335"/>
      <c r="C39" s="335"/>
      <c r="D39" s="189"/>
      <c r="E39" s="129"/>
      <c r="F39" s="129"/>
      <c r="G39" s="129"/>
      <c r="H39" s="129"/>
      <c r="I39" s="129"/>
      <c r="J39" s="129"/>
      <c r="K39" s="129"/>
      <c r="L39" s="129"/>
      <c r="M39" s="86"/>
      <c r="N39" s="341" t="s">
        <v>179</v>
      </c>
      <c r="O39" s="341"/>
      <c r="P39" s="341"/>
      <c r="Q39" s="341"/>
      <c r="R39" s="340">
        <v>18120</v>
      </c>
      <c r="S39" s="340"/>
      <c r="T39" s="229" t="s">
        <v>58</v>
      </c>
      <c r="U39" s="229" t="s">
        <v>26</v>
      </c>
      <c r="V39" s="361"/>
      <c r="W39" s="229"/>
      <c r="X39" s="285">
        <v>6</v>
      </c>
      <c r="Y39" s="288"/>
      <c r="Z39" s="92"/>
      <c r="AA39" s="229" t="s">
        <v>54</v>
      </c>
      <c r="AB39" s="340"/>
      <c r="AC39" s="83"/>
      <c r="AD39" s="83">
        <f t="shared" ref="AD39:AD44" si="5">R39*X39</f>
        <v>108720</v>
      </c>
      <c r="AE39" s="62" t="s">
        <v>68</v>
      </c>
      <c r="AF39" s="2"/>
    </row>
    <row r="40" spans="1:32" s="12" customFormat="1" ht="21" customHeight="1">
      <c r="A40" s="51"/>
      <c r="B40" s="335"/>
      <c r="C40" s="335"/>
      <c r="D40" s="189"/>
      <c r="E40" s="129"/>
      <c r="F40" s="129"/>
      <c r="G40" s="129"/>
      <c r="H40" s="129"/>
      <c r="I40" s="129"/>
      <c r="J40" s="129"/>
      <c r="K40" s="129"/>
      <c r="L40" s="129"/>
      <c r="M40" s="86"/>
      <c r="N40" s="341" t="s">
        <v>378</v>
      </c>
      <c r="O40" s="341"/>
      <c r="P40" s="341"/>
      <c r="Q40" s="341"/>
      <c r="R40" s="340">
        <v>36900</v>
      </c>
      <c r="S40" s="340"/>
      <c r="T40" s="229" t="s">
        <v>58</v>
      </c>
      <c r="U40" s="229" t="s">
        <v>26</v>
      </c>
      <c r="V40" s="361"/>
      <c r="W40" s="229"/>
      <c r="X40" s="285">
        <v>1</v>
      </c>
      <c r="Y40" s="288"/>
      <c r="Z40" s="92"/>
      <c r="AA40" s="229" t="s">
        <v>54</v>
      </c>
      <c r="AB40" s="340"/>
      <c r="AC40" s="83"/>
      <c r="AD40" s="83">
        <f t="shared" si="5"/>
        <v>36900</v>
      </c>
      <c r="AE40" s="62" t="s">
        <v>68</v>
      </c>
      <c r="AF40" s="2"/>
    </row>
    <row r="41" spans="1:32" s="12" customFormat="1" ht="21" customHeight="1">
      <c r="A41" s="51"/>
      <c r="B41" s="335"/>
      <c r="C41" s="335"/>
      <c r="D41" s="189"/>
      <c r="E41" s="129"/>
      <c r="F41" s="129"/>
      <c r="G41" s="129"/>
      <c r="H41" s="129"/>
      <c r="I41" s="129"/>
      <c r="J41" s="129"/>
      <c r="K41" s="129"/>
      <c r="L41" s="129"/>
      <c r="M41" s="86"/>
      <c r="N41" s="341" t="s">
        <v>328</v>
      </c>
      <c r="O41" s="341"/>
      <c r="P41" s="341"/>
      <c r="Q41" s="341"/>
      <c r="R41" s="340">
        <v>16250</v>
      </c>
      <c r="S41" s="340"/>
      <c r="T41" s="229" t="s">
        <v>58</v>
      </c>
      <c r="U41" s="229" t="s">
        <v>26</v>
      </c>
      <c r="V41" s="361"/>
      <c r="W41" s="229"/>
      <c r="X41" s="285">
        <v>3</v>
      </c>
      <c r="Y41" s="288"/>
      <c r="Z41" s="92"/>
      <c r="AA41" s="229" t="s">
        <v>54</v>
      </c>
      <c r="AB41" s="340"/>
      <c r="AC41" s="83"/>
      <c r="AD41" s="83">
        <f t="shared" si="5"/>
        <v>48750</v>
      </c>
      <c r="AE41" s="62" t="s">
        <v>68</v>
      </c>
      <c r="AF41" s="2"/>
    </row>
    <row r="42" spans="1:32" s="12" customFormat="1" ht="21" customHeight="1">
      <c r="A42" s="51"/>
      <c r="B42" s="335"/>
      <c r="C42" s="335"/>
      <c r="D42" s="189"/>
      <c r="E42" s="129"/>
      <c r="F42" s="129"/>
      <c r="G42" s="129"/>
      <c r="H42" s="129"/>
      <c r="I42" s="129"/>
      <c r="J42" s="129"/>
      <c r="K42" s="129"/>
      <c r="L42" s="129"/>
      <c r="M42" s="86"/>
      <c r="N42" s="341" t="s">
        <v>328</v>
      </c>
      <c r="O42" s="341"/>
      <c r="P42" s="341"/>
      <c r="Q42" s="341"/>
      <c r="R42" s="340">
        <v>16900</v>
      </c>
      <c r="S42" s="340"/>
      <c r="T42" s="229" t="s">
        <v>58</v>
      </c>
      <c r="U42" s="229" t="s">
        <v>26</v>
      </c>
      <c r="V42" s="361"/>
      <c r="W42" s="229"/>
      <c r="X42" s="285">
        <v>3</v>
      </c>
      <c r="Y42" s="288"/>
      <c r="Z42" s="92"/>
      <c r="AA42" s="229" t="s">
        <v>54</v>
      </c>
      <c r="AB42" s="340"/>
      <c r="AC42" s="83"/>
      <c r="AD42" s="83">
        <f t="shared" si="5"/>
        <v>50700</v>
      </c>
      <c r="AE42" s="62" t="s">
        <v>68</v>
      </c>
      <c r="AF42" s="2"/>
    </row>
    <row r="43" spans="1:32" s="12" customFormat="1" ht="21" customHeight="1">
      <c r="A43" s="51"/>
      <c r="B43" s="376"/>
      <c r="C43" s="376"/>
      <c r="D43" s="189"/>
      <c r="E43" s="129"/>
      <c r="F43" s="129"/>
      <c r="G43" s="129"/>
      <c r="H43" s="129"/>
      <c r="I43" s="129"/>
      <c r="J43" s="129"/>
      <c r="K43" s="129"/>
      <c r="L43" s="129"/>
      <c r="M43" s="86"/>
      <c r="N43" s="378" t="s">
        <v>328</v>
      </c>
      <c r="O43" s="378"/>
      <c r="P43" s="378"/>
      <c r="Q43" s="378"/>
      <c r="R43" s="377">
        <v>17670</v>
      </c>
      <c r="S43" s="377"/>
      <c r="T43" s="229" t="s">
        <v>58</v>
      </c>
      <c r="U43" s="229" t="s">
        <v>26</v>
      </c>
      <c r="V43" s="361"/>
      <c r="W43" s="229"/>
      <c r="X43" s="285">
        <v>4</v>
      </c>
      <c r="Y43" s="288"/>
      <c r="Z43" s="92"/>
      <c r="AA43" s="229" t="s">
        <v>54</v>
      </c>
      <c r="AB43" s="377"/>
      <c r="AC43" s="83"/>
      <c r="AD43" s="83">
        <f t="shared" ref="AD43" si="6">R43*X43</f>
        <v>70680</v>
      </c>
      <c r="AE43" s="62" t="s">
        <v>58</v>
      </c>
      <c r="AF43" s="2"/>
    </row>
    <row r="44" spans="1:32" s="12" customFormat="1" ht="21" customHeight="1">
      <c r="A44" s="51"/>
      <c r="B44" s="335"/>
      <c r="C44" s="335"/>
      <c r="D44" s="189"/>
      <c r="E44" s="129"/>
      <c r="F44" s="129"/>
      <c r="G44" s="129"/>
      <c r="H44" s="129"/>
      <c r="I44" s="129"/>
      <c r="J44" s="129"/>
      <c r="K44" s="129"/>
      <c r="L44" s="129"/>
      <c r="M44" s="86"/>
      <c r="N44" s="341" t="s">
        <v>379</v>
      </c>
      <c r="O44" s="341"/>
      <c r="P44" s="341"/>
      <c r="Q44" s="341"/>
      <c r="R44" s="340">
        <v>33800</v>
      </c>
      <c r="S44" s="340"/>
      <c r="T44" s="229" t="s">
        <v>58</v>
      </c>
      <c r="U44" s="229" t="s">
        <v>26</v>
      </c>
      <c r="V44" s="361"/>
      <c r="W44" s="229"/>
      <c r="X44" s="285">
        <v>1</v>
      </c>
      <c r="Y44" s="288"/>
      <c r="Z44" s="92"/>
      <c r="AA44" s="229" t="s">
        <v>329</v>
      </c>
      <c r="AB44" s="340"/>
      <c r="AC44" s="83"/>
      <c r="AD44" s="83">
        <f t="shared" si="5"/>
        <v>33800</v>
      </c>
      <c r="AE44" s="62" t="s">
        <v>58</v>
      </c>
      <c r="AF44" s="2"/>
    </row>
    <row r="45" spans="1:32" s="12" customFormat="1" ht="21" customHeight="1">
      <c r="A45" s="51"/>
      <c r="B45" s="335"/>
      <c r="C45" s="335"/>
      <c r="D45" s="189"/>
      <c r="E45" s="129"/>
      <c r="F45" s="129"/>
      <c r="G45" s="129"/>
      <c r="H45" s="129"/>
      <c r="I45" s="129"/>
      <c r="J45" s="129"/>
      <c r="K45" s="129"/>
      <c r="L45" s="129"/>
      <c r="M45" s="86"/>
      <c r="N45" s="341"/>
      <c r="O45" s="341"/>
      <c r="P45" s="341"/>
      <c r="Q45" s="341"/>
      <c r="R45" s="340"/>
      <c r="S45" s="340"/>
      <c r="T45" s="229"/>
      <c r="U45" s="90"/>
      <c r="V45" s="94"/>
      <c r="W45" s="90"/>
      <c r="X45" s="95"/>
      <c r="Y45" s="92"/>
      <c r="Z45" s="92"/>
      <c r="AA45" s="229"/>
      <c r="AB45" s="340"/>
      <c r="AC45" s="83"/>
      <c r="AD45" s="83"/>
      <c r="AE45" s="62"/>
      <c r="AF45" s="2"/>
    </row>
    <row r="46" spans="1:32" s="12" customFormat="1" ht="33" customHeight="1">
      <c r="A46" s="51"/>
      <c r="B46" s="335"/>
      <c r="C46" s="334" t="s">
        <v>222</v>
      </c>
      <c r="D46" s="191">
        <v>200</v>
      </c>
      <c r="E46" s="133">
        <f>SUM(F46:K46)</f>
        <v>210</v>
      </c>
      <c r="F46" s="133">
        <f>AD48/1000</f>
        <v>10</v>
      </c>
      <c r="G46" s="133">
        <f>AD47/1000</f>
        <v>200</v>
      </c>
      <c r="H46" s="133">
        <f>AF49</f>
        <v>0</v>
      </c>
      <c r="I46" s="133">
        <f>AG49</f>
        <v>0</v>
      </c>
      <c r="J46" s="133">
        <v>0</v>
      </c>
      <c r="K46" s="133">
        <f>AH49</f>
        <v>0</v>
      </c>
      <c r="L46" s="145">
        <f>E46-D46</f>
        <v>10</v>
      </c>
      <c r="M46" s="140"/>
      <c r="N46" s="118" t="s">
        <v>220</v>
      </c>
      <c r="O46" s="339"/>
      <c r="P46" s="194"/>
      <c r="Q46" s="194"/>
      <c r="R46" s="108"/>
      <c r="S46" s="108"/>
      <c r="T46" s="255"/>
      <c r="U46" s="256"/>
      <c r="V46" s="257"/>
      <c r="W46" s="338" t="s">
        <v>64</v>
      </c>
      <c r="X46" s="338"/>
      <c r="Y46" s="338"/>
      <c r="Z46" s="338"/>
      <c r="AA46" s="338"/>
      <c r="AB46" s="338"/>
      <c r="AC46" s="211"/>
      <c r="AD46" s="211">
        <f>AD47+AD48</f>
        <v>210000</v>
      </c>
      <c r="AE46" s="210" t="s">
        <v>25</v>
      </c>
      <c r="AF46" s="2"/>
    </row>
    <row r="47" spans="1:32" s="12" customFormat="1" ht="33" customHeight="1">
      <c r="A47" s="51"/>
      <c r="B47" s="376"/>
      <c r="C47" s="376"/>
      <c r="D47" s="189"/>
      <c r="E47" s="129"/>
      <c r="F47" s="129"/>
      <c r="G47" s="129"/>
      <c r="H47" s="129"/>
      <c r="I47" s="129"/>
      <c r="J47" s="129"/>
      <c r="K47" s="129"/>
      <c r="L47" s="287"/>
      <c r="M47" s="86"/>
      <c r="N47" s="341" t="s">
        <v>221</v>
      </c>
      <c r="O47" s="218"/>
      <c r="P47" s="378"/>
      <c r="Q47" s="378"/>
      <c r="R47" s="377"/>
      <c r="S47" s="377"/>
      <c r="T47" s="229"/>
      <c r="U47" s="90"/>
      <c r="V47" s="94"/>
      <c r="W47" s="217"/>
      <c r="X47" s="217"/>
      <c r="Y47" s="217"/>
      <c r="Z47" s="217"/>
      <c r="AA47" s="217"/>
      <c r="AB47" s="217"/>
      <c r="AC47" s="57"/>
      <c r="AD47" s="83">
        <v>200000</v>
      </c>
      <c r="AE47" s="210" t="s">
        <v>25</v>
      </c>
      <c r="AF47" s="2"/>
    </row>
    <row r="48" spans="1:32" s="12" customFormat="1" ht="21" customHeight="1">
      <c r="A48" s="51"/>
      <c r="B48" s="335"/>
      <c r="C48" s="335"/>
      <c r="D48" s="189"/>
      <c r="E48" s="129"/>
      <c r="F48" s="129"/>
      <c r="G48" s="129"/>
      <c r="H48" s="129"/>
      <c r="I48" s="129"/>
      <c r="J48" s="129"/>
      <c r="K48" s="129"/>
      <c r="L48" s="129"/>
      <c r="M48" s="86"/>
      <c r="N48" s="386" t="s">
        <v>442</v>
      </c>
      <c r="O48" s="341"/>
      <c r="P48" s="341"/>
      <c r="Q48" s="341"/>
      <c r="R48" s="340"/>
      <c r="S48" s="340"/>
      <c r="T48" s="229"/>
      <c r="U48" s="90"/>
      <c r="V48" s="94"/>
      <c r="W48" s="90"/>
      <c r="X48" s="95"/>
      <c r="Y48" s="92"/>
      <c r="Z48" s="92"/>
      <c r="AA48" s="229"/>
      <c r="AB48" s="340"/>
      <c r="AC48" s="83"/>
      <c r="AD48" s="83">
        <v>10000</v>
      </c>
      <c r="AE48" s="186" t="s">
        <v>25</v>
      </c>
      <c r="AF48" s="2"/>
    </row>
    <row r="49" spans="1:34" s="12" customFormat="1" ht="21" customHeight="1">
      <c r="A49" s="51"/>
      <c r="B49" s="64"/>
      <c r="C49" s="64"/>
      <c r="D49" s="190"/>
      <c r="E49" s="131"/>
      <c r="F49" s="131"/>
      <c r="G49" s="131"/>
      <c r="H49" s="131"/>
      <c r="I49" s="131"/>
      <c r="J49" s="131"/>
      <c r="K49" s="131"/>
      <c r="L49" s="131"/>
      <c r="M49" s="104"/>
      <c r="N49" s="337"/>
      <c r="O49" s="337"/>
      <c r="P49" s="337"/>
      <c r="Q49" s="337"/>
      <c r="R49" s="336"/>
      <c r="S49" s="336"/>
      <c r="T49" s="106"/>
      <c r="U49" s="106"/>
      <c r="V49" s="106"/>
      <c r="W49" s="336"/>
      <c r="X49" s="106"/>
      <c r="Y49" s="106"/>
      <c r="Z49" s="106"/>
      <c r="AA49" s="336"/>
      <c r="AB49" s="106"/>
      <c r="AC49" s="106"/>
      <c r="AD49" s="336"/>
      <c r="AE49" s="146"/>
      <c r="AF49" s="2"/>
    </row>
    <row r="50" spans="1:34" s="12" customFormat="1" ht="21" customHeight="1">
      <c r="A50" s="51"/>
      <c r="B50" s="335" t="s">
        <v>127</v>
      </c>
      <c r="C50" s="335" t="s">
        <v>5</v>
      </c>
      <c r="D50" s="129">
        <f>SUM(D51,D54,D56)</f>
        <v>60</v>
      </c>
      <c r="E50" s="129">
        <f>SUM(E51,E54,E56)</f>
        <v>60.4</v>
      </c>
      <c r="F50" s="129">
        <f>F51+F54+F56</f>
        <v>60.4</v>
      </c>
      <c r="G50" s="129">
        <f t="shared" ref="G50" si="7">SUM(G51,G54,G56)</f>
        <v>0</v>
      </c>
      <c r="H50" s="129">
        <v>0</v>
      </c>
      <c r="I50" s="129">
        <v>0</v>
      </c>
      <c r="J50" s="129">
        <f>SUM(J51,J54,J56)</f>
        <v>0</v>
      </c>
      <c r="K50" s="129">
        <f>SUM(K51,K54,K56)</f>
        <v>0</v>
      </c>
      <c r="L50" s="129">
        <f>E50-D50</f>
        <v>0.39999999999999858</v>
      </c>
      <c r="M50" s="86">
        <f>IF(D50=0,0,L50/D50)</f>
        <v>6.6666666666666428E-3</v>
      </c>
      <c r="N50" s="218" t="s">
        <v>135</v>
      </c>
      <c r="O50" s="218"/>
      <c r="P50" s="218"/>
      <c r="Q50" s="218"/>
      <c r="R50" s="217"/>
      <c r="S50" s="217"/>
      <c r="T50" s="217"/>
      <c r="U50" s="217"/>
      <c r="V50" s="217"/>
      <c r="W50" s="219"/>
      <c r="X50" s="219"/>
      <c r="Y50" s="219"/>
      <c r="Z50" s="219"/>
      <c r="AA50" s="219"/>
      <c r="AB50" s="219"/>
      <c r="AC50" s="116"/>
      <c r="AD50" s="116">
        <f>SUM(AD51,AD54,AD56)</f>
        <v>60400</v>
      </c>
      <c r="AE50" s="117" t="s">
        <v>25</v>
      </c>
      <c r="AF50" s="5"/>
    </row>
    <row r="51" spans="1:34" s="12" customFormat="1" ht="21" customHeight="1">
      <c r="A51" s="51"/>
      <c r="B51" s="335" t="s">
        <v>134</v>
      </c>
      <c r="C51" s="334" t="s">
        <v>10</v>
      </c>
      <c r="D51" s="191">
        <v>0</v>
      </c>
      <c r="E51" s="133">
        <f>AD51/1000</f>
        <v>0</v>
      </c>
      <c r="F51" s="133">
        <f>AD51/1000</f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f>E51-D51</f>
        <v>0</v>
      </c>
      <c r="M51" s="140">
        <f>IF(D51=0,0,L51/D51)</f>
        <v>0</v>
      </c>
      <c r="N51" s="118" t="s">
        <v>39</v>
      </c>
      <c r="O51" s="187"/>
      <c r="P51" s="194"/>
      <c r="Q51" s="194"/>
      <c r="R51" s="194"/>
      <c r="S51" s="194"/>
      <c r="T51" s="108"/>
      <c r="U51" s="108"/>
      <c r="V51" s="108"/>
      <c r="W51" s="108"/>
      <c r="X51" s="108"/>
      <c r="Y51" s="338" t="s">
        <v>137</v>
      </c>
      <c r="Z51" s="338"/>
      <c r="AA51" s="338"/>
      <c r="AB51" s="338"/>
      <c r="AC51" s="211"/>
      <c r="AD51" s="211">
        <f>AD52</f>
        <v>0</v>
      </c>
      <c r="AE51" s="210" t="s">
        <v>25</v>
      </c>
    </row>
    <row r="52" spans="1:34" s="12" customFormat="1" ht="21" customHeight="1">
      <c r="A52" s="51"/>
      <c r="B52" s="335"/>
      <c r="C52" s="335"/>
      <c r="D52" s="189"/>
      <c r="E52" s="129"/>
      <c r="F52" s="129"/>
      <c r="G52" s="129"/>
      <c r="H52" s="129"/>
      <c r="I52" s="129"/>
      <c r="J52" s="129"/>
      <c r="K52" s="129"/>
      <c r="L52" s="129"/>
      <c r="M52" s="86"/>
      <c r="N52" s="268" t="s">
        <v>284</v>
      </c>
      <c r="O52" s="194"/>
      <c r="P52" s="341"/>
      <c r="Q52" s="341"/>
      <c r="R52" s="341"/>
      <c r="S52" s="341"/>
      <c r="T52" s="340"/>
      <c r="U52" s="340"/>
      <c r="V52" s="340"/>
      <c r="W52" s="340"/>
      <c r="X52" s="340"/>
      <c r="Y52" s="120"/>
      <c r="Z52" s="120"/>
      <c r="AA52" s="120"/>
      <c r="AB52" s="120"/>
      <c r="AC52" s="137"/>
      <c r="AD52" s="137">
        <v>0</v>
      </c>
      <c r="AE52" s="138" t="s">
        <v>285</v>
      </c>
    </row>
    <row r="53" spans="1:34" s="12" customFormat="1" ht="21" customHeight="1">
      <c r="A53" s="51"/>
      <c r="B53" s="335"/>
      <c r="C53" s="64"/>
      <c r="D53" s="190"/>
      <c r="E53" s="131"/>
      <c r="F53" s="131"/>
      <c r="G53" s="131"/>
      <c r="H53" s="131"/>
      <c r="I53" s="131"/>
      <c r="J53" s="131"/>
      <c r="K53" s="131"/>
      <c r="L53" s="131"/>
      <c r="M53" s="104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46"/>
      <c r="AF53" s="1"/>
    </row>
    <row r="54" spans="1:34" s="12" customFormat="1" ht="21" customHeight="1">
      <c r="A54" s="51"/>
      <c r="B54" s="335"/>
      <c r="C54" s="335" t="s">
        <v>11</v>
      </c>
      <c r="D54" s="189">
        <v>0</v>
      </c>
      <c r="E54" s="129">
        <f>AD54/1000</f>
        <v>0</v>
      </c>
      <c r="F54" s="129">
        <v>0</v>
      </c>
      <c r="G54" s="129">
        <v>0</v>
      </c>
      <c r="H54" s="129">
        <v>0</v>
      </c>
      <c r="I54" s="129">
        <v>0</v>
      </c>
      <c r="J54" s="129">
        <v>0</v>
      </c>
      <c r="K54" s="129">
        <v>0</v>
      </c>
      <c r="L54" s="129">
        <f>E54-D54</f>
        <v>0</v>
      </c>
      <c r="M54" s="86">
        <f>IF(D54=0,0,L54/D54)</f>
        <v>0</v>
      </c>
      <c r="N54" s="118" t="s">
        <v>136</v>
      </c>
      <c r="O54" s="339"/>
      <c r="P54" s="218"/>
      <c r="Q54" s="218"/>
      <c r="R54" s="218"/>
      <c r="S54" s="218"/>
      <c r="T54" s="217"/>
      <c r="U54" s="217"/>
      <c r="V54" s="217"/>
      <c r="W54" s="217"/>
      <c r="X54" s="217"/>
      <c r="Y54" s="338" t="s">
        <v>137</v>
      </c>
      <c r="Z54" s="338"/>
      <c r="AA54" s="338"/>
      <c r="AB54" s="338"/>
      <c r="AC54" s="211"/>
      <c r="AD54" s="211">
        <v>0</v>
      </c>
      <c r="AE54" s="210" t="s">
        <v>25</v>
      </c>
      <c r="AF54" s="1"/>
    </row>
    <row r="55" spans="1:34" s="12" customFormat="1" ht="21" customHeight="1">
      <c r="A55" s="51"/>
      <c r="B55" s="335"/>
      <c r="C55" s="64"/>
      <c r="D55" s="190"/>
      <c r="E55" s="131"/>
      <c r="F55" s="131"/>
      <c r="G55" s="131"/>
      <c r="H55" s="131"/>
      <c r="I55" s="131"/>
      <c r="J55" s="131"/>
      <c r="K55" s="131"/>
      <c r="L55" s="131"/>
      <c r="M55" s="104"/>
      <c r="N55" s="337"/>
      <c r="O55" s="337"/>
      <c r="P55" s="337"/>
      <c r="Q55" s="337"/>
      <c r="R55" s="336"/>
      <c r="S55" s="336"/>
      <c r="T55" s="105"/>
      <c r="U55" s="105"/>
      <c r="V55" s="336"/>
      <c r="W55" s="337"/>
      <c r="X55" s="336"/>
      <c r="Y55" s="336"/>
      <c r="Z55" s="336"/>
      <c r="AA55" s="336"/>
      <c r="AB55" s="336"/>
      <c r="AC55" s="336"/>
      <c r="AD55" s="336"/>
      <c r="AE55" s="89"/>
      <c r="AF55" s="1"/>
    </row>
    <row r="56" spans="1:34" s="12" customFormat="1" ht="21" customHeight="1">
      <c r="A56" s="51"/>
      <c r="B56" s="335"/>
      <c r="C56" s="335" t="s">
        <v>94</v>
      </c>
      <c r="D56" s="189">
        <v>60</v>
      </c>
      <c r="E56" s="129">
        <f>F56+G56+H56+K56</f>
        <v>60.4</v>
      </c>
      <c r="F56" s="129">
        <f>AD57/1000</f>
        <v>60.4</v>
      </c>
      <c r="G56" s="129">
        <v>0</v>
      </c>
      <c r="H56" s="129">
        <v>0</v>
      </c>
      <c r="I56" s="129">
        <v>0</v>
      </c>
      <c r="J56" s="129">
        <v>0</v>
      </c>
      <c r="K56" s="133">
        <v>0</v>
      </c>
      <c r="L56" s="290">
        <f>E56-D56</f>
        <v>0.39999999999999858</v>
      </c>
      <c r="M56" s="86">
        <f>IF(D56=0,0,L56/D56)</f>
        <v>6.6666666666666428E-3</v>
      </c>
      <c r="N56" s="136" t="s">
        <v>40</v>
      </c>
      <c r="O56" s="218"/>
      <c r="P56" s="218"/>
      <c r="Q56" s="218"/>
      <c r="R56" s="218"/>
      <c r="S56" s="218"/>
      <c r="T56" s="217"/>
      <c r="U56" s="217"/>
      <c r="V56" s="217"/>
      <c r="W56" s="217"/>
      <c r="X56" s="217"/>
      <c r="Y56" s="338" t="s">
        <v>137</v>
      </c>
      <c r="Z56" s="338"/>
      <c r="AA56" s="338"/>
      <c r="AB56" s="338"/>
      <c r="AC56" s="211"/>
      <c r="AD56" s="211">
        <f>AD57</f>
        <v>60400</v>
      </c>
      <c r="AE56" s="210" t="s">
        <v>25</v>
      </c>
      <c r="AF56" s="1"/>
    </row>
    <row r="57" spans="1:34" s="15" customFormat="1" ht="21" customHeight="1">
      <c r="A57" s="51"/>
      <c r="B57" s="335"/>
      <c r="C57" s="335"/>
      <c r="D57" s="189"/>
      <c r="E57" s="129"/>
      <c r="F57" s="129"/>
      <c r="G57" s="129"/>
      <c r="H57" s="129"/>
      <c r="I57" s="129"/>
      <c r="J57" s="129"/>
      <c r="K57" s="129"/>
      <c r="L57" s="129"/>
      <c r="M57" s="86"/>
      <c r="N57" s="341" t="s">
        <v>181</v>
      </c>
      <c r="O57" s="341"/>
      <c r="P57" s="341"/>
      <c r="Q57" s="341"/>
      <c r="R57" s="340">
        <v>30200</v>
      </c>
      <c r="S57" s="340"/>
      <c r="T57" s="60" t="s">
        <v>25</v>
      </c>
      <c r="U57" s="60" t="s">
        <v>26</v>
      </c>
      <c r="V57" s="340">
        <v>2</v>
      </c>
      <c r="W57" s="341" t="s">
        <v>182</v>
      </c>
      <c r="X57" s="340"/>
      <c r="Y57" s="340"/>
      <c r="Z57" s="340"/>
      <c r="AA57" s="340" t="s">
        <v>27</v>
      </c>
      <c r="AB57" s="340"/>
      <c r="AC57" s="340"/>
      <c r="AD57" s="340">
        <f>R57*V57</f>
        <v>60400</v>
      </c>
      <c r="AE57" s="62" t="s">
        <v>25</v>
      </c>
      <c r="AF57" s="4"/>
    </row>
    <row r="58" spans="1:34" s="15" customFormat="1" ht="21" customHeight="1">
      <c r="A58" s="51"/>
      <c r="B58" s="335"/>
      <c r="C58" s="335"/>
      <c r="D58" s="189"/>
      <c r="E58" s="129"/>
      <c r="F58" s="129"/>
      <c r="G58" s="129"/>
      <c r="H58" s="129"/>
      <c r="I58" s="129"/>
      <c r="J58" s="129"/>
      <c r="K58" s="129"/>
      <c r="L58" s="129"/>
      <c r="M58" s="86"/>
      <c r="N58" s="341"/>
      <c r="O58" s="341"/>
      <c r="P58" s="341"/>
      <c r="Q58" s="341"/>
      <c r="R58" s="340"/>
      <c r="S58" s="340"/>
      <c r="T58" s="60"/>
      <c r="U58" s="60"/>
      <c r="V58" s="340"/>
      <c r="W58" s="341"/>
      <c r="X58" s="340"/>
      <c r="Y58" s="340"/>
      <c r="Z58" s="340"/>
      <c r="AA58" s="340"/>
      <c r="AB58" s="340"/>
      <c r="AC58" s="340"/>
      <c r="AD58" s="340"/>
      <c r="AE58" s="62"/>
      <c r="AF58" s="4"/>
    </row>
    <row r="59" spans="1:34" s="12" customFormat="1" ht="21" customHeight="1">
      <c r="A59" s="51"/>
      <c r="B59" s="334" t="s">
        <v>12</v>
      </c>
      <c r="C59" s="206" t="s">
        <v>5</v>
      </c>
      <c r="D59" s="208">
        <f t="shared" ref="D59:K59" si="8">SUM(D60,D63,D68,D74,D82,D85)</f>
        <v>8336</v>
      </c>
      <c r="E59" s="208">
        <f t="shared" si="8"/>
        <v>7928</v>
      </c>
      <c r="F59" s="208">
        <f t="shared" si="8"/>
        <v>6294.76</v>
      </c>
      <c r="G59" s="208">
        <f t="shared" si="8"/>
        <v>0</v>
      </c>
      <c r="H59" s="208">
        <f t="shared" si="8"/>
        <v>1633.34476</v>
      </c>
      <c r="I59" s="208">
        <v>0</v>
      </c>
      <c r="J59" s="208">
        <f t="shared" si="8"/>
        <v>0</v>
      </c>
      <c r="K59" s="208">
        <f t="shared" si="8"/>
        <v>0</v>
      </c>
      <c r="L59" s="208">
        <f>E59-D59</f>
        <v>-408</v>
      </c>
      <c r="M59" s="209">
        <f>IF(D59=0,0,L59/D59)</f>
        <v>-4.894433781190019E-2</v>
      </c>
      <c r="N59" s="339" t="s">
        <v>141</v>
      </c>
      <c r="O59" s="339"/>
      <c r="P59" s="339"/>
      <c r="Q59" s="339"/>
      <c r="R59" s="338"/>
      <c r="S59" s="338"/>
      <c r="T59" s="222"/>
      <c r="U59" s="338"/>
      <c r="V59" s="448"/>
      <c r="W59" s="449"/>
      <c r="X59" s="338"/>
      <c r="Y59" s="338"/>
      <c r="Z59" s="338"/>
      <c r="AA59" s="338"/>
      <c r="AB59" s="338"/>
      <c r="AC59" s="338"/>
      <c r="AD59" s="338">
        <f>SUM(AD60,AD63,AD68,AD74,AD82,AD85)</f>
        <v>7927760</v>
      </c>
      <c r="AE59" s="210" t="s">
        <v>25</v>
      </c>
      <c r="AF59" s="1"/>
    </row>
    <row r="60" spans="1:34" s="12" customFormat="1" ht="21" customHeight="1">
      <c r="A60" s="51"/>
      <c r="B60" s="335"/>
      <c r="C60" s="335" t="s">
        <v>95</v>
      </c>
      <c r="D60" s="189">
        <v>0</v>
      </c>
      <c r="E60" s="129">
        <f>AD60/1000</f>
        <v>0</v>
      </c>
      <c r="F60" s="129">
        <v>0</v>
      </c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f>E60-D60</f>
        <v>0</v>
      </c>
      <c r="M60" s="86">
        <f>IF(D60=0,0,L60/D60)</f>
        <v>0</v>
      </c>
      <c r="N60" s="136" t="s">
        <v>42</v>
      </c>
      <c r="O60" s="218"/>
      <c r="P60" s="218"/>
      <c r="Q60" s="218"/>
      <c r="R60" s="218"/>
      <c r="S60" s="218"/>
      <c r="T60" s="217"/>
      <c r="U60" s="217"/>
      <c r="V60" s="217"/>
      <c r="W60" s="217"/>
      <c r="X60" s="217"/>
      <c r="Y60" s="338" t="s">
        <v>137</v>
      </c>
      <c r="Z60" s="338"/>
      <c r="AA60" s="338"/>
      <c r="AB60" s="338"/>
      <c r="AC60" s="211"/>
      <c r="AD60" s="211">
        <f>AD61</f>
        <v>0</v>
      </c>
      <c r="AE60" s="210" t="s">
        <v>25</v>
      </c>
      <c r="AF60" s="21"/>
      <c r="AG60" s="20"/>
      <c r="AH60" s="20"/>
    </row>
    <row r="61" spans="1:34" s="12" customFormat="1" ht="21" customHeight="1">
      <c r="A61" s="51"/>
      <c r="B61" s="335"/>
      <c r="C61" s="335"/>
      <c r="D61" s="189"/>
      <c r="E61" s="129"/>
      <c r="F61" s="129"/>
      <c r="G61" s="129"/>
      <c r="H61" s="129"/>
      <c r="I61" s="129"/>
      <c r="J61" s="129"/>
      <c r="K61" s="129"/>
      <c r="L61" s="129"/>
      <c r="M61" s="86"/>
      <c r="N61" s="341" t="s">
        <v>142</v>
      </c>
      <c r="O61" s="341"/>
      <c r="P61" s="341"/>
      <c r="Q61" s="341"/>
      <c r="R61" s="340">
        <v>20000</v>
      </c>
      <c r="S61" s="340"/>
      <c r="T61" s="60" t="s">
        <v>25</v>
      </c>
      <c r="U61" s="60" t="s">
        <v>26</v>
      </c>
      <c r="V61" s="340">
        <v>1</v>
      </c>
      <c r="W61" s="60" t="s">
        <v>143</v>
      </c>
      <c r="X61" s="340" t="s">
        <v>26</v>
      </c>
      <c r="Y61" s="340">
        <v>3</v>
      </c>
      <c r="Z61" s="340" t="s">
        <v>144</v>
      </c>
      <c r="AA61" s="340" t="s">
        <v>27</v>
      </c>
      <c r="AB61" s="340"/>
      <c r="AC61" s="340"/>
      <c r="AD61" s="340">
        <v>0</v>
      </c>
      <c r="AE61" s="62" t="s">
        <v>68</v>
      </c>
      <c r="AF61" s="21"/>
      <c r="AG61" s="20"/>
      <c r="AH61" s="20"/>
    </row>
    <row r="62" spans="1:34" s="12" customFormat="1" ht="21" customHeight="1">
      <c r="A62" s="51"/>
      <c r="B62" s="335"/>
      <c r="C62" s="335"/>
      <c r="D62" s="189"/>
      <c r="E62" s="129"/>
      <c r="F62" s="129"/>
      <c r="G62" s="129"/>
      <c r="H62" s="129"/>
      <c r="I62" s="129"/>
      <c r="J62" s="129"/>
      <c r="K62" s="129"/>
      <c r="L62" s="129"/>
      <c r="M62" s="86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269"/>
      <c r="AF62" s="2"/>
    </row>
    <row r="63" spans="1:34" s="12" customFormat="1" ht="21" customHeight="1">
      <c r="A63" s="51"/>
      <c r="B63" s="335"/>
      <c r="C63" s="334" t="s">
        <v>43</v>
      </c>
      <c r="D63" s="191">
        <v>3400</v>
      </c>
      <c r="E63" s="133">
        <f>ROUND(AD63/1000,0)</f>
        <v>2783</v>
      </c>
      <c r="F63" s="133">
        <f>(AD64+AD65)/1000</f>
        <v>1950</v>
      </c>
      <c r="G63" s="133">
        <v>0</v>
      </c>
      <c r="H63" s="133">
        <f>AD66/1000</f>
        <v>833</v>
      </c>
      <c r="I63" s="133">
        <v>0</v>
      </c>
      <c r="J63" s="133">
        <v>0</v>
      </c>
      <c r="K63" s="133">
        <v>0</v>
      </c>
      <c r="L63" s="133">
        <f>E63-D63</f>
        <v>-617</v>
      </c>
      <c r="M63" s="140">
        <f>IF(D63=0,0,L63/D63)</f>
        <v>-0.18147058823529411</v>
      </c>
      <c r="N63" s="118" t="s">
        <v>44</v>
      </c>
      <c r="O63" s="220"/>
      <c r="P63" s="220"/>
      <c r="Q63" s="220"/>
      <c r="R63" s="220"/>
      <c r="S63" s="220"/>
      <c r="T63" s="219"/>
      <c r="U63" s="219"/>
      <c r="V63" s="219"/>
      <c r="W63" s="219"/>
      <c r="X63" s="219"/>
      <c r="Y63" s="338" t="s">
        <v>183</v>
      </c>
      <c r="Z63" s="338"/>
      <c r="AA63" s="338"/>
      <c r="AB63" s="338"/>
      <c r="AC63" s="211"/>
      <c r="AD63" s="211">
        <f>SUM(AD64:AD66)</f>
        <v>2783000</v>
      </c>
      <c r="AE63" s="210" t="s">
        <v>25</v>
      </c>
      <c r="AF63" s="1"/>
    </row>
    <row r="64" spans="1:34" s="12" customFormat="1" ht="21" customHeight="1">
      <c r="A64" s="51"/>
      <c r="B64" s="335"/>
      <c r="C64" s="335" t="s">
        <v>148</v>
      </c>
      <c r="D64" s="189"/>
      <c r="E64" s="129"/>
      <c r="F64" s="129"/>
      <c r="G64" s="129"/>
      <c r="H64" s="129"/>
      <c r="I64" s="129"/>
      <c r="J64" s="129"/>
      <c r="K64" s="129"/>
      <c r="L64" s="129"/>
      <c r="M64" s="86"/>
      <c r="N64" s="194" t="s">
        <v>184</v>
      </c>
      <c r="O64" s="341"/>
      <c r="P64" s="341"/>
      <c r="Q64" s="341"/>
      <c r="R64" s="340"/>
      <c r="S64" s="340"/>
      <c r="T64" s="60"/>
      <c r="U64" s="340"/>
      <c r="V64" s="450"/>
      <c r="W64" s="451"/>
      <c r="X64" s="340"/>
      <c r="Y64" s="108"/>
      <c r="Z64" s="108"/>
      <c r="AA64" s="108"/>
      <c r="AB64" s="108" t="s">
        <v>331</v>
      </c>
      <c r="AC64" s="108"/>
      <c r="AD64" s="108">
        <v>1500000</v>
      </c>
      <c r="AE64" s="142" t="s">
        <v>25</v>
      </c>
      <c r="AF64" s="1"/>
    </row>
    <row r="65" spans="1:32" s="12" customFormat="1" ht="21" customHeight="1">
      <c r="A65" s="51"/>
      <c r="B65" s="335"/>
      <c r="C65" s="335"/>
      <c r="D65" s="189"/>
      <c r="E65" s="129"/>
      <c r="F65" s="129"/>
      <c r="G65" s="129"/>
      <c r="H65" s="129"/>
      <c r="I65" s="129"/>
      <c r="J65" s="129"/>
      <c r="K65" s="129"/>
      <c r="L65" s="129"/>
      <c r="M65" s="86"/>
      <c r="N65" s="341" t="s">
        <v>238</v>
      </c>
      <c r="O65" s="341"/>
      <c r="P65" s="341"/>
      <c r="Q65" s="341"/>
      <c r="R65" s="340"/>
      <c r="S65" s="340"/>
      <c r="T65" s="60"/>
      <c r="U65" s="60"/>
      <c r="V65" s="340"/>
      <c r="W65" s="341"/>
      <c r="X65" s="340"/>
      <c r="Y65" s="340"/>
      <c r="Z65" s="340"/>
      <c r="AA65" s="340"/>
      <c r="AB65" s="340" t="s">
        <v>331</v>
      </c>
      <c r="AC65" s="340"/>
      <c r="AD65" s="340">
        <v>450000</v>
      </c>
      <c r="AE65" s="62" t="s">
        <v>186</v>
      </c>
      <c r="AF65" s="21"/>
    </row>
    <row r="66" spans="1:32" s="12" customFormat="1" ht="21" customHeight="1">
      <c r="A66" s="51"/>
      <c r="B66" s="335"/>
      <c r="C66" s="335"/>
      <c r="D66" s="189"/>
      <c r="E66" s="129"/>
      <c r="F66" s="129"/>
      <c r="G66" s="129"/>
      <c r="H66" s="129"/>
      <c r="I66" s="129"/>
      <c r="J66" s="129"/>
      <c r="K66" s="129"/>
      <c r="L66" s="129"/>
      <c r="M66" s="86"/>
      <c r="N66" s="341" t="s">
        <v>239</v>
      </c>
      <c r="O66" s="341"/>
      <c r="P66" s="341"/>
      <c r="Q66" s="341"/>
      <c r="R66" s="340"/>
      <c r="S66" s="340"/>
      <c r="T66" s="60"/>
      <c r="U66" s="60"/>
      <c r="V66" s="340"/>
      <c r="W66" s="341"/>
      <c r="X66" s="340"/>
      <c r="Y66" s="340"/>
      <c r="Z66" s="340"/>
      <c r="AA66" s="340"/>
      <c r="AB66" s="340" t="s">
        <v>330</v>
      </c>
      <c r="AC66" s="340"/>
      <c r="AD66" s="340">
        <v>833000</v>
      </c>
      <c r="AE66" s="62" t="s">
        <v>230</v>
      </c>
      <c r="AF66" s="21"/>
    </row>
    <row r="67" spans="1:32" s="12" customFormat="1" ht="21" customHeight="1">
      <c r="A67" s="51"/>
      <c r="B67" s="335"/>
      <c r="C67" s="64"/>
      <c r="D67" s="190"/>
      <c r="E67" s="131"/>
      <c r="F67" s="131"/>
      <c r="G67" s="131"/>
      <c r="H67" s="131"/>
      <c r="I67" s="131"/>
      <c r="J67" s="131"/>
      <c r="K67" s="131"/>
      <c r="L67" s="131"/>
      <c r="M67" s="104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2"/>
      <c r="AE67" s="153"/>
      <c r="AF67" s="1"/>
    </row>
    <row r="68" spans="1:32" s="12" customFormat="1" ht="21" customHeight="1">
      <c r="A68" s="51"/>
      <c r="B68" s="335"/>
      <c r="C68" s="335" t="s">
        <v>41</v>
      </c>
      <c r="D68" s="189">
        <v>4400</v>
      </c>
      <c r="E68" s="129">
        <f>ROUND(AD68/1000,0)</f>
        <v>4800</v>
      </c>
      <c r="F68" s="129">
        <f>(AD70+AD69)/1000</f>
        <v>4000</v>
      </c>
      <c r="G68" s="129">
        <v>0</v>
      </c>
      <c r="H68" s="129">
        <f>(AD71+AD72)/1000</f>
        <v>800</v>
      </c>
      <c r="I68" s="129">
        <v>0</v>
      </c>
      <c r="J68" s="129">
        <v>0</v>
      </c>
      <c r="K68" s="129">
        <v>0</v>
      </c>
      <c r="L68" s="129">
        <f>E68-D68</f>
        <v>400</v>
      </c>
      <c r="M68" s="86">
        <f>IF(D68=0,0,L68/D68)</f>
        <v>9.0909090909090912E-2</v>
      </c>
      <c r="N68" s="136" t="s">
        <v>45</v>
      </c>
      <c r="O68" s="218"/>
      <c r="P68" s="218"/>
      <c r="Q68" s="218"/>
      <c r="R68" s="218"/>
      <c r="S68" s="218"/>
      <c r="T68" s="217"/>
      <c r="U68" s="217"/>
      <c r="V68" s="217"/>
      <c r="W68" s="217"/>
      <c r="X68" s="217"/>
      <c r="Y68" s="338" t="s">
        <v>137</v>
      </c>
      <c r="Z68" s="338"/>
      <c r="AA68" s="338"/>
      <c r="AB68" s="338"/>
      <c r="AC68" s="211"/>
      <c r="AD68" s="211">
        <f>SUM(AD69:AD72)</f>
        <v>4800000</v>
      </c>
      <c r="AE68" s="210" t="s">
        <v>25</v>
      </c>
      <c r="AF68" s="1"/>
    </row>
    <row r="69" spans="1:32" s="12" customFormat="1" ht="21" customHeight="1">
      <c r="A69" s="51"/>
      <c r="B69" s="335"/>
      <c r="C69" s="335"/>
      <c r="D69" s="189"/>
      <c r="E69" s="129"/>
      <c r="F69" s="129"/>
      <c r="G69" s="129"/>
      <c r="H69" s="129"/>
      <c r="I69" s="129"/>
      <c r="J69" s="129"/>
      <c r="K69" s="129"/>
      <c r="L69" s="129"/>
      <c r="M69" s="86"/>
      <c r="N69" s="194" t="s">
        <v>322</v>
      </c>
      <c r="O69" s="341"/>
      <c r="P69" s="341"/>
      <c r="Q69" s="341"/>
      <c r="R69" s="148">
        <v>50000</v>
      </c>
      <c r="S69" s="148"/>
      <c r="T69" s="149" t="s">
        <v>25</v>
      </c>
      <c r="U69" s="149" t="s">
        <v>26</v>
      </c>
      <c r="V69" s="148">
        <v>10</v>
      </c>
      <c r="W69" s="147" t="s">
        <v>29</v>
      </c>
      <c r="X69" s="148" t="s">
        <v>27</v>
      </c>
      <c r="Y69" s="340"/>
      <c r="Z69" s="340"/>
      <c r="AA69" s="340"/>
      <c r="AB69" s="340" t="s">
        <v>331</v>
      </c>
      <c r="AC69" s="340"/>
      <c r="AD69" s="340">
        <f>R69*V69</f>
        <v>500000</v>
      </c>
      <c r="AE69" s="62" t="s">
        <v>25</v>
      </c>
      <c r="AF69" s="1"/>
    </row>
    <row r="70" spans="1:32" s="12" customFormat="1" ht="21" customHeight="1">
      <c r="A70" s="51"/>
      <c r="B70" s="335"/>
      <c r="C70" s="335"/>
      <c r="D70" s="189"/>
      <c r="E70" s="129"/>
      <c r="F70" s="129"/>
      <c r="G70" s="129"/>
      <c r="H70" s="129"/>
      <c r="I70" s="129"/>
      <c r="J70" s="129"/>
      <c r="K70" s="129"/>
      <c r="L70" s="129"/>
      <c r="M70" s="86"/>
      <c r="N70" s="82" t="s">
        <v>323</v>
      </c>
      <c r="O70" s="341"/>
      <c r="P70" s="341"/>
      <c r="Q70" s="341"/>
      <c r="R70" s="340">
        <v>350000</v>
      </c>
      <c r="S70" s="340"/>
      <c r="T70" s="60" t="s">
        <v>58</v>
      </c>
      <c r="U70" s="60" t="s">
        <v>26</v>
      </c>
      <c r="V70" s="340">
        <v>10</v>
      </c>
      <c r="W70" s="341" t="s">
        <v>0</v>
      </c>
      <c r="X70" s="340" t="s">
        <v>27</v>
      </c>
      <c r="Y70" s="340"/>
      <c r="Z70" s="340"/>
      <c r="AA70" s="340"/>
      <c r="AB70" s="340" t="s">
        <v>331</v>
      </c>
      <c r="AC70" s="340"/>
      <c r="AD70" s="340">
        <f>R70*V70</f>
        <v>3500000</v>
      </c>
      <c r="AE70" s="62" t="s">
        <v>112</v>
      </c>
      <c r="AF70" s="1"/>
    </row>
    <row r="71" spans="1:32" s="12" customFormat="1" ht="21" customHeight="1">
      <c r="A71" s="51"/>
      <c r="B71" s="335"/>
      <c r="C71" s="335"/>
      <c r="D71" s="189"/>
      <c r="E71" s="129"/>
      <c r="F71" s="129"/>
      <c r="G71" s="129"/>
      <c r="H71" s="129"/>
      <c r="I71" s="129"/>
      <c r="J71" s="129"/>
      <c r="K71" s="129"/>
      <c r="L71" s="129"/>
      <c r="M71" s="86"/>
      <c r="N71" s="341" t="s">
        <v>324</v>
      </c>
      <c r="O71" s="341"/>
      <c r="P71" s="341"/>
      <c r="Q71" s="341"/>
      <c r="R71" s="148">
        <v>100000</v>
      </c>
      <c r="S71" s="148"/>
      <c r="T71" s="149" t="s">
        <v>25</v>
      </c>
      <c r="U71" s="149" t="s">
        <v>26</v>
      </c>
      <c r="V71" s="148">
        <v>2</v>
      </c>
      <c r="W71" s="147" t="s">
        <v>29</v>
      </c>
      <c r="X71" s="148" t="s">
        <v>27</v>
      </c>
      <c r="Y71" s="340"/>
      <c r="Z71" s="340"/>
      <c r="AA71" s="340"/>
      <c r="AB71" s="340" t="s">
        <v>330</v>
      </c>
      <c r="AC71" s="340"/>
      <c r="AD71" s="340">
        <f>ROUNDUP(R71*V71,1)</f>
        <v>200000</v>
      </c>
      <c r="AE71" s="62" t="s">
        <v>25</v>
      </c>
      <c r="AF71" s="1"/>
    </row>
    <row r="72" spans="1:32" s="12" customFormat="1" ht="21" customHeight="1">
      <c r="A72" s="51"/>
      <c r="B72" s="335"/>
      <c r="C72" s="335"/>
      <c r="D72" s="189"/>
      <c r="E72" s="129"/>
      <c r="F72" s="129"/>
      <c r="G72" s="129"/>
      <c r="H72" s="129"/>
      <c r="I72" s="129"/>
      <c r="J72" s="129"/>
      <c r="K72" s="129"/>
      <c r="L72" s="129"/>
      <c r="M72" s="86"/>
      <c r="N72" s="341" t="s">
        <v>325</v>
      </c>
      <c r="O72" s="341"/>
      <c r="P72" s="341"/>
      <c r="Q72" s="341"/>
      <c r="R72" s="340">
        <v>300000</v>
      </c>
      <c r="S72" s="340"/>
      <c r="T72" s="60" t="s">
        <v>58</v>
      </c>
      <c r="U72" s="60" t="s">
        <v>26</v>
      </c>
      <c r="V72" s="340">
        <v>2</v>
      </c>
      <c r="W72" s="341" t="s">
        <v>0</v>
      </c>
      <c r="X72" s="340" t="s">
        <v>27</v>
      </c>
      <c r="Y72" s="340"/>
      <c r="Z72" s="340"/>
      <c r="AA72" s="340"/>
      <c r="AB72" s="340" t="s">
        <v>330</v>
      </c>
      <c r="AC72" s="340"/>
      <c r="AD72" s="340">
        <f>R72*V72</f>
        <v>600000</v>
      </c>
      <c r="AE72" s="62" t="s">
        <v>58</v>
      </c>
      <c r="AF72" s="1"/>
    </row>
    <row r="73" spans="1:32" s="15" customFormat="1" ht="21" customHeight="1">
      <c r="A73" s="51"/>
      <c r="B73" s="335"/>
      <c r="C73" s="335"/>
      <c r="D73" s="189"/>
      <c r="E73" s="129"/>
      <c r="F73" s="129"/>
      <c r="G73" s="129"/>
      <c r="H73" s="129"/>
      <c r="I73" s="129"/>
      <c r="J73" s="129"/>
      <c r="K73" s="129"/>
      <c r="L73" s="129"/>
      <c r="M73" s="86"/>
      <c r="N73" s="139"/>
      <c r="O73" s="341"/>
      <c r="P73" s="341"/>
      <c r="Q73" s="341"/>
      <c r="R73" s="340"/>
      <c r="S73" s="340"/>
      <c r="T73" s="60"/>
      <c r="U73" s="60"/>
      <c r="V73" s="340"/>
      <c r="W73" s="341"/>
      <c r="X73" s="340"/>
      <c r="Y73" s="340"/>
      <c r="Z73" s="340"/>
      <c r="AA73" s="340"/>
      <c r="AB73" s="340"/>
      <c r="AC73" s="340"/>
      <c r="AD73" s="340"/>
      <c r="AE73" s="62"/>
      <c r="AF73" s="4"/>
    </row>
    <row r="74" spans="1:32" ht="21" customHeight="1">
      <c r="A74" s="51"/>
      <c r="B74" s="335"/>
      <c r="C74" s="334" t="s">
        <v>15</v>
      </c>
      <c r="D74" s="191">
        <v>436</v>
      </c>
      <c r="E74" s="133">
        <f>ROUND(AD74/1000,0)</f>
        <v>345</v>
      </c>
      <c r="F74" s="133">
        <f>(AD77+AD78+AD79+AD75+AD76+AD80)/1000</f>
        <v>344.76</v>
      </c>
      <c r="G74" s="133">
        <v>0</v>
      </c>
      <c r="H74" s="133">
        <f>(F74)/1000</f>
        <v>0.34476000000000001</v>
      </c>
      <c r="I74" s="133">
        <v>0</v>
      </c>
      <c r="J74" s="133">
        <v>0</v>
      </c>
      <c r="K74" s="133">
        <v>0</v>
      </c>
      <c r="L74" s="223">
        <f>E74-D74</f>
        <v>-91</v>
      </c>
      <c r="M74" s="140">
        <f>IF(D74=0,0,L74/D74)</f>
        <v>-0.20871559633027523</v>
      </c>
      <c r="N74" s="118" t="s">
        <v>46</v>
      </c>
      <c r="O74" s="220"/>
      <c r="P74" s="220"/>
      <c r="Q74" s="220"/>
      <c r="R74" s="220"/>
      <c r="S74" s="220"/>
      <c r="T74" s="219"/>
      <c r="U74" s="219"/>
      <c r="V74" s="219"/>
      <c r="W74" s="219"/>
      <c r="X74" s="219"/>
      <c r="Y74" s="338" t="s">
        <v>137</v>
      </c>
      <c r="Z74" s="338"/>
      <c r="AA74" s="338"/>
      <c r="AB74" s="338"/>
      <c r="AC74" s="211"/>
      <c r="AD74" s="211">
        <f>SUM(AD75:AD80)</f>
        <v>344760</v>
      </c>
      <c r="AE74" s="210" t="s">
        <v>25</v>
      </c>
    </row>
    <row r="75" spans="1:32" s="12" customFormat="1" ht="21" customHeight="1">
      <c r="A75" s="51"/>
      <c r="B75" s="335"/>
      <c r="C75" s="335"/>
      <c r="D75" s="189"/>
      <c r="E75" s="129"/>
      <c r="F75" s="129"/>
      <c r="G75" s="129"/>
      <c r="H75" s="129"/>
      <c r="I75" s="129"/>
      <c r="J75" s="129"/>
      <c r="K75" s="129"/>
      <c r="L75" s="129"/>
      <c r="M75" s="86"/>
      <c r="N75" s="341" t="s">
        <v>187</v>
      </c>
      <c r="O75" s="154"/>
      <c r="P75" s="154"/>
      <c r="Q75" s="154"/>
      <c r="R75" s="148">
        <v>41600</v>
      </c>
      <c r="S75" s="148"/>
      <c r="T75" s="149" t="s">
        <v>25</v>
      </c>
      <c r="U75" s="149" t="s">
        <v>26</v>
      </c>
      <c r="V75" s="148">
        <v>1</v>
      </c>
      <c r="W75" s="147" t="s">
        <v>182</v>
      </c>
      <c r="X75" s="148" t="s">
        <v>27</v>
      </c>
      <c r="Y75" s="340"/>
      <c r="Z75" s="340"/>
      <c r="AA75" s="341"/>
      <c r="AB75" s="341"/>
      <c r="AC75" s="340"/>
      <c r="AD75" s="340">
        <f>R75*V75</f>
        <v>41600</v>
      </c>
      <c r="AE75" s="62" t="s">
        <v>186</v>
      </c>
      <c r="AF75" s="1"/>
    </row>
    <row r="76" spans="1:32" s="12" customFormat="1" ht="21" customHeight="1">
      <c r="A76" s="51"/>
      <c r="B76" s="335"/>
      <c r="C76" s="335"/>
      <c r="D76" s="189"/>
      <c r="E76" s="129"/>
      <c r="F76" s="129"/>
      <c r="G76" s="129"/>
      <c r="H76" s="129"/>
      <c r="I76" s="129"/>
      <c r="J76" s="129"/>
      <c r="K76" s="129"/>
      <c r="L76" s="129"/>
      <c r="M76" s="86"/>
      <c r="N76" s="252" t="s">
        <v>188</v>
      </c>
      <c r="O76" s="34"/>
      <c r="P76" s="34"/>
      <c r="Q76" s="34"/>
      <c r="R76" s="148">
        <v>81600</v>
      </c>
      <c r="S76" s="148"/>
      <c r="T76" s="149" t="s">
        <v>25</v>
      </c>
      <c r="U76" s="149" t="s">
        <v>26</v>
      </c>
      <c r="V76" s="148">
        <v>1</v>
      </c>
      <c r="W76" s="147" t="s">
        <v>182</v>
      </c>
      <c r="X76" s="148" t="s">
        <v>27</v>
      </c>
      <c r="Y76" s="340"/>
      <c r="Z76" s="340"/>
      <c r="AA76" s="341"/>
      <c r="AB76" s="341"/>
      <c r="AC76" s="340"/>
      <c r="AD76" s="340">
        <f>R76*V76</f>
        <v>81600</v>
      </c>
      <c r="AE76" s="62" t="s">
        <v>186</v>
      </c>
      <c r="AF76" s="1"/>
    </row>
    <row r="77" spans="1:32" s="12" customFormat="1" ht="21" customHeight="1">
      <c r="A77" s="51"/>
      <c r="B77" s="335"/>
      <c r="C77" s="335"/>
      <c r="D77" s="189"/>
      <c r="E77" s="129"/>
      <c r="F77" s="129"/>
      <c r="G77" s="129"/>
      <c r="H77" s="129"/>
      <c r="I77" s="129"/>
      <c r="J77" s="129"/>
      <c r="K77" s="129"/>
      <c r="L77" s="129"/>
      <c r="M77" s="86"/>
      <c r="N77" s="341" t="s">
        <v>189</v>
      </c>
      <c r="O77" s="34"/>
      <c r="P77" s="34"/>
      <c r="Q77" s="34"/>
      <c r="R77" s="148">
        <v>110000</v>
      </c>
      <c r="S77" s="148"/>
      <c r="T77" s="149" t="s">
        <v>25</v>
      </c>
      <c r="U77" s="149" t="s">
        <v>26</v>
      </c>
      <c r="V77" s="148">
        <v>1</v>
      </c>
      <c r="W77" s="147" t="s">
        <v>182</v>
      </c>
      <c r="X77" s="148" t="s">
        <v>27</v>
      </c>
      <c r="Y77" s="340"/>
      <c r="Z77" s="340"/>
      <c r="AA77" s="341"/>
      <c r="AB77" s="341"/>
      <c r="AC77" s="340"/>
      <c r="AD77" s="340">
        <f t="shared" ref="AD77:AD79" si="9">R77*V77</f>
        <v>110000</v>
      </c>
      <c r="AE77" s="62" t="s">
        <v>25</v>
      </c>
      <c r="AF77" s="1"/>
    </row>
    <row r="78" spans="1:32" s="12" customFormat="1" ht="21" customHeight="1">
      <c r="A78" s="51"/>
      <c r="B78" s="335"/>
      <c r="C78" s="335"/>
      <c r="D78" s="189"/>
      <c r="E78" s="129"/>
      <c r="F78" s="129"/>
      <c r="G78" s="129"/>
      <c r="H78" s="129"/>
      <c r="I78" s="129"/>
      <c r="J78" s="129"/>
      <c r="K78" s="129"/>
      <c r="L78" s="129"/>
      <c r="M78" s="86"/>
      <c r="N78" s="341" t="s">
        <v>190</v>
      </c>
      <c r="O78" s="154"/>
      <c r="P78" s="154"/>
      <c r="Q78" s="154"/>
      <c r="R78" s="148">
        <v>55000</v>
      </c>
      <c r="S78" s="148"/>
      <c r="T78" s="149" t="s">
        <v>25</v>
      </c>
      <c r="U78" s="149" t="s">
        <v>26</v>
      </c>
      <c r="V78" s="148">
        <v>1</v>
      </c>
      <c r="W78" s="147" t="s">
        <v>182</v>
      </c>
      <c r="X78" s="148" t="s">
        <v>27</v>
      </c>
      <c r="Y78" s="340"/>
      <c r="Z78" s="340"/>
      <c r="AA78" s="341"/>
      <c r="AB78" s="341"/>
      <c r="AC78" s="340"/>
      <c r="AD78" s="340">
        <f t="shared" si="9"/>
        <v>55000</v>
      </c>
      <c r="AE78" s="62" t="s">
        <v>25</v>
      </c>
      <c r="AF78" s="1"/>
    </row>
    <row r="79" spans="1:32" s="12" customFormat="1" ht="21" customHeight="1">
      <c r="A79" s="51"/>
      <c r="B79" s="335"/>
      <c r="C79" s="335"/>
      <c r="D79" s="189"/>
      <c r="E79" s="129"/>
      <c r="F79" s="129"/>
      <c r="G79" s="129"/>
      <c r="H79" s="129"/>
      <c r="I79" s="129"/>
      <c r="J79" s="129"/>
      <c r="K79" s="129"/>
      <c r="L79" s="129"/>
      <c r="M79" s="86"/>
      <c r="N79" s="341" t="s">
        <v>191</v>
      </c>
      <c r="O79" s="34"/>
      <c r="P79" s="34"/>
      <c r="Q79" s="34"/>
      <c r="R79" s="148">
        <v>30800</v>
      </c>
      <c r="S79" s="148"/>
      <c r="T79" s="149" t="s">
        <v>25</v>
      </c>
      <c r="U79" s="149" t="s">
        <v>26</v>
      </c>
      <c r="V79" s="148">
        <v>1</v>
      </c>
      <c r="W79" s="147" t="s">
        <v>182</v>
      </c>
      <c r="X79" s="148" t="s">
        <v>27</v>
      </c>
      <c r="Y79" s="340"/>
      <c r="Z79" s="340"/>
      <c r="AA79" s="341"/>
      <c r="AB79" s="341"/>
      <c r="AC79" s="340"/>
      <c r="AD79" s="340">
        <f t="shared" si="9"/>
        <v>30800</v>
      </c>
      <c r="AE79" s="62" t="s">
        <v>25</v>
      </c>
      <c r="AF79" s="1"/>
    </row>
    <row r="80" spans="1:32" s="12" customFormat="1" ht="21" customHeight="1">
      <c r="A80" s="51"/>
      <c r="B80" s="335"/>
      <c r="C80" s="335"/>
      <c r="D80" s="189"/>
      <c r="E80" s="129"/>
      <c r="F80" s="129"/>
      <c r="G80" s="129"/>
      <c r="H80" s="129"/>
      <c r="I80" s="129"/>
      <c r="J80" s="129"/>
      <c r="K80" s="129"/>
      <c r="L80" s="129"/>
      <c r="M80" s="86"/>
      <c r="N80" s="341" t="s">
        <v>315</v>
      </c>
      <c r="O80" s="34"/>
      <c r="P80" s="34"/>
      <c r="Q80" s="34"/>
      <c r="R80" s="148">
        <v>25760</v>
      </c>
      <c r="S80" s="148"/>
      <c r="T80" s="149" t="s">
        <v>25</v>
      </c>
      <c r="U80" s="149" t="s">
        <v>26</v>
      </c>
      <c r="V80" s="148">
        <v>1</v>
      </c>
      <c r="W80" s="147" t="s">
        <v>76</v>
      </c>
      <c r="X80" s="148" t="s">
        <v>27</v>
      </c>
      <c r="Y80" s="340"/>
      <c r="Z80" s="340"/>
      <c r="AA80" s="341"/>
      <c r="AB80" s="341"/>
      <c r="AC80" s="340"/>
      <c r="AD80" s="340">
        <f t="shared" ref="AD80" si="10">R80*V80</f>
        <v>25760</v>
      </c>
      <c r="AE80" s="62" t="s">
        <v>68</v>
      </c>
      <c r="AF80" s="1"/>
    </row>
    <row r="81" spans="1:32" s="12" customFormat="1" ht="21" customHeight="1">
      <c r="A81" s="51"/>
      <c r="B81" s="335"/>
      <c r="C81" s="335"/>
      <c r="D81" s="189"/>
      <c r="E81" s="129"/>
      <c r="F81" s="129"/>
      <c r="G81" s="129"/>
      <c r="H81" s="129"/>
      <c r="I81" s="129"/>
      <c r="J81" s="129"/>
      <c r="K81" s="129"/>
      <c r="L81" s="129"/>
      <c r="M81" s="86"/>
      <c r="N81" s="341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91"/>
      <c r="Z81" s="91"/>
      <c r="AA81" s="91"/>
      <c r="AB81" s="91"/>
      <c r="AC81" s="91"/>
      <c r="AD81" s="340"/>
      <c r="AE81" s="62"/>
      <c r="AF81" s="1"/>
    </row>
    <row r="82" spans="1:32" s="12" customFormat="1" ht="21" customHeight="1">
      <c r="A82" s="51"/>
      <c r="B82" s="335"/>
      <c r="C82" s="334" t="s">
        <v>47</v>
      </c>
      <c r="D82" s="191">
        <v>0</v>
      </c>
      <c r="E82" s="133">
        <f>ROUND(AD82/1000,0)</f>
        <v>0</v>
      </c>
      <c r="F82" s="133">
        <v>0</v>
      </c>
      <c r="G82" s="133">
        <v>0</v>
      </c>
      <c r="H82" s="133">
        <v>0</v>
      </c>
      <c r="I82" s="133">
        <v>0</v>
      </c>
      <c r="J82" s="133">
        <v>0</v>
      </c>
      <c r="K82" s="133">
        <v>0</v>
      </c>
      <c r="L82" s="133">
        <f>E82-D82</f>
        <v>0</v>
      </c>
      <c r="M82" s="140">
        <f>IF(D82=0,0,L82/D82)</f>
        <v>0</v>
      </c>
      <c r="N82" s="118" t="s">
        <v>48</v>
      </c>
      <c r="O82" s="220"/>
      <c r="P82" s="220"/>
      <c r="Q82" s="220"/>
      <c r="R82" s="220"/>
      <c r="S82" s="220"/>
      <c r="T82" s="219"/>
      <c r="U82" s="219"/>
      <c r="V82" s="219"/>
      <c r="W82" s="219"/>
      <c r="X82" s="219"/>
      <c r="Y82" s="338" t="s">
        <v>137</v>
      </c>
      <c r="Z82" s="338"/>
      <c r="AA82" s="338"/>
      <c r="AB82" s="338"/>
      <c r="AC82" s="211"/>
      <c r="AD82" s="211">
        <f>SUM(AD83:AD83)</f>
        <v>0</v>
      </c>
      <c r="AE82" s="210" t="s">
        <v>25</v>
      </c>
      <c r="AF82" s="1"/>
    </row>
    <row r="83" spans="1:32" s="12" customFormat="1" ht="21" customHeight="1">
      <c r="A83" s="51"/>
      <c r="B83" s="335"/>
      <c r="C83" s="335"/>
      <c r="D83" s="362"/>
      <c r="E83" s="129"/>
      <c r="F83" s="129"/>
      <c r="G83" s="129"/>
      <c r="H83" s="129"/>
      <c r="I83" s="129"/>
      <c r="J83" s="129"/>
      <c r="K83" s="129"/>
      <c r="L83" s="129"/>
      <c r="M83" s="86"/>
      <c r="N83" s="341" t="s">
        <v>192</v>
      </c>
      <c r="O83" s="341"/>
      <c r="P83" s="341"/>
      <c r="Q83" s="341"/>
      <c r="R83" s="148">
        <v>0</v>
      </c>
      <c r="S83" s="148"/>
      <c r="T83" s="149" t="s">
        <v>25</v>
      </c>
      <c r="U83" s="149" t="s">
        <v>26</v>
      </c>
      <c r="V83" s="148">
        <v>12</v>
      </c>
      <c r="W83" s="147" t="s">
        <v>185</v>
      </c>
      <c r="X83" s="148" t="s">
        <v>27</v>
      </c>
      <c r="Y83" s="340"/>
      <c r="Z83" s="340"/>
      <c r="AA83" s="340"/>
      <c r="AB83" s="340"/>
      <c r="AC83" s="340"/>
      <c r="AD83" s="340">
        <f>R83*V83</f>
        <v>0</v>
      </c>
      <c r="AE83" s="62" t="s">
        <v>25</v>
      </c>
      <c r="AF83" s="1"/>
    </row>
    <row r="84" spans="1:32" s="12" customFormat="1" ht="21" customHeight="1">
      <c r="A84" s="51"/>
      <c r="B84" s="335"/>
      <c r="C84" s="64"/>
      <c r="D84" s="155"/>
      <c r="E84" s="131"/>
      <c r="F84" s="131"/>
      <c r="G84" s="131"/>
      <c r="H84" s="131"/>
      <c r="I84" s="131"/>
      <c r="J84" s="131"/>
      <c r="K84" s="131"/>
      <c r="L84" s="131"/>
      <c r="M84" s="104"/>
      <c r="N84" s="337"/>
      <c r="O84" s="337"/>
      <c r="P84" s="337"/>
      <c r="Q84" s="337"/>
      <c r="R84" s="336"/>
      <c r="S84" s="336"/>
      <c r="T84" s="105"/>
      <c r="U84" s="336"/>
      <c r="V84" s="446"/>
      <c r="W84" s="447"/>
      <c r="X84" s="336"/>
      <c r="Y84" s="336"/>
      <c r="Z84" s="336"/>
      <c r="AA84" s="336"/>
      <c r="AB84" s="336"/>
      <c r="AC84" s="336"/>
      <c r="AD84" s="336"/>
      <c r="AE84" s="89"/>
      <c r="AF84" s="1"/>
    </row>
    <row r="85" spans="1:32" s="12" customFormat="1" ht="21" customHeight="1">
      <c r="A85" s="51"/>
      <c r="B85" s="335"/>
      <c r="C85" s="334" t="s">
        <v>97</v>
      </c>
      <c r="D85" s="156">
        <v>100</v>
      </c>
      <c r="E85" s="133">
        <f>ROUND(AD85/1000,0)</f>
        <v>0</v>
      </c>
      <c r="F85" s="133">
        <f>AD86/1000</f>
        <v>0</v>
      </c>
      <c r="G85" s="133">
        <v>0</v>
      </c>
      <c r="H85" s="133">
        <v>0</v>
      </c>
      <c r="I85" s="133">
        <v>0</v>
      </c>
      <c r="J85" s="133">
        <v>0</v>
      </c>
      <c r="K85" s="133">
        <v>0</v>
      </c>
      <c r="L85" s="133">
        <f>E85-D85</f>
        <v>-100</v>
      </c>
      <c r="M85" s="140">
        <f>IF(D85=0,0,L85/D85)</f>
        <v>-1</v>
      </c>
      <c r="N85" s="136" t="s">
        <v>98</v>
      </c>
      <c r="O85" s="220"/>
      <c r="P85" s="220"/>
      <c r="Q85" s="220"/>
      <c r="R85" s="220"/>
      <c r="S85" s="220"/>
      <c r="T85" s="219"/>
      <c r="U85" s="219"/>
      <c r="V85" s="219"/>
      <c r="W85" s="219"/>
      <c r="X85" s="219"/>
      <c r="Y85" s="338" t="s">
        <v>137</v>
      </c>
      <c r="Z85" s="338"/>
      <c r="AA85" s="338"/>
      <c r="AB85" s="338"/>
      <c r="AC85" s="211"/>
      <c r="AD85" s="211">
        <f>SUM(AD86)</f>
        <v>0</v>
      </c>
      <c r="AE85" s="210" t="s">
        <v>25</v>
      </c>
      <c r="AF85" s="1"/>
    </row>
    <row r="86" spans="1:32" s="12" customFormat="1" ht="21" customHeight="1">
      <c r="A86" s="51"/>
      <c r="B86" s="335"/>
      <c r="C86" s="335"/>
      <c r="D86" s="157"/>
      <c r="E86" s="129"/>
      <c r="F86" s="129"/>
      <c r="G86" s="129"/>
      <c r="H86" s="129"/>
      <c r="I86" s="129"/>
      <c r="J86" s="129"/>
      <c r="K86" s="129"/>
      <c r="L86" s="129"/>
      <c r="M86" s="86"/>
      <c r="N86" s="341" t="s">
        <v>193</v>
      </c>
      <c r="O86" s="341"/>
      <c r="P86" s="341"/>
      <c r="Q86" s="341"/>
      <c r="R86" s="91"/>
      <c r="S86" s="91"/>
      <c r="T86" s="340"/>
      <c r="U86" s="340"/>
      <c r="V86" s="340"/>
      <c r="W86" s="340"/>
      <c r="X86" s="340"/>
      <c r="Y86" s="340"/>
      <c r="Z86" s="340"/>
      <c r="AA86" s="340"/>
      <c r="AB86" s="340"/>
      <c r="AC86" s="83"/>
      <c r="AD86" s="83">
        <v>0</v>
      </c>
      <c r="AE86" s="62" t="s">
        <v>186</v>
      </c>
      <c r="AF86" s="1"/>
    </row>
    <row r="87" spans="1:32" s="12" customFormat="1" ht="20.25" customHeight="1">
      <c r="A87" s="51"/>
      <c r="B87" s="335"/>
      <c r="C87" s="335"/>
      <c r="D87" s="157"/>
      <c r="E87" s="129"/>
      <c r="F87" s="129"/>
      <c r="G87" s="129"/>
      <c r="H87" s="129"/>
      <c r="I87" s="129"/>
      <c r="J87" s="129"/>
      <c r="K87" s="129"/>
      <c r="L87" s="129"/>
      <c r="M87" s="86"/>
      <c r="N87" s="330"/>
      <c r="O87" s="331"/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269"/>
      <c r="AF87" s="2"/>
    </row>
    <row r="88" spans="1:32" s="12" customFormat="1" ht="21" customHeight="1">
      <c r="A88" s="132" t="s">
        <v>49</v>
      </c>
      <c r="B88" s="445" t="s">
        <v>21</v>
      </c>
      <c r="C88" s="445"/>
      <c r="D88" s="226">
        <f>D89</f>
        <v>3000</v>
      </c>
      <c r="E88" s="226">
        <f>E89</f>
        <v>3950</v>
      </c>
      <c r="F88" s="226">
        <f>F89</f>
        <v>200</v>
      </c>
      <c r="G88" s="226">
        <f>G89</f>
        <v>0</v>
      </c>
      <c r="H88" s="226">
        <f>H89</f>
        <v>3750</v>
      </c>
      <c r="I88" s="226">
        <v>0</v>
      </c>
      <c r="J88" s="226">
        <f t="shared" ref="J88:K88" si="11">J89</f>
        <v>0</v>
      </c>
      <c r="K88" s="226">
        <f t="shared" si="11"/>
        <v>0</v>
      </c>
      <c r="L88" s="226">
        <f>E88-D88</f>
        <v>950</v>
      </c>
      <c r="M88" s="204">
        <f>IF(D88=0,0,L88/D88)</f>
        <v>0.31666666666666665</v>
      </c>
      <c r="N88" s="218" t="s">
        <v>145</v>
      </c>
      <c r="O88" s="218"/>
      <c r="P88" s="218"/>
      <c r="Q88" s="218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>
        <f>AD89</f>
        <v>3950000</v>
      </c>
      <c r="AE88" s="40" t="s">
        <v>25</v>
      </c>
      <c r="AF88" s="2"/>
    </row>
    <row r="89" spans="1:32" s="12" customFormat="1" ht="21" customHeight="1">
      <c r="A89" s="225" t="s">
        <v>152</v>
      </c>
      <c r="B89" s="335" t="s">
        <v>18</v>
      </c>
      <c r="C89" s="335" t="s">
        <v>146</v>
      </c>
      <c r="D89" s="189">
        <f>D90+D93+D98</f>
        <v>3000</v>
      </c>
      <c r="E89" s="129">
        <f>SUM(E90,E93,E98)</f>
        <v>3950</v>
      </c>
      <c r="F89" s="129">
        <f>F90+F93+F98</f>
        <v>200</v>
      </c>
      <c r="G89" s="129">
        <f t="shared" ref="G89:K89" si="12">G90+G93+G98</f>
        <v>0</v>
      </c>
      <c r="H89" s="129">
        <f t="shared" si="12"/>
        <v>3750</v>
      </c>
      <c r="I89" s="129">
        <f t="shared" si="12"/>
        <v>0</v>
      </c>
      <c r="J89" s="129">
        <f t="shared" si="12"/>
        <v>0</v>
      </c>
      <c r="K89" s="129">
        <f t="shared" si="12"/>
        <v>0</v>
      </c>
      <c r="L89" s="129">
        <f>E89-D89</f>
        <v>950</v>
      </c>
      <c r="M89" s="86">
        <f>IF(D89=0,0,L89/D89)</f>
        <v>0.31666666666666665</v>
      </c>
      <c r="N89" s="220" t="s">
        <v>147</v>
      </c>
      <c r="O89" s="220"/>
      <c r="P89" s="220"/>
      <c r="Q89" s="220"/>
      <c r="R89" s="220"/>
      <c r="S89" s="220"/>
      <c r="T89" s="219"/>
      <c r="U89" s="219"/>
      <c r="V89" s="219"/>
      <c r="W89" s="219"/>
      <c r="X89" s="219"/>
      <c r="Y89" s="219"/>
      <c r="Z89" s="219"/>
      <c r="AA89" s="219"/>
      <c r="AB89" s="219"/>
      <c r="AC89" s="116"/>
      <c r="AD89" s="116">
        <f>SUM(AD90,AD93,AD98)</f>
        <v>3950000</v>
      </c>
      <c r="AE89" s="117" t="s">
        <v>25</v>
      </c>
      <c r="AF89" s="1"/>
    </row>
    <row r="90" spans="1:32" s="12" customFormat="1" ht="21" customHeight="1">
      <c r="A90" s="51"/>
      <c r="B90" s="335"/>
      <c r="C90" s="334" t="s">
        <v>147</v>
      </c>
      <c r="D90" s="223">
        <v>0</v>
      </c>
      <c r="E90" s="223">
        <v>0</v>
      </c>
      <c r="F90" s="223">
        <f>ROUND(AD91/1000,0)</f>
        <v>0</v>
      </c>
      <c r="G90" s="223">
        <v>0</v>
      </c>
      <c r="H90" s="223">
        <v>0</v>
      </c>
      <c r="I90" s="223">
        <v>0</v>
      </c>
      <c r="J90" s="223">
        <v>0</v>
      </c>
      <c r="K90" s="223">
        <v>0</v>
      </c>
      <c r="L90" s="223">
        <f>E90-D90</f>
        <v>0</v>
      </c>
      <c r="M90" s="224">
        <f>IF(D90=0,0,L90/D90)</f>
        <v>0</v>
      </c>
      <c r="N90" s="118" t="s">
        <v>50</v>
      </c>
      <c r="O90" s="220"/>
      <c r="P90" s="220"/>
      <c r="Q90" s="220"/>
      <c r="R90" s="220"/>
      <c r="S90" s="220"/>
      <c r="T90" s="219"/>
      <c r="U90" s="219"/>
      <c r="V90" s="219"/>
      <c r="W90" s="219"/>
      <c r="X90" s="219"/>
      <c r="Y90" s="338" t="s">
        <v>137</v>
      </c>
      <c r="Z90" s="338"/>
      <c r="AA90" s="338"/>
      <c r="AB90" s="338"/>
      <c r="AC90" s="211"/>
      <c r="AD90" s="211">
        <f>SUM(AD91:AD91)</f>
        <v>0</v>
      </c>
      <c r="AE90" s="210" t="s">
        <v>25</v>
      </c>
      <c r="AF90" s="1"/>
    </row>
    <row r="91" spans="1:32" s="12" customFormat="1" ht="21" customHeight="1">
      <c r="A91" s="51"/>
      <c r="B91" s="335"/>
      <c r="C91" s="335"/>
      <c r="D91" s="362"/>
      <c r="E91" s="129"/>
      <c r="F91" s="129"/>
      <c r="G91" s="129"/>
      <c r="H91" s="129"/>
      <c r="I91" s="129"/>
      <c r="J91" s="129"/>
      <c r="K91" s="129"/>
      <c r="L91" s="129"/>
      <c r="M91" s="86"/>
      <c r="N91" s="341" t="s">
        <v>286</v>
      </c>
      <c r="O91" s="218"/>
      <c r="P91" s="218"/>
      <c r="Q91" s="218"/>
      <c r="R91" s="218"/>
      <c r="S91" s="218"/>
      <c r="T91" s="217"/>
      <c r="U91" s="217"/>
      <c r="V91" s="217"/>
      <c r="W91" s="217"/>
      <c r="X91" s="217"/>
      <c r="Y91" s="217"/>
      <c r="Z91" s="217"/>
      <c r="AA91" s="217"/>
      <c r="AB91" s="340"/>
      <c r="AC91" s="57"/>
      <c r="AD91" s="83">
        <v>0</v>
      </c>
      <c r="AE91" s="62" t="s">
        <v>111</v>
      </c>
      <c r="AF91" s="2"/>
    </row>
    <row r="92" spans="1:32" s="12" customFormat="1" ht="21" customHeight="1">
      <c r="A92" s="51"/>
      <c r="B92" s="335"/>
      <c r="C92" s="335"/>
      <c r="D92" s="189"/>
      <c r="E92" s="129"/>
      <c r="F92" s="129"/>
      <c r="G92" s="129"/>
      <c r="H92" s="129"/>
      <c r="I92" s="129"/>
      <c r="J92" s="129"/>
      <c r="K92" s="129"/>
      <c r="L92" s="129"/>
      <c r="M92" s="86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363"/>
      <c r="AE92" s="146"/>
      <c r="AF92" s="2"/>
    </row>
    <row r="93" spans="1:32" s="12" customFormat="1" ht="21" customHeight="1">
      <c r="A93" s="51"/>
      <c r="B93" s="335"/>
      <c r="C93" s="334" t="s">
        <v>19</v>
      </c>
      <c r="D93" s="191">
        <v>3000</v>
      </c>
      <c r="E93" s="133">
        <f>F93+G93+H93+K93</f>
        <v>3950</v>
      </c>
      <c r="F93" s="133">
        <f>(AD95)/1000</f>
        <v>200</v>
      </c>
      <c r="G93" s="133">
        <f>(AD97)/1000</f>
        <v>0</v>
      </c>
      <c r="H93" s="133">
        <f>(AD94+AD96)/1000</f>
        <v>3750</v>
      </c>
      <c r="I93" s="133">
        <v>0</v>
      </c>
      <c r="J93" s="133">
        <v>0</v>
      </c>
      <c r="K93" s="133">
        <v>0</v>
      </c>
      <c r="L93" s="133">
        <f>E93-D93</f>
        <v>950</v>
      </c>
      <c r="M93" s="140">
        <f>IF(D93=0,0,L93/D93)</f>
        <v>0.31666666666666665</v>
      </c>
      <c r="N93" s="118" t="s">
        <v>51</v>
      </c>
      <c r="O93" s="220"/>
      <c r="P93" s="220"/>
      <c r="Q93" s="220"/>
      <c r="R93" s="220"/>
      <c r="S93" s="220"/>
      <c r="T93" s="219"/>
      <c r="U93" s="219"/>
      <c r="V93" s="219"/>
      <c r="W93" s="219"/>
      <c r="X93" s="219"/>
      <c r="Y93" s="338" t="s">
        <v>137</v>
      </c>
      <c r="Z93" s="338"/>
      <c r="AA93" s="338"/>
      <c r="AB93" s="338"/>
      <c r="AC93" s="211"/>
      <c r="AD93" s="211">
        <f>SUM(AD94:AD96)</f>
        <v>3950000</v>
      </c>
      <c r="AE93" s="210" t="s">
        <v>25</v>
      </c>
      <c r="AF93" s="1"/>
    </row>
    <row r="94" spans="1:32" s="12" customFormat="1" ht="21" customHeight="1">
      <c r="A94" s="51"/>
      <c r="B94" s="335"/>
      <c r="C94" s="335"/>
      <c r="D94" s="362"/>
      <c r="E94" s="129"/>
      <c r="F94" s="129"/>
      <c r="G94" s="129"/>
      <c r="H94" s="129"/>
      <c r="I94" s="129"/>
      <c r="J94" s="129"/>
      <c r="K94" s="129"/>
      <c r="L94" s="129"/>
      <c r="M94" s="86"/>
      <c r="N94" s="341" t="s">
        <v>336</v>
      </c>
      <c r="O94" s="341"/>
      <c r="P94" s="341"/>
      <c r="Q94" s="218"/>
      <c r="R94" s="218"/>
      <c r="S94" s="218"/>
      <c r="T94" s="217"/>
      <c r="U94" s="217"/>
      <c r="V94" s="217"/>
      <c r="W94" s="217"/>
      <c r="X94" s="217"/>
      <c r="Y94" s="217"/>
      <c r="Z94" s="217"/>
      <c r="AA94" s="217"/>
      <c r="AB94" s="377" t="s">
        <v>428</v>
      </c>
      <c r="AC94" s="57"/>
      <c r="AD94" s="83">
        <v>2950000</v>
      </c>
      <c r="AE94" s="62" t="s">
        <v>25</v>
      </c>
      <c r="AF94" s="2"/>
    </row>
    <row r="95" spans="1:32" s="12" customFormat="1" ht="21" customHeight="1">
      <c r="A95" s="51"/>
      <c r="B95" s="376"/>
      <c r="C95" s="376"/>
      <c r="D95" s="362"/>
      <c r="E95" s="129"/>
      <c r="F95" s="129"/>
      <c r="G95" s="129"/>
      <c r="H95" s="129"/>
      <c r="I95" s="129"/>
      <c r="J95" s="129"/>
      <c r="K95" s="129"/>
      <c r="L95" s="129"/>
      <c r="M95" s="86"/>
      <c r="N95" s="378" t="s">
        <v>402</v>
      </c>
      <c r="O95" s="378"/>
      <c r="P95" s="378"/>
      <c r="Q95" s="218"/>
      <c r="R95" s="218"/>
      <c r="S95" s="218"/>
      <c r="T95" s="217"/>
      <c r="U95" s="217"/>
      <c r="V95" s="217"/>
      <c r="W95" s="217"/>
      <c r="X95" s="217"/>
      <c r="Y95" s="217"/>
      <c r="Z95" s="217"/>
      <c r="AA95" s="217"/>
      <c r="AB95" s="377" t="s">
        <v>421</v>
      </c>
      <c r="AC95" s="57"/>
      <c r="AD95" s="83">
        <v>200000</v>
      </c>
      <c r="AE95" s="62" t="s">
        <v>25</v>
      </c>
      <c r="AF95" s="2"/>
    </row>
    <row r="96" spans="1:32" s="12" customFormat="1" ht="21" customHeight="1">
      <c r="A96" s="51"/>
      <c r="B96" s="376"/>
      <c r="C96" s="376"/>
      <c r="D96" s="362"/>
      <c r="E96" s="129"/>
      <c r="F96" s="129"/>
      <c r="G96" s="129"/>
      <c r="H96" s="129"/>
      <c r="I96" s="129"/>
      <c r="J96" s="129"/>
      <c r="K96" s="129"/>
      <c r="L96" s="129"/>
      <c r="M96" s="86"/>
      <c r="N96" s="382" t="s">
        <v>440</v>
      </c>
      <c r="O96" s="378"/>
      <c r="P96" s="378"/>
      <c r="Q96" s="218"/>
      <c r="R96" s="218"/>
      <c r="S96" s="218"/>
      <c r="T96" s="217"/>
      <c r="U96" s="217"/>
      <c r="V96" s="217"/>
      <c r="W96" s="217"/>
      <c r="X96" s="217"/>
      <c r="Y96" s="217"/>
      <c r="Z96" s="217"/>
      <c r="AA96" s="217"/>
      <c r="AB96" s="381" t="s">
        <v>439</v>
      </c>
      <c r="AC96" s="57"/>
      <c r="AD96" s="83">
        <v>800000</v>
      </c>
      <c r="AE96" s="62" t="s">
        <v>25</v>
      </c>
      <c r="AF96" s="2"/>
    </row>
    <row r="97" spans="1:32" s="12" customFormat="1" ht="21" customHeight="1">
      <c r="A97" s="51"/>
      <c r="B97" s="335"/>
      <c r="C97" s="335"/>
      <c r="D97" s="362"/>
      <c r="E97" s="129"/>
      <c r="F97" s="129"/>
      <c r="G97" s="131"/>
      <c r="H97" s="129"/>
      <c r="I97" s="129"/>
      <c r="J97" s="129"/>
      <c r="K97" s="129"/>
      <c r="L97" s="129"/>
      <c r="M97" s="86"/>
      <c r="N97" s="341"/>
      <c r="O97" s="341"/>
      <c r="P97" s="341"/>
      <c r="Q97" s="341"/>
      <c r="R97" s="341"/>
      <c r="S97" s="341"/>
      <c r="T97" s="340"/>
      <c r="U97" s="217"/>
      <c r="V97" s="217"/>
      <c r="W97" s="217"/>
      <c r="X97" s="217"/>
      <c r="Y97" s="217"/>
      <c r="Z97" s="217"/>
      <c r="AA97" s="217"/>
      <c r="AB97" s="340"/>
      <c r="AC97" s="57"/>
      <c r="AD97" s="83"/>
      <c r="AE97" s="62"/>
      <c r="AF97" s="2"/>
    </row>
    <row r="98" spans="1:32" s="12" customFormat="1" ht="21" customHeight="1">
      <c r="A98" s="51"/>
      <c r="B98" s="335"/>
      <c r="C98" s="334" t="s">
        <v>52</v>
      </c>
      <c r="D98" s="191">
        <v>0</v>
      </c>
      <c r="E98" s="133">
        <f>F98+G98+K98</f>
        <v>0</v>
      </c>
      <c r="F98" s="133">
        <f>ROUND(AD99/1000,0)</f>
        <v>0</v>
      </c>
      <c r="G98" s="364">
        <f>AD100/1000</f>
        <v>0</v>
      </c>
      <c r="H98" s="133">
        <f>AD101/1000</f>
        <v>0</v>
      </c>
      <c r="I98" s="133">
        <v>0</v>
      </c>
      <c r="J98" s="133">
        <v>0</v>
      </c>
      <c r="K98" s="133">
        <v>0</v>
      </c>
      <c r="L98" s="133">
        <f>E98-D98</f>
        <v>0</v>
      </c>
      <c r="M98" s="140">
        <f>IF(D98=0,0,L98/D98)</f>
        <v>0</v>
      </c>
      <c r="N98" s="118" t="s">
        <v>53</v>
      </c>
      <c r="O98" s="220"/>
      <c r="P98" s="220"/>
      <c r="Q98" s="220"/>
      <c r="R98" s="220"/>
      <c r="S98" s="220"/>
      <c r="T98" s="219"/>
      <c r="U98" s="219"/>
      <c r="V98" s="219"/>
      <c r="W98" s="219"/>
      <c r="X98" s="219"/>
      <c r="Y98" s="338" t="s">
        <v>137</v>
      </c>
      <c r="Z98" s="338"/>
      <c r="AA98" s="338"/>
      <c r="AB98" s="338"/>
      <c r="AC98" s="211"/>
      <c r="AD98" s="211">
        <f>SUM(AD99:AD100)</f>
        <v>0</v>
      </c>
      <c r="AE98" s="210" t="s">
        <v>25</v>
      </c>
      <c r="AF98" s="1"/>
    </row>
    <row r="99" spans="1:32" s="1" customFormat="1" ht="21" customHeight="1">
      <c r="A99" s="51"/>
      <c r="B99" s="335"/>
      <c r="C99" s="335" t="s">
        <v>158</v>
      </c>
      <c r="D99" s="189"/>
      <c r="E99" s="129"/>
      <c r="F99" s="129"/>
      <c r="G99" s="129"/>
      <c r="H99" s="129"/>
      <c r="I99" s="129"/>
      <c r="J99" s="129"/>
      <c r="K99" s="129"/>
      <c r="L99" s="129"/>
      <c r="M99" s="86"/>
      <c r="N99" s="341" t="s">
        <v>326</v>
      </c>
      <c r="O99" s="341"/>
      <c r="P99" s="341"/>
      <c r="Q99" s="341"/>
      <c r="R99" s="340"/>
      <c r="S99" s="340"/>
      <c r="T99" s="60"/>
      <c r="U99" s="60"/>
      <c r="V99" s="340"/>
      <c r="W99" s="341"/>
      <c r="X99" s="340"/>
      <c r="Y99" s="340"/>
      <c r="Z99" s="340"/>
      <c r="AA99" s="340"/>
      <c r="AB99" s="340"/>
      <c r="AC99" s="340"/>
      <c r="AD99" s="340">
        <v>0</v>
      </c>
      <c r="AE99" s="62" t="s">
        <v>25</v>
      </c>
      <c r="AF99" s="2"/>
    </row>
    <row r="100" spans="1:32" s="1" customFormat="1" ht="21" customHeight="1">
      <c r="A100" s="51"/>
      <c r="B100" s="335"/>
      <c r="C100" s="335"/>
      <c r="D100" s="189"/>
      <c r="E100" s="129"/>
      <c r="F100" s="129"/>
      <c r="G100" s="129"/>
      <c r="H100" s="129"/>
      <c r="I100" s="129"/>
      <c r="J100" s="129"/>
      <c r="K100" s="129"/>
      <c r="L100" s="129"/>
      <c r="M100" s="86"/>
      <c r="N100" s="341" t="s">
        <v>327</v>
      </c>
      <c r="O100" s="341"/>
      <c r="P100" s="341"/>
      <c r="Q100" s="341"/>
      <c r="R100" s="340"/>
      <c r="S100" s="340"/>
      <c r="T100" s="60"/>
      <c r="U100" s="60"/>
      <c r="V100" s="340"/>
      <c r="W100" s="341"/>
      <c r="X100" s="340"/>
      <c r="Y100" s="340"/>
      <c r="Z100" s="340"/>
      <c r="AA100" s="340"/>
      <c r="AB100" s="340"/>
      <c r="AC100" s="340"/>
      <c r="AD100" s="340">
        <v>0</v>
      </c>
      <c r="AE100" s="62" t="s">
        <v>25</v>
      </c>
      <c r="AF100" s="2"/>
    </row>
    <row r="101" spans="1:32" s="1" customFormat="1" ht="21" customHeight="1">
      <c r="A101" s="51"/>
      <c r="B101" s="335"/>
      <c r="C101" s="335"/>
      <c r="D101" s="189"/>
      <c r="E101" s="129"/>
      <c r="F101" s="129"/>
      <c r="G101" s="129"/>
      <c r="H101" s="129"/>
      <c r="I101" s="129"/>
      <c r="J101" s="129"/>
      <c r="K101" s="129"/>
      <c r="L101" s="129"/>
      <c r="M101" s="86"/>
      <c r="N101" s="341"/>
      <c r="O101" s="341"/>
      <c r="P101" s="341"/>
      <c r="Q101" s="341"/>
      <c r="R101" s="340"/>
      <c r="S101" s="340"/>
      <c r="T101" s="60"/>
      <c r="U101" s="60"/>
      <c r="V101" s="340"/>
      <c r="W101" s="341"/>
      <c r="X101" s="340"/>
      <c r="Y101" s="340"/>
      <c r="Z101" s="340"/>
      <c r="AA101" s="340"/>
      <c r="AB101" s="340"/>
      <c r="AC101" s="340"/>
      <c r="AD101" s="340"/>
      <c r="AE101" s="62"/>
      <c r="AF101" s="2"/>
    </row>
    <row r="102" spans="1:32" s="12" customFormat="1" ht="21" customHeight="1">
      <c r="A102" s="132" t="s">
        <v>20</v>
      </c>
      <c r="B102" s="443" t="s">
        <v>21</v>
      </c>
      <c r="C102" s="444"/>
      <c r="D102" s="227">
        <f>SUM(D103,D126)</f>
        <v>22782</v>
      </c>
      <c r="E102" s="227">
        <f>SUM(E103,E126)</f>
        <v>20440.073000000004</v>
      </c>
      <c r="F102" s="227">
        <f>SUM(F103,F126)</f>
        <v>13180.26</v>
      </c>
      <c r="G102" s="227">
        <f>SUM(G103,G126)</f>
        <v>0</v>
      </c>
      <c r="H102" s="227">
        <f>SUM(H103,H126)</f>
        <v>6640.4769999999999</v>
      </c>
      <c r="I102" s="227">
        <f>I103</f>
        <v>302.15499999999997</v>
      </c>
      <c r="J102" s="227">
        <f>SUM(J103)</f>
        <v>0</v>
      </c>
      <c r="K102" s="227">
        <f>SUM(K103,K126)</f>
        <v>2.181</v>
      </c>
      <c r="L102" s="227">
        <f>SUM(L103,L110,L115,L118,L122)</f>
        <v>-3343.208999999998</v>
      </c>
      <c r="M102" s="228">
        <f>IF(D102=0,0,L102/D102)</f>
        <v>-0.1467478272320252</v>
      </c>
      <c r="N102" s="220" t="s">
        <v>149</v>
      </c>
      <c r="O102" s="220"/>
      <c r="P102" s="220"/>
      <c r="Q102" s="220"/>
      <c r="R102" s="220"/>
      <c r="S102" s="220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>
        <f>SUM(AD103,AD126)</f>
        <v>20440073</v>
      </c>
      <c r="AE102" s="117" t="s">
        <v>25</v>
      </c>
      <c r="AF102" s="14"/>
    </row>
    <row r="103" spans="1:32" s="12" customFormat="1" ht="21" customHeight="1">
      <c r="A103" s="51"/>
      <c r="B103" s="334" t="s">
        <v>103</v>
      </c>
      <c r="C103" s="334" t="s">
        <v>150</v>
      </c>
      <c r="D103" s="133">
        <f>SUM(D104,D110,D115,D118,D122)</f>
        <v>15897</v>
      </c>
      <c r="E103" s="133">
        <f>SUM(E104,E110,E115,E118,E122)</f>
        <v>14072.073000000002</v>
      </c>
      <c r="F103" s="133">
        <f>SUM(F104,F110,F115,F118,F122)</f>
        <v>11140.26</v>
      </c>
      <c r="G103" s="133">
        <f>SUM(G104,G110,G115,G118,G122)</f>
        <v>0</v>
      </c>
      <c r="H103" s="133">
        <f>SUM(H104,H110,H115,H118,H122)</f>
        <v>2627.4769999999999</v>
      </c>
      <c r="I103" s="133">
        <f>I104</f>
        <v>302.15499999999997</v>
      </c>
      <c r="J103" s="133">
        <f>SUM(J104,J110,J115,J118,J122)</f>
        <v>0</v>
      </c>
      <c r="K103" s="133">
        <f>SUM(K104,K110,K115,K118,K122)</f>
        <v>2.181</v>
      </c>
      <c r="L103" s="133">
        <f>E103-D103</f>
        <v>-1824.9269999999979</v>
      </c>
      <c r="M103" s="140">
        <f>IF(D103=0,0,L103/D103)</f>
        <v>-0.11479694281939976</v>
      </c>
      <c r="N103" s="220"/>
      <c r="O103" s="220"/>
      <c r="P103" s="220"/>
      <c r="Q103" s="220"/>
      <c r="R103" s="220"/>
      <c r="S103" s="220"/>
      <c r="T103" s="219"/>
      <c r="U103" s="219"/>
      <c r="V103" s="219"/>
      <c r="W103" s="219"/>
      <c r="X103" s="219"/>
      <c r="Y103" s="219" t="s">
        <v>28</v>
      </c>
      <c r="Z103" s="219"/>
      <c r="AA103" s="219"/>
      <c r="AB103" s="219"/>
      <c r="AC103" s="116"/>
      <c r="AD103" s="116">
        <f>SUM(AD104,AD110,AD115,AD118,AD122)</f>
        <v>14072073</v>
      </c>
      <c r="AE103" s="117" t="s">
        <v>25</v>
      </c>
      <c r="AF103" s="1"/>
    </row>
    <row r="104" spans="1:32" s="12" customFormat="1" ht="21" customHeight="1">
      <c r="A104" s="51"/>
      <c r="B104" s="335"/>
      <c r="C104" s="334" t="s">
        <v>60</v>
      </c>
      <c r="D104" s="191">
        <v>11416</v>
      </c>
      <c r="E104" s="133">
        <f>SUM(F104,G104,H104,K104,I104)</f>
        <v>11109.355000000001</v>
      </c>
      <c r="F104" s="133">
        <f>(AD105)/1000</f>
        <v>9007.2000000000007</v>
      </c>
      <c r="G104" s="133">
        <v>0</v>
      </c>
      <c r="H104" s="133">
        <f>(AD106+AD107)/1000</f>
        <v>1800</v>
      </c>
      <c r="I104" s="133">
        <f>AD108/1000</f>
        <v>302.15499999999997</v>
      </c>
      <c r="J104" s="133">
        <v>0</v>
      </c>
      <c r="K104" s="133">
        <v>0</v>
      </c>
      <c r="L104" s="133">
        <f>E104-D104</f>
        <v>-306.64499999999862</v>
      </c>
      <c r="M104" s="140">
        <f>IF(D104=0,0,L104/D104)</f>
        <v>-2.6860984583041224E-2</v>
      </c>
      <c r="N104" s="118" t="s">
        <v>104</v>
      </c>
      <c r="O104" s="220"/>
      <c r="P104" s="220"/>
      <c r="Q104" s="220"/>
      <c r="R104" s="220"/>
      <c r="S104" s="220"/>
      <c r="T104" s="219"/>
      <c r="U104" s="219"/>
      <c r="V104" s="219"/>
      <c r="W104" s="219"/>
      <c r="X104" s="219"/>
      <c r="Y104" s="338" t="s">
        <v>137</v>
      </c>
      <c r="Z104" s="338"/>
      <c r="AA104" s="338"/>
      <c r="AB104" s="338"/>
      <c r="AC104" s="211"/>
      <c r="AD104" s="211">
        <f>SUM(AD105:AD108)</f>
        <v>11109355</v>
      </c>
      <c r="AE104" s="210" t="s">
        <v>25</v>
      </c>
      <c r="AF104" s="1"/>
    </row>
    <row r="105" spans="1:32" s="12" customFormat="1" ht="21" customHeight="1">
      <c r="A105" s="51"/>
      <c r="B105" s="335"/>
      <c r="C105" s="335"/>
      <c r="D105" s="362"/>
      <c r="E105" s="129"/>
      <c r="F105" s="129"/>
      <c r="G105" s="129"/>
      <c r="H105" s="129"/>
      <c r="I105" s="129"/>
      <c r="J105" s="129"/>
      <c r="K105" s="129"/>
      <c r="L105" s="129"/>
      <c r="M105" s="86"/>
      <c r="N105" s="341" t="s">
        <v>194</v>
      </c>
      <c r="O105" s="341"/>
      <c r="P105" s="340"/>
      <c r="Q105" s="340"/>
      <c r="R105" s="340">
        <v>150120</v>
      </c>
      <c r="S105" s="340"/>
      <c r="T105" s="340" t="s">
        <v>84</v>
      </c>
      <c r="U105" s="60" t="s">
        <v>85</v>
      </c>
      <c r="V105" s="340">
        <v>12</v>
      </c>
      <c r="W105" s="340" t="s">
        <v>93</v>
      </c>
      <c r="X105" s="60" t="s">
        <v>85</v>
      </c>
      <c r="Y105" s="340">
        <v>5</v>
      </c>
      <c r="Z105" s="340" t="s">
        <v>86</v>
      </c>
      <c r="AA105" s="229" t="s">
        <v>87</v>
      </c>
      <c r="AB105" s="340" t="s">
        <v>96</v>
      </c>
      <c r="AC105" s="83"/>
      <c r="AD105" s="83">
        <f>ROUNDDOWN(R105*V105*Y105,-1)</f>
        <v>9007200</v>
      </c>
      <c r="AE105" s="62" t="s">
        <v>25</v>
      </c>
      <c r="AF105" s="2"/>
    </row>
    <row r="106" spans="1:32" s="12" customFormat="1" ht="21" customHeight="1">
      <c r="A106" s="51"/>
      <c r="B106" s="335"/>
      <c r="C106" s="335"/>
      <c r="D106" s="362"/>
      <c r="E106" s="129"/>
      <c r="F106" s="129"/>
      <c r="G106" s="129"/>
      <c r="H106" s="129"/>
      <c r="I106" s="129"/>
      <c r="J106" s="129"/>
      <c r="K106" s="129"/>
      <c r="L106" s="129"/>
      <c r="M106" s="86"/>
      <c r="N106" s="341" t="s">
        <v>110</v>
      </c>
      <c r="O106" s="341"/>
      <c r="P106" s="341"/>
      <c r="Q106" s="341"/>
      <c r="R106" s="340">
        <v>30000</v>
      </c>
      <c r="S106" s="340"/>
      <c r="T106" s="60" t="s">
        <v>25</v>
      </c>
      <c r="U106" s="60" t="s">
        <v>26</v>
      </c>
      <c r="V106" s="340">
        <v>12</v>
      </c>
      <c r="W106" s="340" t="s">
        <v>29</v>
      </c>
      <c r="X106" s="60" t="s">
        <v>26</v>
      </c>
      <c r="Y106" s="340">
        <v>5</v>
      </c>
      <c r="Z106" s="340" t="s">
        <v>143</v>
      </c>
      <c r="AA106" s="229" t="s">
        <v>27</v>
      </c>
      <c r="AB106" s="340" t="s">
        <v>109</v>
      </c>
      <c r="AC106" s="340"/>
      <c r="AD106" s="340">
        <f>R106*V106*Y106</f>
        <v>1800000</v>
      </c>
      <c r="AE106" s="150" t="s">
        <v>84</v>
      </c>
      <c r="AF106" s="2"/>
    </row>
    <row r="107" spans="1:32" s="12" customFormat="1" ht="21" customHeight="1">
      <c r="A107" s="51"/>
      <c r="B107" s="335"/>
      <c r="C107" s="335"/>
      <c r="D107" s="362"/>
      <c r="E107" s="129"/>
      <c r="F107" s="129"/>
      <c r="G107" s="129"/>
      <c r="H107" s="129"/>
      <c r="I107" s="129"/>
      <c r="J107" s="129"/>
      <c r="K107" s="129"/>
      <c r="L107" s="129"/>
      <c r="M107" s="86"/>
      <c r="N107" s="341" t="s">
        <v>211</v>
      </c>
      <c r="O107" s="341"/>
      <c r="P107" s="341"/>
      <c r="Q107" s="341"/>
      <c r="R107" s="340"/>
      <c r="S107" s="340"/>
      <c r="T107" s="60"/>
      <c r="U107" s="60"/>
      <c r="V107" s="340"/>
      <c r="W107" s="340"/>
      <c r="X107" s="60"/>
      <c r="Y107" s="340"/>
      <c r="Z107" s="340"/>
      <c r="AA107" s="229"/>
      <c r="AB107" s="340"/>
      <c r="AC107" s="340"/>
      <c r="AD107" s="340"/>
      <c r="AE107" s="150" t="s">
        <v>212</v>
      </c>
      <c r="AF107" s="2"/>
    </row>
    <row r="108" spans="1:32" s="12" customFormat="1" ht="21" customHeight="1">
      <c r="A108" s="51"/>
      <c r="B108" s="335"/>
      <c r="C108" s="335"/>
      <c r="D108" s="362"/>
      <c r="E108" s="129"/>
      <c r="F108" s="129"/>
      <c r="G108" s="129"/>
      <c r="H108" s="129"/>
      <c r="I108" s="129"/>
      <c r="J108" s="129"/>
      <c r="K108" s="129"/>
      <c r="L108" s="129"/>
      <c r="M108" s="86"/>
      <c r="N108" s="341" t="s">
        <v>382</v>
      </c>
      <c r="O108" s="341"/>
      <c r="P108" s="341"/>
      <c r="Q108" s="341"/>
      <c r="R108" s="340"/>
      <c r="S108" s="340"/>
      <c r="T108" s="60"/>
      <c r="U108" s="60"/>
      <c r="V108" s="340"/>
      <c r="W108" s="340"/>
      <c r="X108" s="60"/>
      <c r="Y108" s="340"/>
      <c r="Z108" s="340"/>
      <c r="AA108" s="229"/>
      <c r="AB108" s="340" t="s">
        <v>383</v>
      </c>
      <c r="AC108" s="340"/>
      <c r="AD108" s="340">
        <v>302155</v>
      </c>
      <c r="AE108" s="150" t="s">
        <v>384</v>
      </c>
      <c r="AF108" s="2"/>
    </row>
    <row r="109" spans="1:32" s="12" customFormat="1" ht="21" customHeight="1">
      <c r="A109" s="51"/>
      <c r="B109" s="335"/>
      <c r="C109" s="64"/>
      <c r="D109" s="190"/>
      <c r="E109" s="131"/>
      <c r="F109" s="131"/>
      <c r="G109" s="131"/>
      <c r="H109" s="131"/>
      <c r="I109" s="131"/>
      <c r="J109" s="131"/>
      <c r="K109" s="131"/>
      <c r="L109" s="131"/>
      <c r="M109" s="104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363"/>
      <c r="AE109" s="146"/>
      <c r="AF109" s="2"/>
    </row>
    <row r="110" spans="1:32" s="12" customFormat="1" ht="21" customHeight="1">
      <c r="A110" s="51"/>
      <c r="B110" s="335"/>
      <c r="C110" s="335" t="s">
        <v>105</v>
      </c>
      <c r="D110" s="189">
        <v>3454</v>
      </c>
      <c r="E110" s="129">
        <f>SUM(F110,G110,H110,K110)</f>
        <v>2069.241</v>
      </c>
      <c r="F110" s="129">
        <f>AD111/1000</f>
        <v>1467.06</v>
      </c>
      <c r="G110" s="129">
        <v>0</v>
      </c>
      <c r="H110" s="129">
        <f>AD112/1000</f>
        <v>600</v>
      </c>
      <c r="I110" s="129">
        <v>0</v>
      </c>
      <c r="J110" s="129">
        <f>AD114/1000</f>
        <v>0</v>
      </c>
      <c r="K110" s="129">
        <f>AD113/1000</f>
        <v>2.181</v>
      </c>
      <c r="L110" s="129">
        <f>E110-D110</f>
        <v>-1384.759</v>
      </c>
      <c r="M110" s="86">
        <f>IF(D110=0,0,L110/D110)</f>
        <v>-0.4009145917776491</v>
      </c>
      <c r="N110" s="118" t="s">
        <v>106</v>
      </c>
      <c r="O110" s="220"/>
      <c r="P110" s="220"/>
      <c r="Q110" s="220"/>
      <c r="R110" s="220"/>
      <c r="S110" s="220"/>
      <c r="T110" s="219"/>
      <c r="U110" s="219"/>
      <c r="V110" s="219"/>
      <c r="W110" s="219"/>
      <c r="X110" s="219"/>
      <c r="Y110" s="338" t="s">
        <v>137</v>
      </c>
      <c r="Z110" s="338"/>
      <c r="AA110" s="338"/>
      <c r="AB110" s="338"/>
      <c r="AC110" s="211"/>
      <c r="AD110" s="211">
        <f>SUM(AD111:AD114)</f>
        <v>2069241</v>
      </c>
      <c r="AE110" s="210" t="s">
        <v>25</v>
      </c>
      <c r="AF110" s="1"/>
    </row>
    <row r="111" spans="1:32" s="12" customFormat="1" ht="21" customHeight="1">
      <c r="A111" s="51"/>
      <c r="B111" s="335"/>
      <c r="C111" s="335" t="s">
        <v>151</v>
      </c>
      <c r="D111" s="189"/>
      <c r="E111" s="129"/>
      <c r="F111" s="129"/>
      <c r="G111" s="129"/>
      <c r="H111" s="129"/>
      <c r="I111" s="129"/>
      <c r="J111" s="129"/>
      <c r="K111" s="129"/>
      <c r="L111" s="129"/>
      <c r="M111" s="86"/>
      <c r="N111" s="341" t="s">
        <v>195</v>
      </c>
      <c r="O111" s="341"/>
      <c r="P111" s="341"/>
      <c r="Q111" s="341"/>
      <c r="R111" s="340"/>
      <c r="S111" s="340"/>
      <c r="T111" s="60"/>
      <c r="U111" s="60"/>
      <c r="V111" s="340"/>
      <c r="W111" s="340"/>
      <c r="X111" s="340"/>
      <c r="Y111" s="340"/>
      <c r="Z111" s="340"/>
      <c r="AA111" s="340"/>
      <c r="AB111" s="340" t="s">
        <v>331</v>
      </c>
      <c r="AC111" s="340"/>
      <c r="AD111" s="340">
        <v>1467060</v>
      </c>
      <c r="AE111" s="62" t="s">
        <v>84</v>
      </c>
      <c r="AF111" s="2"/>
    </row>
    <row r="112" spans="1:32" s="12" customFormat="1" ht="21" customHeight="1">
      <c r="A112" s="51"/>
      <c r="B112" s="383"/>
      <c r="C112" s="383"/>
      <c r="D112" s="189"/>
      <c r="E112" s="129"/>
      <c r="F112" s="129"/>
      <c r="G112" s="129"/>
      <c r="H112" s="129"/>
      <c r="I112" s="129"/>
      <c r="J112" s="129"/>
      <c r="K112" s="129"/>
      <c r="L112" s="129"/>
      <c r="M112" s="86"/>
      <c r="N112" s="385" t="s">
        <v>195</v>
      </c>
      <c r="O112" s="385"/>
      <c r="P112" s="385"/>
      <c r="Q112" s="385"/>
      <c r="R112" s="384"/>
      <c r="S112" s="384"/>
      <c r="T112" s="60"/>
      <c r="U112" s="60"/>
      <c r="V112" s="384"/>
      <c r="W112" s="384"/>
      <c r="X112" s="384"/>
      <c r="Y112" s="384"/>
      <c r="Z112" s="384"/>
      <c r="AA112" s="384"/>
      <c r="AB112" s="384" t="s">
        <v>443</v>
      </c>
      <c r="AC112" s="384"/>
      <c r="AD112" s="384">
        <v>600000</v>
      </c>
      <c r="AE112" s="62" t="s">
        <v>444</v>
      </c>
      <c r="AF112" s="2"/>
    </row>
    <row r="113" spans="1:32" s="12" customFormat="1" ht="21" customHeight="1">
      <c r="A113" s="51"/>
      <c r="B113" s="335"/>
      <c r="C113" s="335"/>
      <c r="D113" s="189"/>
      <c r="E113" s="129"/>
      <c r="F113" s="129"/>
      <c r="G113" s="129"/>
      <c r="H113" s="129"/>
      <c r="I113" s="129"/>
      <c r="J113" s="129"/>
      <c r="K113" s="129"/>
      <c r="L113" s="129"/>
      <c r="M113" s="86"/>
      <c r="N113" s="341" t="s">
        <v>233</v>
      </c>
      <c r="O113" s="341"/>
      <c r="P113" s="341"/>
      <c r="Q113" s="341"/>
      <c r="R113" s="340"/>
      <c r="S113" s="340"/>
      <c r="T113" s="60"/>
      <c r="U113" s="60"/>
      <c r="V113" s="340"/>
      <c r="W113" s="340"/>
      <c r="X113" s="340"/>
      <c r="Y113" s="340"/>
      <c r="Z113" s="340"/>
      <c r="AA113" s="340"/>
      <c r="AB113" s="340" t="s">
        <v>381</v>
      </c>
      <c r="AC113" s="340"/>
      <c r="AD113" s="340">
        <v>2181</v>
      </c>
      <c r="AE113" s="62" t="s">
        <v>58</v>
      </c>
      <c r="AF113" s="2"/>
    </row>
    <row r="114" spans="1:32" s="12" customFormat="1" ht="21" customHeight="1">
      <c r="A114" s="51"/>
      <c r="B114" s="335"/>
      <c r="C114" s="335"/>
      <c r="D114" s="189"/>
      <c r="E114" s="129"/>
      <c r="F114" s="129"/>
      <c r="G114" s="129"/>
      <c r="H114" s="129"/>
      <c r="I114" s="129"/>
      <c r="J114" s="129"/>
      <c r="K114" s="129"/>
      <c r="L114" s="129"/>
      <c r="M114" s="86"/>
      <c r="N114" s="337"/>
      <c r="O114" s="337"/>
      <c r="P114" s="337"/>
      <c r="Q114" s="337"/>
      <c r="R114" s="336"/>
      <c r="S114" s="336"/>
      <c r="T114" s="105"/>
      <c r="U114" s="60"/>
      <c r="V114" s="88"/>
      <c r="W114" s="336"/>
      <c r="X114" s="336"/>
      <c r="Y114" s="336"/>
      <c r="Z114" s="336"/>
      <c r="AA114" s="336"/>
      <c r="AB114" s="336"/>
      <c r="AC114" s="336"/>
      <c r="AD114" s="336"/>
      <c r="AE114" s="89"/>
      <c r="AF114" s="1"/>
    </row>
    <row r="115" spans="1:32" s="12" customFormat="1" ht="21" customHeight="1">
      <c r="A115" s="51"/>
      <c r="B115" s="335"/>
      <c r="C115" s="334" t="s">
        <v>100</v>
      </c>
      <c r="D115" s="191">
        <v>400</v>
      </c>
      <c r="E115" s="133">
        <f>AD115/1000</f>
        <v>400</v>
      </c>
      <c r="F115" s="133">
        <f>AD116/1000</f>
        <v>400</v>
      </c>
      <c r="G115" s="133">
        <v>0</v>
      </c>
      <c r="H115" s="133">
        <f>AD117/1000</f>
        <v>0</v>
      </c>
      <c r="I115" s="133">
        <v>0</v>
      </c>
      <c r="J115" s="133">
        <v>0</v>
      </c>
      <c r="K115" s="133">
        <v>0</v>
      </c>
      <c r="L115" s="133">
        <f>E115-D115</f>
        <v>0</v>
      </c>
      <c r="M115" s="140">
        <f>IF(D115=0,0,L115/D115)</f>
        <v>0</v>
      </c>
      <c r="N115" s="118" t="s">
        <v>132</v>
      </c>
      <c r="O115" s="339"/>
      <c r="P115" s="220"/>
      <c r="Q115" s="220"/>
      <c r="R115" s="220"/>
      <c r="S115" s="220"/>
      <c r="T115" s="219"/>
      <c r="U115" s="219"/>
      <c r="V115" s="219"/>
      <c r="W115" s="219"/>
      <c r="X115" s="219"/>
      <c r="Y115" s="338" t="s">
        <v>137</v>
      </c>
      <c r="Z115" s="338"/>
      <c r="AA115" s="338"/>
      <c r="AB115" s="338"/>
      <c r="AC115" s="211"/>
      <c r="AD115" s="211">
        <f>SUM(AD116:AD117)</f>
        <v>400000</v>
      </c>
      <c r="AE115" s="210" t="s">
        <v>25</v>
      </c>
      <c r="AF115" s="1"/>
    </row>
    <row r="116" spans="1:32" s="12" customFormat="1" ht="21" customHeight="1">
      <c r="A116" s="51"/>
      <c r="B116" s="335"/>
      <c r="C116" s="335"/>
      <c r="D116" s="362"/>
      <c r="E116" s="129"/>
      <c r="F116" s="129"/>
      <c r="G116" s="129"/>
      <c r="H116" s="129"/>
      <c r="I116" s="129"/>
      <c r="J116" s="129"/>
      <c r="K116" s="129"/>
      <c r="L116" s="129"/>
      <c r="M116" s="86"/>
      <c r="N116" s="341" t="s">
        <v>196</v>
      </c>
      <c r="O116" s="341"/>
      <c r="P116" s="340"/>
      <c r="Q116" s="340"/>
      <c r="R116" s="340">
        <v>100000</v>
      </c>
      <c r="S116" s="340"/>
      <c r="T116" s="340" t="s">
        <v>84</v>
      </c>
      <c r="U116" s="341" t="s">
        <v>85</v>
      </c>
      <c r="V116" s="340">
        <v>4</v>
      </c>
      <c r="W116" s="340" t="s">
        <v>197</v>
      </c>
      <c r="X116" s="341" t="s">
        <v>198</v>
      </c>
      <c r="Y116" s="340"/>
      <c r="Z116" s="340"/>
      <c r="AA116" s="340"/>
      <c r="AB116" s="377" t="s">
        <v>96</v>
      </c>
      <c r="AC116" s="83"/>
      <c r="AD116" s="83">
        <f>R116*V116</f>
        <v>400000</v>
      </c>
      <c r="AE116" s="62" t="s">
        <v>25</v>
      </c>
      <c r="AF116" s="1"/>
    </row>
    <row r="117" spans="1:32" s="12" customFormat="1" ht="21" customHeight="1">
      <c r="A117" s="51"/>
      <c r="B117" s="335"/>
      <c r="C117" s="335"/>
      <c r="D117" s="189"/>
      <c r="E117" s="129"/>
      <c r="F117" s="129"/>
      <c r="G117" s="129"/>
      <c r="H117" s="129"/>
      <c r="I117" s="129"/>
      <c r="J117" s="129"/>
      <c r="K117" s="129"/>
      <c r="L117" s="129"/>
      <c r="M117" s="86"/>
      <c r="N117" s="341"/>
      <c r="O117" s="341"/>
      <c r="P117" s="340"/>
      <c r="Q117" s="340"/>
      <c r="R117" s="340"/>
      <c r="S117" s="340"/>
      <c r="T117" s="340"/>
      <c r="U117" s="341"/>
      <c r="V117" s="340"/>
      <c r="W117" s="340"/>
      <c r="X117" s="341"/>
      <c r="Y117" s="340"/>
      <c r="Z117" s="340"/>
      <c r="AA117" s="340"/>
      <c r="AB117" s="340"/>
      <c r="AC117" s="83"/>
      <c r="AD117" s="83"/>
      <c r="AE117" s="62"/>
      <c r="AF117" s="1"/>
    </row>
    <row r="118" spans="1:32" s="12" customFormat="1" ht="21" customHeight="1">
      <c r="A118" s="51"/>
      <c r="B118" s="335"/>
      <c r="C118" s="334" t="s">
        <v>101</v>
      </c>
      <c r="D118" s="191">
        <v>460</v>
      </c>
      <c r="E118" s="133">
        <f>F118+G118+H118+K118</f>
        <v>388.47699999999998</v>
      </c>
      <c r="F118" s="133">
        <f>AD119/1000</f>
        <v>200</v>
      </c>
      <c r="G118" s="133">
        <v>0</v>
      </c>
      <c r="H118" s="133">
        <f>AD120/1000</f>
        <v>188.477</v>
      </c>
      <c r="I118" s="133">
        <v>0</v>
      </c>
      <c r="J118" s="133">
        <v>0</v>
      </c>
      <c r="K118" s="133">
        <v>0</v>
      </c>
      <c r="L118" s="133">
        <f>E118-D118</f>
        <v>-71.523000000000025</v>
      </c>
      <c r="M118" s="140">
        <f>IF(D118=0,0,L118/D118)</f>
        <v>-0.15548478260869569</v>
      </c>
      <c r="N118" s="118" t="s">
        <v>133</v>
      </c>
      <c r="O118" s="339"/>
      <c r="P118" s="220"/>
      <c r="Q118" s="220"/>
      <c r="R118" s="220"/>
      <c r="S118" s="220"/>
      <c r="T118" s="219"/>
      <c r="U118" s="219"/>
      <c r="V118" s="219"/>
      <c r="W118" s="219"/>
      <c r="X118" s="219"/>
      <c r="Y118" s="338" t="s">
        <v>137</v>
      </c>
      <c r="Z118" s="338"/>
      <c r="AA118" s="338"/>
      <c r="AB118" s="338"/>
      <c r="AC118" s="211"/>
      <c r="AD118" s="211">
        <f>SUM(AD119:AD120)</f>
        <v>388477</v>
      </c>
      <c r="AE118" s="210" t="s">
        <v>25</v>
      </c>
      <c r="AF118" s="1"/>
    </row>
    <row r="119" spans="1:32" s="15" customFormat="1" ht="21" customHeight="1">
      <c r="A119" s="51"/>
      <c r="B119" s="335"/>
      <c r="C119" s="335"/>
      <c r="D119" s="189"/>
      <c r="E119" s="129"/>
      <c r="F119" s="129"/>
      <c r="G119" s="129"/>
      <c r="H119" s="129"/>
      <c r="I119" s="129"/>
      <c r="J119" s="129"/>
      <c r="K119" s="129"/>
      <c r="L119" s="129"/>
      <c r="M119" s="86"/>
      <c r="N119" s="341" t="s">
        <v>199</v>
      </c>
      <c r="O119" s="341"/>
      <c r="P119" s="340"/>
      <c r="Q119" s="340"/>
      <c r="R119" s="340">
        <v>50000</v>
      </c>
      <c r="S119" s="340"/>
      <c r="T119" s="340" t="s">
        <v>84</v>
      </c>
      <c r="U119" s="341" t="s">
        <v>85</v>
      </c>
      <c r="V119" s="340">
        <v>1</v>
      </c>
      <c r="W119" s="340" t="s">
        <v>99</v>
      </c>
      <c r="X119" s="341" t="s">
        <v>85</v>
      </c>
      <c r="Y119" s="340">
        <v>4</v>
      </c>
      <c r="Z119" s="340" t="s">
        <v>86</v>
      </c>
      <c r="AA119" s="340" t="s">
        <v>87</v>
      </c>
      <c r="AB119" s="340" t="s">
        <v>331</v>
      </c>
      <c r="AC119" s="83"/>
      <c r="AD119" s="83">
        <f>R119*V119*Y119</f>
        <v>200000</v>
      </c>
      <c r="AE119" s="62" t="s">
        <v>25</v>
      </c>
      <c r="AF119" s="5"/>
    </row>
    <row r="120" spans="1:32" s="15" customFormat="1" ht="21" customHeight="1">
      <c r="A120" s="51"/>
      <c r="B120" s="335"/>
      <c r="C120" s="335"/>
      <c r="D120" s="189"/>
      <c r="E120" s="129"/>
      <c r="F120" s="129"/>
      <c r="G120" s="129"/>
      <c r="H120" s="129"/>
      <c r="I120" s="129"/>
      <c r="J120" s="129"/>
      <c r="K120" s="129"/>
      <c r="L120" s="129"/>
      <c r="M120" s="86"/>
      <c r="N120" s="341" t="s">
        <v>200</v>
      </c>
      <c r="O120" s="341"/>
      <c r="P120" s="341"/>
      <c r="Q120" s="341"/>
      <c r="R120" s="340"/>
      <c r="S120" s="340"/>
      <c r="T120" s="60"/>
      <c r="U120" s="60"/>
      <c r="V120" s="340"/>
      <c r="W120" s="340"/>
      <c r="X120" s="229"/>
      <c r="Y120" s="158"/>
      <c r="Z120" s="91"/>
      <c r="AA120" s="216"/>
      <c r="AB120" s="340" t="s">
        <v>330</v>
      </c>
      <c r="AC120" s="340"/>
      <c r="AD120" s="340">
        <v>188477</v>
      </c>
      <c r="AE120" s="62" t="s">
        <v>25</v>
      </c>
      <c r="AF120" s="5"/>
    </row>
    <row r="121" spans="1:32" s="12" customFormat="1" ht="21" customHeight="1">
      <c r="A121" s="51"/>
      <c r="B121" s="335"/>
      <c r="C121" s="64"/>
      <c r="D121" s="190"/>
      <c r="E121" s="196"/>
      <c r="F121" s="196"/>
      <c r="G121" s="196"/>
      <c r="H121" s="196"/>
      <c r="I121" s="196"/>
      <c r="J121" s="196"/>
      <c r="K121" s="196"/>
      <c r="L121" s="160"/>
      <c r="M121" s="104"/>
      <c r="N121" s="159"/>
      <c r="O121" s="159"/>
      <c r="P121" s="159"/>
      <c r="Q121" s="159"/>
      <c r="R121" s="159"/>
      <c r="S121" s="159"/>
      <c r="T121" s="161"/>
      <c r="U121" s="340"/>
      <c r="V121" s="229"/>
      <c r="W121" s="340"/>
      <c r="X121" s="340"/>
      <c r="Y121" s="340"/>
      <c r="Z121" s="340"/>
      <c r="AA121" s="340"/>
      <c r="AB121" s="340"/>
      <c r="AC121" s="340"/>
      <c r="AD121" s="340"/>
      <c r="AE121" s="62"/>
      <c r="AF121" s="1"/>
    </row>
    <row r="122" spans="1:32" s="12" customFormat="1" ht="21" customHeight="1">
      <c r="A122" s="51"/>
      <c r="B122" s="335"/>
      <c r="C122" s="335" t="s">
        <v>102</v>
      </c>
      <c r="D122" s="157">
        <v>167</v>
      </c>
      <c r="E122" s="129">
        <f>SUM(F122,G122,H122,K122)</f>
        <v>105</v>
      </c>
      <c r="F122" s="129">
        <f>AD123/1000</f>
        <v>66</v>
      </c>
      <c r="G122" s="129">
        <v>0</v>
      </c>
      <c r="H122" s="129">
        <f>AD124/1000</f>
        <v>39</v>
      </c>
      <c r="I122" s="129">
        <v>0</v>
      </c>
      <c r="J122" s="129">
        <v>0</v>
      </c>
      <c r="K122" s="129">
        <v>0</v>
      </c>
      <c r="L122" s="129">
        <f>E122-D122</f>
        <v>-62</v>
      </c>
      <c r="M122" s="86">
        <f>IF(D122=0,0,L122/D122)</f>
        <v>-0.3712574850299401</v>
      </c>
      <c r="N122" s="118" t="s">
        <v>107</v>
      </c>
      <c r="O122" s="220"/>
      <c r="P122" s="220"/>
      <c r="Q122" s="220"/>
      <c r="R122" s="220"/>
      <c r="S122" s="220"/>
      <c r="T122" s="219"/>
      <c r="U122" s="219"/>
      <c r="V122" s="219"/>
      <c r="W122" s="219"/>
      <c r="X122" s="219"/>
      <c r="Y122" s="338" t="s">
        <v>137</v>
      </c>
      <c r="Z122" s="338"/>
      <c r="AA122" s="338"/>
      <c r="AB122" s="338"/>
      <c r="AC122" s="211"/>
      <c r="AD122" s="211">
        <f>SUM(AD123:AD124)</f>
        <v>105000</v>
      </c>
      <c r="AE122" s="210" t="s">
        <v>25</v>
      </c>
      <c r="AF122" s="1"/>
    </row>
    <row r="123" spans="1:32" s="12" customFormat="1" ht="21" customHeight="1">
      <c r="A123" s="51"/>
      <c r="B123" s="335"/>
      <c r="C123" s="335"/>
      <c r="D123" s="157"/>
      <c r="E123" s="129"/>
      <c r="F123" s="129"/>
      <c r="G123" s="129"/>
      <c r="H123" s="129"/>
      <c r="I123" s="129"/>
      <c r="J123" s="129"/>
      <c r="K123" s="129"/>
      <c r="L123" s="129"/>
      <c r="M123" s="86"/>
      <c r="N123" s="341" t="s">
        <v>201</v>
      </c>
      <c r="O123" s="341"/>
      <c r="P123" s="341"/>
      <c r="Q123" s="341"/>
      <c r="R123" s="340">
        <v>11000</v>
      </c>
      <c r="S123" s="340"/>
      <c r="T123" s="60" t="s">
        <v>58</v>
      </c>
      <c r="U123" s="60" t="s">
        <v>26</v>
      </c>
      <c r="V123" s="340">
        <v>6</v>
      </c>
      <c r="W123" s="340" t="s">
        <v>0</v>
      </c>
      <c r="X123" s="229"/>
      <c r="Y123" s="158"/>
      <c r="Z123" s="91"/>
      <c r="AA123" s="216" t="s">
        <v>54</v>
      </c>
      <c r="AB123" s="340" t="s">
        <v>331</v>
      </c>
      <c r="AC123" s="340"/>
      <c r="AD123" s="340">
        <f>ROUNDUP(R123*V123,1)</f>
        <v>66000</v>
      </c>
      <c r="AE123" s="62" t="s">
        <v>25</v>
      </c>
      <c r="AF123" s="1"/>
    </row>
    <row r="124" spans="1:32" s="12" customFormat="1" ht="21" customHeight="1">
      <c r="A124" s="51"/>
      <c r="B124" s="335"/>
      <c r="C124" s="335"/>
      <c r="D124" s="189"/>
      <c r="E124" s="129"/>
      <c r="F124" s="129"/>
      <c r="G124" s="129"/>
      <c r="H124" s="129"/>
      <c r="I124" s="129"/>
      <c r="J124" s="129"/>
      <c r="K124" s="129"/>
      <c r="L124" s="129"/>
      <c r="M124" s="86"/>
      <c r="N124" s="341" t="s">
        <v>201</v>
      </c>
      <c r="O124" s="341"/>
      <c r="P124" s="341"/>
      <c r="Q124" s="341"/>
      <c r="R124" s="340">
        <v>6500</v>
      </c>
      <c r="S124" s="340"/>
      <c r="T124" s="60" t="s">
        <v>58</v>
      </c>
      <c r="U124" s="60" t="s">
        <v>26</v>
      </c>
      <c r="V124" s="340">
        <v>6</v>
      </c>
      <c r="W124" s="340" t="s">
        <v>0</v>
      </c>
      <c r="X124" s="229"/>
      <c r="Y124" s="158"/>
      <c r="Z124" s="91"/>
      <c r="AA124" s="216" t="s">
        <v>54</v>
      </c>
      <c r="AB124" s="340" t="s">
        <v>109</v>
      </c>
      <c r="AC124" s="340"/>
      <c r="AD124" s="340">
        <f>ROUNDUP(R124*V124,1)</f>
        <v>39000</v>
      </c>
      <c r="AE124" s="62" t="s">
        <v>25</v>
      </c>
      <c r="AF124" s="1"/>
    </row>
    <row r="125" spans="1:32" s="12" customFormat="1" ht="21" customHeight="1">
      <c r="A125" s="51"/>
      <c r="B125" s="335"/>
      <c r="C125" s="335"/>
      <c r="D125" s="189"/>
      <c r="E125" s="129"/>
      <c r="F125" s="129"/>
      <c r="G125" s="129"/>
      <c r="H125" s="129"/>
      <c r="I125" s="129"/>
      <c r="J125" s="129"/>
      <c r="K125" s="129"/>
      <c r="L125" s="129"/>
      <c r="M125" s="86"/>
      <c r="N125" s="341"/>
      <c r="O125" s="341"/>
      <c r="P125" s="341"/>
      <c r="Q125" s="341"/>
      <c r="R125" s="340"/>
      <c r="S125" s="340"/>
      <c r="T125" s="60"/>
      <c r="U125" s="341"/>
      <c r="V125" s="340"/>
      <c r="W125" s="341"/>
      <c r="X125" s="340"/>
      <c r="Y125" s="340"/>
      <c r="Z125" s="340"/>
      <c r="AA125" s="340"/>
      <c r="AB125" s="340"/>
      <c r="AC125" s="340"/>
      <c r="AD125" s="340"/>
      <c r="AE125" s="62"/>
      <c r="AF125" s="1"/>
    </row>
    <row r="126" spans="1:32" s="12" customFormat="1" ht="21" customHeight="1">
      <c r="A126" s="51"/>
      <c r="B126" s="334" t="s">
        <v>108</v>
      </c>
      <c r="C126" s="206" t="s">
        <v>146</v>
      </c>
      <c r="D126" s="208">
        <f>D127</f>
        <v>6885</v>
      </c>
      <c r="E126" s="208">
        <f>E127</f>
        <v>6368</v>
      </c>
      <c r="F126" s="208">
        <f t="shared" ref="F126:K126" si="13">F127</f>
        <v>2040</v>
      </c>
      <c r="G126" s="208">
        <f t="shared" si="13"/>
        <v>0</v>
      </c>
      <c r="H126" s="208">
        <f>H127</f>
        <v>4013</v>
      </c>
      <c r="I126" s="208">
        <f>I127</f>
        <v>311</v>
      </c>
      <c r="J126" s="208">
        <f>J127</f>
        <v>3</v>
      </c>
      <c r="K126" s="208">
        <f t="shared" si="13"/>
        <v>0</v>
      </c>
      <c r="L126" s="208">
        <f>E126-D126</f>
        <v>-517</v>
      </c>
      <c r="M126" s="209">
        <f>IF(D126=0,0,L126/D126)</f>
        <v>-7.5090777051561364E-2</v>
      </c>
      <c r="N126" s="339"/>
      <c r="O126" s="339"/>
      <c r="P126" s="339"/>
      <c r="Q126" s="339"/>
      <c r="R126" s="339"/>
      <c r="S126" s="339"/>
      <c r="T126" s="338"/>
      <c r="U126" s="338"/>
      <c r="V126" s="338"/>
      <c r="W126" s="338"/>
      <c r="X126" s="338"/>
      <c r="Y126" s="338" t="s">
        <v>28</v>
      </c>
      <c r="Z126" s="338"/>
      <c r="AA126" s="338"/>
      <c r="AB126" s="338"/>
      <c r="AC126" s="211"/>
      <c r="AD126" s="211">
        <f>AD127</f>
        <v>6368000</v>
      </c>
      <c r="AE126" s="210" t="s">
        <v>25</v>
      </c>
      <c r="AF126" s="1"/>
    </row>
    <row r="127" spans="1:32" s="12" customFormat="1" ht="26.25" customHeight="1">
      <c r="A127" s="51"/>
      <c r="B127" s="335" t="s">
        <v>129</v>
      </c>
      <c r="C127" s="335" t="s">
        <v>128</v>
      </c>
      <c r="D127" s="189">
        <v>6885</v>
      </c>
      <c r="E127" s="133">
        <f>SUM(F127,G127,H127,K127,I127,J127)+1</f>
        <v>6368</v>
      </c>
      <c r="F127" s="133">
        <f>(AD139+AD135+AD132+AD140+AD146+AD138)/1000</f>
        <v>2040</v>
      </c>
      <c r="G127" s="133">
        <v>0</v>
      </c>
      <c r="H127" s="133">
        <f>(AD130+AD134+AD137+AD154+AD156+AD143+AD148+AD155+AD149+AD147)/1000-1</f>
        <v>4013</v>
      </c>
      <c r="I127" s="133">
        <f>(AD131+AD133+AD136+AD152+AD153)/1000</f>
        <v>311</v>
      </c>
      <c r="J127" s="133">
        <f>AD157/1000</f>
        <v>3</v>
      </c>
      <c r="K127" s="133">
        <v>0</v>
      </c>
      <c r="L127" s="133">
        <f>E127-D127</f>
        <v>-517</v>
      </c>
      <c r="M127" s="140">
        <f>IF(D127=0,0,L127/D127)</f>
        <v>-7.5090777051561364E-2</v>
      </c>
      <c r="N127" s="119" t="s">
        <v>130</v>
      </c>
      <c r="O127" s="136"/>
      <c r="P127" s="218"/>
      <c r="Q127" s="34"/>
      <c r="R127" s="34"/>
      <c r="S127" s="34"/>
      <c r="T127" s="34"/>
      <c r="U127" s="34"/>
      <c r="V127" s="34"/>
      <c r="W127" s="219"/>
      <c r="X127" s="219"/>
      <c r="Y127" s="338" t="s">
        <v>137</v>
      </c>
      <c r="Z127" s="120"/>
      <c r="AA127" s="120"/>
      <c r="AB127" s="120"/>
      <c r="AC127" s="137"/>
      <c r="AD127" s="137">
        <f>SUM(AD129,AD142,AD145,AD151)</f>
        <v>6368000</v>
      </c>
      <c r="AE127" s="138" t="s">
        <v>25</v>
      </c>
      <c r="AF127" s="1"/>
    </row>
    <row r="128" spans="1:32" s="16" customFormat="1" ht="24" customHeight="1">
      <c r="A128" s="51"/>
      <c r="B128" s="335"/>
      <c r="C128" s="335" t="s">
        <v>129</v>
      </c>
      <c r="D128" s="192"/>
      <c r="E128" s="129"/>
      <c r="F128" s="129"/>
      <c r="G128" s="129"/>
      <c r="H128" s="129"/>
      <c r="I128" s="129"/>
      <c r="J128" s="129"/>
      <c r="K128" s="129"/>
      <c r="L128" s="129"/>
      <c r="M128" s="86"/>
      <c r="N128" s="341"/>
      <c r="O128" s="341"/>
      <c r="P128" s="341"/>
      <c r="Q128" s="341"/>
      <c r="R128" s="341"/>
      <c r="S128" s="341"/>
      <c r="T128" s="340"/>
      <c r="U128" s="340"/>
      <c r="V128" s="340"/>
      <c r="W128" s="340"/>
      <c r="X128" s="340"/>
      <c r="Y128" s="162"/>
      <c r="Z128" s="162"/>
      <c r="AA128" s="162"/>
      <c r="AB128" s="162"/>
      <c r="AC128" s="163"/>
      <c r="AD128" s="163"/>
      <c r="AE128" s="62"/>
      <c r="AF128" s="17"/>
    </row>
    <row r="129" spans="1:33" s="16" customFormat="1" ht="24" customHeight="1">
      <c r="A129" s="51"/>
      <c r="B129" s="335"/>
      <c r="C129" s="335"/>
      <c r="D129" s="192"/>
      <c r="E129" s="129"/>
      <c r="F129" s="129"/>
      <c r="G129" s="129"/>
      <c r="H129" s="129"/>
      <c r="I129" s="129"/>
      <c r="J129" s="129"/>
      <c r="K129" s="129"/>
      <c r="L129" s="129"/>
      <c r="M129" s="86"/>
      <c r="N129" s="87" t="s">
        <v>234</v>
      </c>
      <c r="O129" s="337"/>
      <c r="P129" s="341"/>
      <c r="Q129" s="341"/>
      <c r="R129" s="341"/>
      <c r="S129" s="341"/>
      <c r="T129" s="340"/>
      <c r="U129" s="340"/>
      <c r="V129" s="340"/>
      <c r="W129" s="336" t="s">
        <v>131</v>
      </c>
      <c r="X129" s="336"/>
      <c r="Y129" s="336"/>
      <c r="Z129" s="336"/>
      <c r="AA129" s="336"/>
      <c r="AB129" s="336"/>
      <c r="AC129" s="88"/>
      <c r="AD129" s="88">
        <f>SUM(AD130:AD140)</f>
        <v>2130000</v>
      </c>
      <c r="AE129" s="89" t="s">
        <v>25</v>
      </c>
      <c r="AF129" s="17"/>
    </row>
    <row r="130" spans="1:33" s="16" customFormat="1" ht="24" customHeight="1">
      <c r="A130" s="51"/>
      <c r="B130" s="335"/>
      <c r="C130" s="335"/>
      <c r="D130" s="192"/>
      <c r="E130" s="129"/>
      <c r="F130" s="129"/>
      <c r="G130" s="129"/>
      <c r="H130" s="129"/>
      <c r="I130" s="129"/>
      <c r="J130" s="129"/>
      <c r="K130" s="129"/>
      <c r="L130" s="129"/>
      <c r="M130" s="86"/>
      <c r="N130" s="378" t="s">
        <v>403</v>
      </c>
      <c r="O130" s="378"/>
      <c r="P130" s="378"/>
      <c r="Q130" s="378"/>
      <c r="R130" s="377">
        <v>7000</v>
      </c>
      <c r="S130" s="377"/>
      <c r="T130" s="377" t="s">
        <v>404</v>
      </c>
      <c r="U130" s="378" t="s">
        <v>405</v>
      </c>
      <c r="V130" s="377">
        <v>4</v>
      </c>
      <c r="W130" s="377" t="s">
        <v>406</v>
      </c>
      <c r="X130" s="378" t="s">
        <v>405</v>
      </c>
      <c r="Y130" s="377">
        <v>5</v>
      </c>
      <c r="Z130" s="377" t="s">
        <v>407</v>
      </c>
      <c r="AA130" s="377" t="s">
        <v>408</v>
      </c>
      <c r="AB130" s="377" t="s">
        <v>409</v>
      </c>
      <c r="AC130" s="83"/>
      <c r="AD130" s="83">
        <f t="shared" ref="AD130:AD140" si="14">R130*V130*Y130</f>
        <v>140000</v>
      </c>
      <c r="AE130" s="62" t="s">
        <v>25</v>
      </c>
      <c r="AF130" s="17"/>
    </row>
    <row r="131" spans="1:33" s="16" customFormat="1" ht="24" customHeight="1">
      <c r="A131" s="51"/>
      <c r="B131" s="335"/>
      <c r="C131" s="335"/>
      <c r="D131" s="192"/>
      <c r="E131" s="129"/>
      <c r="F131" s="129"/>
      <c r="G131" s="129"/>
      <c r="H131" s="129"/>
      <c r="I131" s="129"/>
      <c r="J131" s="129"/>
      <c r="K131" s="129"/>
      <c r="L131" s="129"/>
      <c r="M131" s="86"/>
      <c r="N131" s="378" t="s">
        <v>316</v>
      </c>
      <c r="O131" s="378"/>
      <c r="P131" s="378"/>
      <c r="Q131" s="378"/>
      <c r="R131" s="377">
        <v>7000</v>
      </c>
      <c r="S131" s="377"/>
      <c r="T131" s="377" t="s">
        <v>404</v>
      </c>
      <c r="U131" s="378" t="s">
        <v>405</v>
      </c>
      <c r="V131" s="377">
        <v>2</v>
      </c>
      <c r="W131" s="377" t="s">
        <v>406</v>
      </c>
      <c r="X131" s="378" t="s">
        <v>405</v>
      </c>
      <c r="Y131" s="377">
        <v>5</v>
      </c>
      <c r="Z131" s="377" t="s">
        <v>407</v>
      </c>
      <c r="AA131" s="377" t="s">
        <v>408</v>
      </c>
      <c r="AB131" s="377" t="s">
        <v>410</v>
      </c>
      <c r="AC131" s="83"/>
      <c r="AD131" s="83">
        <f t="shared" si="14"/>
        <v>70000</v>
      </c>
      <c r="AE131" s="62" t="s">
        <v>25</v>
      </c>
      <c r="AF131" s="17"/>
    </row>
    <row r="132" spans="1:33" s="16" customFormat="1" ht="24" customHeight="1">
      <c r="A132" s="51"/>
      <c r="B132" s="335"/>
      <c r="C132" s="335"/>
      <c r="D132" s="192"/>
      <c r="E132" s="129"/>
      <c r="F132" s="129"/>
      <c r="G132" s="129"/>
      <c r="H132" s="129"/>
      <c r="I132" s="129"/>
      <c r="J132" s="129"/>
      <c r="K132" s="129"/>
      <c r="L132" s="129"/>
      <c r="M132" s="86"/>
      <c r="N132" s="378" t="s">
        <v>411</v>
      </c>
      <c r="O132" s="378"/>
      <c r="P132" s="378"/>
      <c r="Q132" s="378"/>
      <c r="R132" s="377">
        <v>15000</v>
      </c>
      <c r="S132" s="377"/>
      <c r="T132" s="377" t="s">
        <v>404</v>
      </c>
      <c r="U132" s="378" t="s">
        <v>405</v>
      </c>
      <c r="V132" s="377">
        <v>3</v>
      </c>
      <c r="W132" s="377" t="s">
        <v>406</v>
      </c>
      <c r="X132" s="378" t="s">
        <v>405</v>
      </c>
      <c r="Y132" s="377">
        <v>5</v>
      </c>
      <c r="Z132" s="377" t="s">
        <v>407</v>
      </c>
      <c r="AA132" s="377" t="s">
        <v>408</v>
      </c>
      <c r="AB132" s="377" t="s">
        <v>412</v>
      </c>
      <c r="AC132" s="83"/>
      <c r="AD132" s="83">
        <f t="shared" si="14"/>
        <v>225000</v>
      </c>
      <c r="AE132" s="62" t="s">
        <v>25</v>
      </c>
      <c r="AF132" s="17"/>
    </row>
    <row r="133" spans="1:33" s="16" customFormat="1" ht="24" customHeight="1">
      <c r="A133" s="51"/>
      <c r="B133" s="335"/>
      <c r="C133" s="335"/>
      <c r="D133" s="192"/>
      <c r="E133" s="129"/>
      <c r="F133" s="129"/>
      <c r="G133" s="129"/>
      <c r="H133" s="129"/>
      <c r="I133" s="129"/>
      <c r="J133" s="129"/>
      <c r="K133" s="129"/>
      <c r="L133" s="129"/>
      <c r="M133" s="86"/>
      <c r="N133" s="378" t="s">
        <v>413</v>
      </c>
      <c r="O133" s="378"/>
      <c r="P133" s="378"/>
      <c r="Q133" s="378"/>
      <c r="R133" s="377">
        <v>10000</v>
      </c>
      <c r="S133" s="377"/>
      <c r="T133" s="377" t="s">
        <v>404</v>
      </c>
      <c r="U133" s="378" t="s">
        <v>405</v>
      </c>
      <c r="V133" s="377">
        <v>2</v>
      </c>
      <c r="W133" s="377" t="s">
        <v>406</v>
      </c>
      <c r="X133" s="378" t="s">
        <v>405</v>
      </c>
      <c r="Y133" s="377">
        <v>4</v>
      </c>
      <c r="Z133" s="377" t="s">
        <v>407</v>
      </c>
      <c r="AA133" s="377" t="s">
        <v>408</v>
      </c>
      <c r="AB133" s="377" t="s">
        <v>410</v>
      </c>
      <c r="AC133" s="83"/>
      <c r="AD133" s="83">
        <f t="shared" si="14"/>
        <v>80000</v>
      </c>
      <c r="AE133" s="62" t="s">
        <v>25</v>
      </c>
      <c r="AF133" s="17"/>
    </row>
    <row r="134" spans="1:33" s="16" customFormat="1" ht="24" customHeight="1">
      <c r="A134" s="51"/>
      <c r="B134" s="335"/>
      <c r="C134" s="335"/>
      <c r="D134" s="192"/>
      <c r="E134" s="129"/>
      <c r="F134" s="129"/>
      <c r="G134" s="129"/>
      <c r="H134" s="129"/>
      <c r="I134" s="129"/>
      <c r="J134" s="129"/>
      <c r="K134" s="129"/>
      <c r="L134" s="129"/>
      <c r="M134" s="86"/>
      <c r="N134" s="378" t="s">
        <v>414</v>
      </c>
      <c r="O134" s="378"/>
      <c r="P134" s="378"/>
      <c r="Q134" s="378"/>
      <c r="R134" s="377">
        <v>10000</v>
      </c>
      <c r="S134" s="377"/>
      <c r="T134" s="377" t="s">
        <v>404</v>
      </c>
      <c r="U134" s="378" t="s">
        <v>405</v>
      </c>
      <c r="V134" s="377">
        <v>4</v>
      </c>
      <c r="W134" s="377" t="s">
        <v>406</v>
      </c>
      <c r="X134" s="378" t="s">
        <v>405</v>
      </c>
      <c r="Y134" s="377">
        <v>4</v>
      </c>
      <c r="Z134" s="377" t="s">
        <v>407</v>
      </c>
      <c r="AA134" s="377" t="s">
        <v>408</v>
      </c>
      <c r="AB134" s="377" t="s">
        <v>409</v>
      </c>
      <c r="AC134" s="83"/>
      <c r="AD134" s="83">
        <f t="shared" si="14"/>
        <v>160000</v>
      </c>
      <c r="AE134" s="62" t="s">
        <v>25</v>
      </c>
      <c r="AF134" s="17"/>
    </row>
    <row r="135" spans="1:33" s="16" customFormat="1" ht="24" customHeight="1">
      <c r="A135" s="51"/>
      <c r="B135" s="335"/>
      <c r="C135" s="335"/>
      <c r="D135" s="189"/>
      <c r="E135" s="129"/>
      <c r="F135" s="129"/>
      <c r="G135" s="129"/>
      <c r="H135" s="129"/>
      <c r="I135" s="129"/>
      <c r="J135" s="129"/>
      <c r="K135" s="129"/>
      <c r="L135" s="129"/>
      <c r="M135" s="86"/>
      <c r="N135" s="378" t="s">
        <v>415</v>
      </c>
      <c r="O135" s="378"/>
      <c r="P135" s="378"/>
      <c r="Q135" s="378"/>
      <c r="R135" s="377">
        <v>20000</v>
      </c>
      <c r="S135" s="377"/>
      <c r="T135" s="377" t="s">
        <v>404</v>
      </c>
      <c r="U135" s="378" t="s">
        <v>405</v>
      </c>
      <c r="V135" s="377">
        <v>3</v>
      </c>
      <c r="W135" s="377" t="s">
        <v>406</v>
      </c>
      <c r="X135" s="378" t="s">
        <v>405</v>
      </c>
      <c r="Y135" s="377">
        <v>4</v>
      </c>
      <c r="Z135" s="377" t="s">
        <v>407</v>
      </c>
      <c r="AA135" s="377" t="s">
        <v>408</v>
      </c>
      <c r="AB135" s="377" t="s">
        <v>412</v>
      </c>
      <c r="AC135" s="83"/>
      <c r="AD135" s="83">
        <f t="shared" si="14"/>
        <v>240000</v>
      </c>
      <c r="AE135" s="62" t="s">
        <v>25</v>
      </c>
      <c r="AF135" s="17"/>
    </row>
    <row r="136" spans="1:33" s="16" customFormat="1" ht="24" customHeight="1">
      <c r="A136" s="51"/>
      <c r="B136" s="335"/>
      <c r="C136" s="335"/>
      <c r="D136" s="189"/>
      <c r="E136" s="129"/>
      <c r="F136" s="129"/>
      <c r="G136" s="129"/>
      <c r="H136" s="129"/>
      <c r="I136" s="129"/>
      <c r="J136" s="129"/>
      <c r="K136" s="129"/>
      <c r="L136" s="129"/>
      <c r="M136" s="86"/>
      <c r="N136" s="378" t="s">
        <v>416</v>
      </c>
      <c r="O136" s="378"/>
      <c r="P136" s="378"/>
      <c r="Q136" s="378"/>
      <c r="R136" s="377">
        <v>8000</v>
      </c>
      <c r="S136" s="377"/>
      <c r="T136" s="377" t="s">
        <v>404</v>
      </c>
      <c r="U136" s="378" t="s">
        <v>405</v>
      </c>
      <c r="V136" s="377">
        <v>1</v>
      </c>
      <c r="W136" s="377" t="s">
        <v>406</v>
      </c>
      <c r="X136" s="378" t="s">
        <v>405</v>
      </c>
      <c r="Y136" s="377">
        <v>5</v>
      </c>
      <c r="Z136" s="377" t="s">
        <v>407</v>
      </c>
      <c r="AA136" s="377" t="s">
        <v>408</v>
      </c>
      <c r="AB136" s="377" t="s">
        <v>410</v>
      </c>
      <c r="AC136" s="83"/>
      <c r="AD136" s="83">
        <f t="shared" si="14"/>
        <v>40000</v>
      </c>
      <c r="AE136" s="62" t="s">
        <v>25</v>
      </c>
      <c r="AF136" s="17"/>
    </row>
    <row r="137" spans="1:33" s="16" customFormat="1" ht="24" customHeight="1">
      <c r="A137" s="51"/>
      <c r="B137" s="335"/>
      <c r="C137" s="335"/>
      <c r="D137" s="189"/>
      <c r="E137" s="129"/>
      <c r="F137" s="129"/>
      <c r="G137" s="129"/>
      <c r="H137" s="129"/>
      <c r="I137" s="129"/>
      <c r="J137" s="129"/>
      <c r="K137" s="129"/>
      <c r="L137" s="129"/>
      <c r="M137" s="86"/>
      <c r="N137" s="378" t="s">
        <v>417</v>
      </c>
      <c r="O137" s="378"/>
      <c r="P137" s="378"/>
      <c r="Q137" s="378"/>
      <c r="R137" s="377">
        <v>10000</v>
      </c>
      <c r="S137" s="377"/>
      <c r="T137" s="377" t="s">
        <v>404</v>
      </c>
      <c r="U137" s="378" t="s">
        <v>405</v>
      </c>
      <c r="V137" s="377">
        <v>4</v>
      </c>
      <c r="W137" s="377" t="s">
        <v>406</v>
      </c>
      <c r="X137" s="378" t="s">
        <v>405</v>
      </c>
      <c r="Y137" s="377">
        <v>5</v>
      </c>
      <c r="Z137" s="377" t="s">
        <v>407</v>
      </c>
      <c r="AA137" s="377" t="s">
        <v>408</v>
      </c>
      <c r="AB137" s="377" t="s">
        <v>409</v>
      </c>
      <c r="AC137" s="83"/>
      <c r="AD137" s="83">
        <f t="shared" si="14"/>
        <v>200000</v>
      </c>
      <c r="AE137" s="62" t="s">
        <v>25</v>
      </c>
      <c r="AF137" s="17"/>
    </row>
    <row r="138" spans="1:33" s="16" customFormat="1" ht="24" customHeight="1">
      <c r="A138" s="51"/>
      <c r="B138" s="376"/>
      <c r="C138" s="376"/>
      <c r="D138" s="189"/>
      <c r="E138" s="129"/>
      <c r="F138" s="129"/>
      <c r="G138" s="129"/>
      <c r="H138" s="129"/>
      <c r="I138" s="129"/>
      <c r="J138" s="129"/>
      <c r="K138" s="129"/>
      <c r="L138" s="129"/>
      <c r="M138" s="86"/>
      <c r="N138" s="378" t="s">
        <v>418</v>
      </c>
      <c r="O138" s="378"/>
      <c r="P138" s="378"/>
      <c r="Q138" s="378"/>
      <c r="R138" s="377">
        <v>10000</v>
      </c>
      <c r="S138" s="377"/>
      <c r="T138" s="377" t="s">
        <v>404</v>
      </c>
      <c r="U138" s="378" t="s">
        <v>405</v>
      </c>
      <c r="V138" s="377">
        <v>3</v>
      </c>
      <c r="W138" s="377" t="s">
        <v>406</v>
      </c>
      <c r="X138" s="378" t="s">
        <v>405</v>
      </c>
      <c r="Y138" s="377">
        <v>5</v>
      </c>
      <c r="Z138" s="377" t="s">
        <v>407</v>
      </c>
      <c r="AA138" s="377" t="s">
        <v>408</v>
      </c>
      <c r="AB138" s="377" t="s">
        <v>412</v>
      </c>
      <c r="AC138" s="83"/>
      <c r="AD138" s="83">
        <f t="shared" si="14"/>
        <v>150000</v>
      </c>
      <c r="AE138" s="62" t="s">
        <v>25</v>
      </c>
      <c r="AF138" s="17"/>
    </row>
    <row r="139" spans="1:33" s="16" customFormat="1" ht="24" customHeight="1">
      <c r="A139" s="51"/>
      <c r="B139" s="376"/>
      <c r="C139" s="376"/>
      <c r="D139" s="189"/>
      <c r="E139" s="129"/>
      <c r="F139" s="129"/>
      <c r="G139" s="129"/>
      <c r="H139" s="129"/>
      <c r="I139" s="129"/>
      <c r="J139" s="129"/>
      <c r="K139" s="129"/>
      <c r="L139" s="129"/>
      <c r="M139" s="86"/>
      <c r="N139" s="378" t="s">
        <v>419</v>
      </c>
      <c r="O139" s="378"/>
      <c r="P139" s="378"/>
      <c r="Q139" s="378"/>
      <c r="R139" s="377">
        <v>15000</v>
      </c>
      <c r="S139" s="377"/>
      <c r="T139" s="377" t="s">
        <v>404</v>
      </c>
      <c r="U139" s="378" t="s">
        <v>405</v>
      </c>
      <c r="V139" s="377">
        <v>6</v>
      </c>
      <c r="W139" s="377" t="s">
        <v>406</v>
      </c>
      <c r="X139" s="378" t="s">
        <v>405</v>
      </c>
      <c r="Y139" s="377">
        <v>5</v>
      </c>
      <c r="Z139" s="377" t="s">
        <v>407</v>
      </c>
      <c r="AA139" s="377" t="s">
        <v>408</v>
      </c>
      <c r="AB139" s="377" t="s">
        <v>412</v>
      </c>
      <c r="AC139" s="83"/>
      <c r="AD139" s="83">
        <f t="shared" si="14"/>
        <v>450000</v>
      </c>
      <c r="AE139" s="62" t="s">
        <v>25</v>
      </c>
      <c r="AF139" s="17"/>
    </row>
    <row r="140" spans="1:33" s="16" customFormat="1" ht="24" customHeight="1">
      <c r="A140" s="51"/>
      <c r="B140" s="376"/>
      <c r="C140" s="376"/>
      <c r="D140" s="189"/>
      <c r="E140" s="129"/>
      <c r="F140" s="129"/>
      <c r="G140" s="129"/>
      <c r="H140" s="129"/>
      <c r="I140" s="129"/>
      <c r="J140" s="129"/>
      <c r="K140" s="129"/>
      <c r="L140" s="129"/>
      <c r="M140" s="86"/>
      <c r="N140" s="378" t="s">
        <v>420</v>
      </c>
      <c r="O140" s="378"/>
      <c r="P140" s="378"/>
      <c r="Q140" s="378"/>
      <c r="R140" s="377">
        <v>15000</v>
      </c>
      <c r="S140" s="377"/>
      <c r="T140" s="377" t="s">
        <v>404</v>
      </c>
      <c r="U140" s="378" t="s">
        <v>405</v>
      </c>
      <c r="V140" s="377">
        <v>5</v>
      </c>
      <c r="W140" s="377" t="s">
        <v>406</v>
      </c>
      <c r="X140" s="378" t="s">
        <v>405</v>
      </c>
      <c r="Y140" s="377">
        <v>5</v>
      </c>
      <c r="Z140" s="377" t="s">
        <v>407</v>
      </c>
      <c r="AA140" s="377" t="s">
        <v>408</v>
      </c>
      <c r="AB140" s="377" t="s">
        <v>412</v>
      </c>
      <c r="AC140" s="83"/>
      <c r="AD140" s="83">
        <f t="shared" si="14"/>
        <v>375000</v>
      </c>
      <c r="AE140" s="62" t="s">
        <v>25</v>
      </c>
      <c r="AF140" s="17"/>
    </row>
    <row r="141" spans="1:33" s="16" customFormat="1" ht="24" customHeight="1">
      <c r="A141" s="51"/>
      <c r="B141" s="376"/>
      <c r="C141" s="376"/>
      <c r="D141" s="189"/>
      <c r="E141" s="129"/>
      <c r="F141" s="129"/>
      <c r="G141" s="129"/>
      <c r="H141" s="129"/>
      <c r="I141" s="129"/>
      <c r="J141" s="129"/>
      <c r="K141" s="129"/>
      <c r="L141" s="129"/>
      <c r="M141" s="86"/>
      <c r="N141" s="378"/>
      <c r="O141" s="378"/>
      <c r="P141" s="378"/>
      <c r="Q141" s="378"/>
      <c r="R141" s="377"/>
      <c r="S141" s="377"/>
      <c r="T141" s="377"/>
      <c r="U141" s="378"/>
      <c r="V141" s="377"/>
      <c r="W141" s="377"/>
      <c r="X141" s="378"/>
      <c r="Y141" s="377"/>
      <c r="Z141" s="377"/>
      <c r="AA141" s="377"/>
      <c r="AB141" s="377"/>
      <c r="AC141" s="83"/>
      <c r="AD141" s="83"/>
      <c r="AE141" s="62"/>
      <c r="AF141" s="17"/>
    </row>
    <row r="142" spans="1:33" s="16" customFormat="1" ht="24" customHeight="1">
      <c r="A142" s="51"/>
      <c r="B142" s="335"/>
      <c r="C142" s="335"/>
      <c r="D142" s="189"/>
      <c r="E142" s="129"/>
      <c r="F142" s="129"/>
      <c r="G142" s="129"/>
      <c r="H142" s="129"/>
      <c r="I142" s="129"/>
      <c r="J142" s="129"/>
      <c r="K142" s="129"/>
      <c r="L142" s="129"/>
      <c r="M142" s="86"/>
      <c r="N142" s="87" t="s">
        <v>202</v>
      </c>
      <c r="O142" s="136"/>
      <c r="P142" s="218"/>
      <c r="Q142" s="34"/>
      <c r="R142" s="34"/>
      <c r="S142" s="34"/>
      <c r="T142" s="34"/>
      <c r="U142" s="34"/>
      <c r="V142" s="34"/>
      <c r="W142" s="336" t="s">
        <v>131</v>
      </c>
      <c r="X142" s="336"/>
      <c r="Y142" s="336"/>
      <c r="Z142" s="336"/>
      <c r="AA142" s="336"/>
      <c r="AB142" s="336"/>
      <c r="AC142" s="88"/>
      <c r="AD142" s="88">
        <f>SUM(AD143:AD143)</f>
        <v>200000</v>
      </c>
      <c r="AE142" s="89" t="s">
        <v>25</v>
      </c>
      <c r="AF142" s="17"/>
    </row>
    <row r="143" spans="1:33" s="16" customFormat="1" ht="24" customHeight="1">
      <c r="A143" s="51"/>
      <c r="B143" s="335"/>
      <c r="C143" s="335"/>
      <c r="D143" s="192"/>
      <c r="E143" s="129"/>
      <c r="F143" s="129"/>
      <c r="G143" s="129"/>
      <c r="H143" s="129"/>
      <c r="I143" s="129"/>
      <c r="J143" s="129"/>
      <c r="K143" s="129"/>
      <c r="L143" s="129"/>
      <c r="M143" s="86"/>
      <c r="N143" s="341" t="s">
        <v>203</v>
      </c>
      <c r="O143" s="341"/>
      <c r="P143" s="341"/>
      <c r="Q143" s="341"/>
      <c r="R143" s="340">
        <v>50000</v>
      </c>
      <c r="S143" s="340"/>
      <c r="T143" s="60" t="s">
        <v>58</v>
      </c>
      <c r="U143" s="60" t="s">
        <v>26</v>
      </c>
      <c r="V143" s="340">
        <v>4</v>
      </c>
      <c r="W143" s="340" t="s">
        <v>197</v>
      </c>
      <c r="X143" s="229"/>
      <c r="Y143" s="158"/>
      <c r="Z143" s="91"/>
      <c r="AA143" s="216" t="s">
        <v>54</v>
      </c>
      <c r="AB143" s="340" t="s">
        <v>330</v>
      </c>
      <c r="AC143" s="340"/>
      <c r="AD143" s="340">
        <f>R143*V143</f>
        <v>200000</v>
      </c>
      <c r="AE143" s="62" t="s">
        <v>25</v>
      </c>
      <c r="AF143" s="17"/>
    </row>
    <row r="144" spans="1:33" s="16" customFormat="1" ht="24" customHeight="1">
      <c r="A144" s="51"/>
      <c r="B144" s="335"/>
      <c r="C144" s="335"/>
      <c r="D144" s="192"/>
      <c r="E144" s="129"/>
      <c r="F144" s="129"/>
      <c r="G144" s="129"/>
      <c r="H144" s="129"/>
      <c r="I144" s="129"/>
      <c r="J144" s="129"/>
      <c r="K144" s="129"/>
      <c r="L144" s="129"/>
      <c r="M144" s="86"/>
      <c r="N144" s="341"/>
      <c r="O144" s="341"/>
      <c r="P144" s="341"/>
      <c r="Q144" s="341"/>
      <c r="R144" s="341"/>
      <c r="S144" s="341"/>
      <c r="T144" s="340"/>
      <c r="U144" s="340"/>
      <c r="V144" s="340"/>
      <c r="W144" s="340"/>
      <c r="X144" s="340"/>
      <c r="Y144" s="162"/>
      <c r="Z144" s="162"/>
      <c r="AA144" s="162"/>
      <c r="AB144" s="162"/>
      <c r="AC144" s="163"/>
      <c r="AD144" s="163"/>
      <c r="AE144" s="62"/>
      <c r="AF144" s="17"/>
      <c r="AG144" s="17"/>
    </row>
    <row r="145" spans="1:32" s="16" customFormat="1" ht="24" customHeight="1">
      <c r="A145" s="51"/>
      <c r="B145" s="335"/>
      <c r="C145" s="335"/>
      <c r="D145" s="189"/>
      <c r="E145" s="129"/>
      <c r="F145" s="129"/>
      <c r="G145" s="129"/>
      <c r="H145" s="129"/>
      <c r="I145" s="129"/>
      <c r="J145" s="129"/>
      <c r="K145" s="129"/>
      <c r="L145" s="129"/>
      <c r="M145" s="86"/>
      <c r="N145" s="87" t="s">
        <v>204</v>
      </c>
      <c r="O145" s="136"/>
      <c r="P145" s="218"/>
      <c r="Q145" s="34"/>
      <c r="R145" s="34"/>
      <c r="S145" s="34"/>
      <c r="T145" s="34"/>
      <c r="U145" s="34"/>
      <c r="V145" s="34"/>
      <c r="W145" s="336" t="s">
        <v>131</v>
      </c>
      <c r="X145" s="336"/>
      <c r="Y145" s="336"/>
      <c r="Z145" s="336"/>
      <c r="AA145" s="336"/>
      <c r="AB145" s="336"/>
      <c r="AC145" s="88"/>
      <c r="AD145" s="88">
        <f>SUM(AD146:AD149)</f>
        <v>2683000</v>
      </c>
      <c r="AE145" s="89" t="s">
        <v>25</v>
      </c>
      <c r="AF145" s="17"/>
    </row>
    <row r="146" spans="1:32" s="16" customFormat="1" ht="24" customHeight="1">
      <c r="A146" s="51"/>
      <c r="B146" s="335"/>
      <c r="C146" s="335"/>
      <c r="D146" s="189"/>
      <c r="E146" s="129"/>
      <c r="F146" s="129"/>
      <c r="G146" s="129"/>
      <c r="H146" s="129"/>
      <c r="I146" s="129"/>
      <c r="J146" s="129"/>
      <c r="K146" s="129"/>
      <c r="L146" s="129"/>
      <c r="M146" s="86"/>
      <c r="N146" s="159" t="s">
        <v>205</v>
      </c>
      <c r="O146" s="159"/>
      <c r="P146" s="159"/>
      <c r="Q146" s="159"/>
      <c r="R146" s="340">
        <v>100000</v>
      </c>
      <c r="S146" s="340"/>
      <c r="T146" s="60" t="s">
        <v>58</v>
      </c>
      <c r="U146" s="60" t="s">
        <v>26</v>
      </c>
      <c r="V146" s="340">
        <v>6</v>
      </c>
      <c r="W146" s="340" t="s">
        <v>197</v>
      </c>
      <c r="X146" s="229"/>
      <c r="Y146" s="158"/>
      <c r="Z146" s="91"/>
      <c r="AA146" s="216" t="s">
        <v>54</v>
      </c>
      <c r="AB146" s="377" t="s">
        <v>412</v>
      </c>
      <c r="AC146" s="340"/>
      <c r="AD146" s="340">
        <f>R146*V146</f>
        <v>600000</v>
      </c>
      <c r="AE146" s="62" t="s">
        <v>25</v>
      </c>
      <c r="AF146" s="17"/>
    </row>
    <row r="147" spans="1:32" s="16" customFormat="1" ht="24" customHeight="1">
      <c r="A147" s="51"/>
      <c r="B147" s="335"/>
      <c r="C147" s="335"/>
      <c r="D147" s="189"/>
      <c r="E147" s="129"/>
      <c r="F147" s="129"/>
      <c r="G147" s="129"/>
      <c r="H147" s="129"/>
      <c r="I147" s="129"/>
      <c r="J147" s="129"/>
      <c r="K147" s="129"/>
      <c r="L147" s="129"/>
      <c r="M147" s="86"/>
      <c r="N147" s="159" t="s">
        <v>206</v>
      </c>
      <c r="O147" s="159"/>
      <c r="P147" s="159"/>
      <c r="Q147" s="159"/>
      <c r="R147" s="340">
        <v>583000</v>
      </c>
      <c r="S147" s="340"/>
      <c r="T147" s="60" t="s">
        <v>58</v>
      </c>
      <c r="U147" s="60" t="s">
        <v>26</v>
      </c>
      <c r="V147" s="340">
        <v>1</v>
      </c>
      <c r="W147" s="340" t="s">
        <v>208</v>
      </c>
      <c r="X147" s="229"/>
      <c r="Y147" s="158"/>
      <c r="Z147" s="91"/>
      <c r="AA147" s="216" t="s">
        <v>54</v>
      </c>
      <c r="AB147" s="380" t="s">
        <v>437</v>
      </c>
      <c r="AC147" s="340"/>
      <c r="AD147" s="340">
        <f>R147*V147</f>
        <v>583000</v>
      </c>
      <c r="AE147" s="62" t="s">
        <v>25</v>
      </c>
      <c r="AF147" s="17"/>
    </row>
    <row r="148" spans="1:32" s="16" customFormat="1" ht="24" customHeight="1">
      <c r="A148" s="51"/>
      <c r="B148" s="335"/>
      <c r="C148" s="335"/>
      <c r="D148" s="189"/>
      <c r="E148" s="129"/>
      <c r="F148" s="129"/>
      <c r="G148" s="129"/>
      <c r="H148" s="129"/>
      <c r="I148" s="129"/>
      <c r="J148" s="129"/>
      <c r="K148" s="129"/>
      <c r="L148" s="129"/>
      <c r="M148" s="86"/>
      <c r="N148" s="159" t="s">
        <v>207</v>
      </c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 t="s">
        <v>330</v>
      </c>
      <c r="AC148" s="159"/>
      <c r="AD148" s="365">
        <v>1000000</v>
      </c>
      <c r="AE148" s="164" t="s">
        <v>68</v>
      </c>
      <c r="AF148" s="17"/>
    </row>
    <row r="149" spans="1:32" s="16" customFormat="1" ht="24" customHeight="1">
      <c r="A149" s="51"/>
      <c r="B149" s="335"/>
      <c r="C149" s="335"/>
      <c r="D149" s="189"/>
      <c r="E149" s="129"/>
      <c r="F149" s="129"/>
      <c r="G149" s="129"/>
      <c r="H149" s="129"/>
      <c r="I149" s="129"/>
      <c r="J149" s="129"/>
      <c r="K149" s="129"/>
      <c r="L149" s="129"/>
      <c r="M149" s="86"/>
      <c r="N149" s="159" t="s">
        <v>235</v>
      </c>
      <c r="O149" s="159"/>
      <c r="P149" s="159"/>
      <c r="Q149" s="159"/>
      <c r="R149" s="366">
        <v>500000</v>
      </c>
      <c r="S149" s="159"/>
      <c r="T149" s="159" t="s">
        <v>228</v>
      </c>
      <c r="U149" s="60" t="s">
        <v>26</v>
      </c>
      <c r="V149" s="159">
        <v>1</v>
      </c>
      <c r="W149" s="159" t="s">
        <v>236</v>
      </c>
      <c r="X149" s="159"/>
      <c r="Y149" s="159"/>
      <c r="Z149" s="159"/>
      <c r="AA149" s="159" t="s">
        <v>237</v>
      </c>
      <c r="AB149" s="159" t="s">
        <v>109</v>
      </c>
      <c r="AC149" s="159"/>
      <c r="AD149" s="365">
        <f>R149*V149</f>
        <v>500000</v>
      </c>
      <c r="AE149" s="164" t="s">
        <v>230</v>
      </c>
      <c r="AF149" s="17"/>
    </row>
    <row r="150" spans="1:32" s="16" customFormat="1" ht="24" customHeight="1">
      <c r="A150" s="51"/>
      <c r="B150" s="335"/>
      <c r="C150" s="335"/>
      <c r="D150" s="189"/>
      <c r="E150" s="129"/>
      <c r="F150" s="129"/>
      <c r="G150" s="129"/>
      <c r="H150" s="129"/>
      <c r="I150" s="129"/>
      <c r="J150" s="129"/>
      <c r="K150" s="129"/>
      <c r="L150" s="129"/>
      <c r="M150" s="86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365"/>
      <c r="AE150" s="164"/>
      <c r="AF150" s="17"/>
    </row>
    <row r="151" spans="1:32" s="16" customFormat="1" ht="24" customHeight="1">
      <c r="A151" s="51"/>
      <c r="B151" s="335"/>
      <c r="C151" s="335"/>
      <c r="D151" s="189"/>
      <c r="E151" s="129"/>
      <c r="F151" s="129"/>
      <c r="G151" s="129"/>
      <c r="H151" s="129"/>
      <c r="I151" s="129"/>
      <c r="J151" s="129"/>
      <c r="K151" s="129"/>
      <c r="L151" s="129"/>
      <c r="M151" s="86"/>
      <c r="N151" s="87" t="s">
        <v>209</v>
      </c>
      <c r="O151" s="136"/>
      <c r="P151" s="218"/>
      <c r="Q151" s="34"/>
      <c r="R151" s="34"/>
      <c r="S151" s="34"/>
      <c r="T151" s="34"/>
      <c r="U151" s="34"/>
      <c r="V151" s="34"/>
      <c r="W151" s="336" t="s">
        <v>131</v>
      </c>
      <c r="X151" s="336"/>
      <c r="Y151" s="336"/>
      <c r="Z151" s="336"/>
      <c r="AA151" s="336"/>
      <c r="AB151" s="336"/>
      <c r="AC151" s="88"/>
      <c r="AD151" s="88">
        <f>SUM(AD152:AD157)</f>
        <v>1355000</v>
      </c>
      <c r="AE151" s="89" t="s">
        <v>25</v>
      </c>
      <c r="AF151" s="17"/>
    </row>
    <row r="152" spans="1:32" s="16" customFormat="1" ht="24" customHeight="1">
      <c r="A152" s="51"/>
      <c r="B152" s="335"/>
      <c r="C152" s="335"/>
      <c r="D152" s="189"/>
      <c r="E152" s="129"/>
      <c r="F152" s="129"/>
      <c r="G152" s="129"/>
      <c r="H152" s="129"/>
      <c r="I152" s="129"/>
      <c r="J152" s="129"/>
      <c r="K152" s="129"/>
      <c r="L152" s="129"/>
      <c r="M152" s="86"/>
      <c r="N152" s="159" t="s">
        <v>422</v>
      </c>
      <c r="O152" s="159"/>
      <c r="P152" s="159"/>
      <c r="Q152" s="159"/>
      <c r="R152" s="377">
        <v>0</v>
      </c>
      <c r="S152" s="377"/>
      <c r="T152" s="377" t="s">
        <v>404</v>
      </c>
      <c r="U152" s="378" t="s">
        <v>405</v>
      </c>
      <c r="V152" s="377">
        <v>5</v>
      </c>
      <c r="W152" s="377" t="s">
        <v>407</v>
      </c>
      <c r="X152" s="378" t="s">
        <v>405</v>
      </c>
      <c r="Y152" s="377">
        <v>1</v>
      </c>
      <c r="Z152" s="377" t="s">
        <v>406</v>
      </c>
      <c r="AA152" s="377" t="s">
        <v>408</v>
      </c>
      <c r="AB152" s="377" t="s">
        <v>410</v>
      </c>
      <c r="AC152" s="83"/>
      <c r="AD152" s="83">
        <f>R152*V152*Y152</f>
        <v>0</v>
      </c>
      <c r="AE152" s="62" t="s">
        <v>25</v>
      </c>
      <c r="AF152" s="17"/>
    </row>
    <row r="153" spans="1:32" s="16" customFormat="1" ht="24" customHeight="1">
      <c r="A153" s="51"/>
      <c r="B153" s="335"/>
      <c r="C153" s="335"/>
      <c r="D153" s="189"/>
      <c r="E153" s="129"/>
      <c r="F153" s="129"/>
      <c r="G153" s="129"/>
      <c r="H153" s="129"/>
      <c r="I153" s="129"/>
      <c r="J153" s="129"/>
      <c r="K153" s="129"/>
      <c r="L153" s="129"/>
      <c r="M153" s="86"/>
      <c r="N153" s="452" t="s">
        <v>380</v>
      </c>
      <c r="O153" s="453"/>
      <c r="P153" s="159"/>
      <c r="Q153" s="159"/>
      <c r="R153" s="377">
        <v>121000</v>
      </c>
      <c r="S153" s="377"/>
      <c r="T153" s="377" t="s">
        <v>404</v>
      </c>
      <c r="U153" s="378" t="s">
        <v>405</v>
      </c>
      <c r="V153" s="377">
        <v>1</v>
      </c>
      <c r="W153" s="377" t="s">
        <v>407</v>
      </c>
      <c r="X153" s="378" t="s">
        <v>405</v>
      </c>
      <c r="Y153" s="377">
        <v>1</v>
      </c>
      <c r="Z153" s="377" t="s">
        <v>406</v>
      </c>
      <c r="AA153" s="377" t="s">
        <v>408</v>
      </c>
      <c r="AB153" s="377" t="s">
        <v>410</v>
      </c>
      <c r="AC153" s="83"/>
      <c r="AD153" s="83">
        <f>R153*V153*Y153</f>
        <v>121000</v>
      </c>
      <c r="AE153" s="62" t="s">
        <v>25</v>
      </c>
      <c r="AF153" s="17"/>
    </row>
    <row r="154" spans="1:32" s="16" customFormat="1" ht="24" customHeight="1">
      <c r="A154" s="51"/>
      <c r="B154" s="335"/>
      <c r="C154" s="335"/>
      <c r="D154" s="189"/>
      <c r="E154" s="129"/>
      <c r="F154" s="129"/>
      <c r="G154" s="129"/>
      <c r="H154" s="129"/>
      <c r="I154" s="129"/>
      <c r="J154" s="129"/>
      <c r="K154" s="129"/>
      <c r="L154" s="129"/>
      <c r="M154" s="86"/>
      <c r="N154" s="452" t="s">
        <v>423</v>
      </c>
      <c r="O154" s="453"/>
      <c r="P154" s="159"/>
      <c r="Q154" s="159"/>
      <c r="R154" s="377">
        <v>199000</v>
      </c>
      <c r="S154" s="377"/>
      <c r="T154" s="377" t="s">
        <v>404</v>
      </c>
      <c r="U154" s="378" t="s">
        <v>405</v>
      </c>
      <c r="V154" s="377">
        <v>1</v>
      </c>
      <c r="W154" s="377" t="s">
        <v>407</v>
      </c>
      <c r="X154" s="378" t="s">
        <v>405</v>
      </c>
      <c r="Y154" s="377">
        <v>1</v>
      </c>
      <c r="Z154" s="377" t="s">
        <v>406</v>
      </c>
      <c r="AA154" s="377" t="s">
        <v>408</v>
      </c>
      <c r="AB154" s="159" t="s">
        <v>409</v>
      </c>
      <c r="AC154" s="159"/>
      <c r="AD154" s="83">
        <f t="shared" ref="AD154:AD156" si="15">R154*V154*Y154</f>
        <v>199000</v>
      </c>
      <c r="AE154" s="164" t="s">
        <v>404</v>
      </c>
      <c r="AF154" s="17"/>
    </row>
    <row r="155" spans="1:32" s="16" customFormat="1" ht="24" customHeight="1">
      <c r="A155" s="51"/>
      <c r="B155" s="335"/>
      <c r="C155" s="335"/>
      <c r="D155" s="189"/>
      <c r="E155" s="129"/>
      <c r="F155" s="129"/>
      <c r="G155" s="129"/>
      <c r="H155" s="129"/>
      <c r="I155" s="129"/>
      <c r="J155" s="129"/>
      <c r="K155" s="129"/>
      <c r="L155" s="129"/>
      <c r="M155" s="86"/>
      <c r="N155" s="159" t="s">
        <v>424</v>
      </c>
      <c r="O155" s="159"/>
      <c r="P155" s="159"/>
      <c r="Q155" s="159"/>
      <c r="R155" s="377">
        <v>21500</v>
      </c>
      <c r="S155" s="377"/>
      <c r="T155" s="377" t="s">
        <v>404</v>
      </c>
      <c r="U155" s="378" t="s">
        <v>405</v>
      </c>
      <c r="V155" s="377">
        <v>3</v>
      </c>
      <c r="W155" s="377" t="s">
        <v>407</v>
      </c>
      <c r="X155" s="378" t="s">
        <v>405</v>
      </c>
      <c r="Y155" s="377">
        <v>8</v>
      </c>
      <c r="Z155" s="377" t="s">
        <v>406</v>
      </c>
      <c r="AA155" s="377" t="s">
        <v>408</v>
      </c>
      <c r="AB155" s="159" t="s">
        <v>409</v>
      </c>
      <c r="AC155" s="159"/>
      <c r="AD155" s="83">
        <f t="shared" si="15"/>
        <v>516000</v>
      </c>
      <c r="AE155" s="164" t="s">
        <v>404</v>
      </c>
      <c r="AF155" s="17"/>
    </row>
    <row r="156" spans="1:32" s="16" customFormat="1" ht="24" customHeight="1">
      <c r="A156" s="51"/>
      <c r="B156" s="335"/>
      <c r="C156" s="335"/>
      <c r="D156" s="189"/>
      <c r="E156" s="129"/>
      <c r="F156" s="129"/>
      <c r="G156" s="129"/>
      <c r="H156" s="129"/>
      <c r="I156" s="129"/>
      <c r="J156" s="129"/>
      <c r="K156" s="129"/>
      <c r="L156" s="129"/>
      <c r="M156" s="86"/>
      <c r="N156" s="159" t="s">
        <v>425</v>
      </c>
      <c r="O156" s="159"/>
      <c r="P156" s="159"/>
      <c r="Q156" s="159"/>
      <c r="R156" s="377">
        <v>21500</v>
      </c>
      <c r="S156" s="377"/>
      <c r="T156" s="377" t="s">
        <v>404</v>
      </c>
      <c r="U156" s="378" t="s">
        <v>405</v>
      </c>
      <c r="V156" s="377">
        <v>3</v>
      </c>
      <c r="W156" s="377" t="s">
        <v>407</v>
      </c>
      <c r="X156" s="378" t="s">
        <v>405</v>
      </c>
      <c r="Y156" s="377">
        <v>8</v>
      </c>
      <c r="Z156" s="377" t="s">
        <v>406</v>
      </c>
      <c r="AA156" s="377" t="s">
        <v>408</v>
      </c>
      <c r="AB156" s="159" t="s">
        <v>409</v>
      </c>
      <c r="AC156" s="159"/>
      <c r="AD156" s="83">
        <f t="shared" si="15"/>
        <v>516000</v>
      </c>
      <c r="AE156" s="164" t="s">
        <v>404</v>
      </c>
      <c r="AF156" s="17"/>
    </row>
    <row r="157" spans="1:32" s="16" customFormat="1" ht="24" customHeight="1">
      <c r="A157" s="51"/>
      <c r="B157" s="335"/>
      <c r="C157" s="53"/>
      <c r="D157" s="189"/>
      <c r="E157" s="129"/>
      <c r="F157" s="129"/>
      <c r="G157" s="129"/>
      <c r="H157" s="129"/>
      <c r="I157" s="129"/>
      <c r="J157" s="129"/>
      <c r="K157" s="129"/>
      <c r="L157" s="129"/>
      <c r="M157" s="86"/>
      <c r="N157" s="159" t="s">
        <v>426</v>
      </c>
      <c r="O157" s="159"/>
      <c r="P157" s="159"/>
      <c r="Q157" s="159"/>
      <c r="R157" s="377">
        <v>3000</v>
      </c>
      <c r="S157" s="377"/>
      <c r="T157" s="377" t="s">
        <v>404</v>
      </c>
      <c r="U157" s="378" t="s">
        <v>405</v>
      </c>
      <c r="V157" s="377">
        <v>1</v>
      </c>
      <c r="W157" s="377" t="s">
        <v>407</v>
      </c>
      <c r="X157" s="378" t="s">
        <v>405</v>
      </c>
      <c r="Y157" s="377">
        <v>1</v>
      </c>
      <c r="Z157" s="377" t="s">
        <v>406</v>
      </c>
      <c r="AA157" s="377" t="s">
        <v>408</v>
      </c>
      <c r="AB157" s="159" t="s">
        <v>427</v>
      </c>
      <c r="AC157" s="159"/>
      <c r="AD157" s="83">
        <f>R157*V157*Y157</f>
        <v>3000</v>
      </c>
      <c r="AE157" s="164" t="s">
        <v>404</v>
      </c>
      <c r="AF157" s="17"/>
    </row>
    <row r="158" spans="1:32" s="16" customFormat="1" ht="24" customHeight="1">
      <c r="A158" s="63"/>
      <c r="B158" s="64"/>
      <c r="C158" s="130"/>
      <c r="D158" s="190"/>
      <c r="E158" s="131"/>
      <c r="F158" s="131"/>
      <c r="G158" s="131"/>
      <c r="H158" s="131"/>
      <c r="I158" s="131"/>
      <c r="J158" s="131"/>
      <c r="K158" s="131"/>
      <c r="L158" s="129"/>
      <c r="M158" s="86"/>
      <c r="N158" s="341"/>
      <c r="O158" s="341"/>
      <c r="P158" s="341"/>
      <c r="Q158" s="341"/>
      <c r="R158" s="341"/>
      <c r="S158" s="341"/>
      <c r="T158" s="340"/>
      <c r="U158" s="340"/>
      <c r="V158" s="340"/>
      <c r="W158" s="340"/>
      <c r="X158" s="340"/>
      <c r="Y158" s="162"/>
      <c r="Z158" s="162"/>
      <c r="AA158" s="162"/>
      <c r="AB158" s="162"/>
      <c r="AC158" s="163"/>
      <c r="AD158" s="340"/>
      <c r="AE158" s="62"/>
      <c r="AF158" s="17"/>
    </row>
    <row r="159" spans="1:32" s="12" customFormat="1" ht="21" customHeight="1">
      <c r="A159" s="132" t="s">
        <v>153</v>
      </c>
      <c r="B159" s="415" t="s">
        <v>21</v>
      </c>
      <c r="C159" s="416"/>
      <c r="D159" s="208">
        <f>SUM(D160)</f>
        <v>7</v>
      </c>
      <c r="E159" s="208">
        <f>SUM(E160)</f>
        <v>6.726</v>
      </c>
      <c r="F159" s="208">
        <f t="shared" ref="F159:K159" si="16">SUM(F160)</f>
        <v>6.726</v>
      </c>
      <c r="G159" s="208">
        <f t="shared" si="16"/>
        <v>0</v>
      </c>
      <c r="H159" s="208">
        <f t="shared" si="16"/>
        <v>0</v>
      </c>
      <c r="I159" s="208">
        <v>0</v>
      </c>
      <c r="J159" s="208">
        <f t="shared" si="16"/>
        <v>0</v>
      </c>
      <c r="K159" s="208">
        <f t="shared" si="16"/>
        <v>0</v>
      </c>
      <c r="L159" s="208">
        <f>E159-D159</f>
        <v>-0.27400000000000002</v>
      </c>
      <c r="M159" s="209">
        <f>IF(D159=0,0,L159/D159)</f>
        <v>-3.9142857142857146E-2</v>
      </c>
      <c r="N159" s="118" t="s">
        <v>156</v>
      </c>
      <c r="O159" s="339"/>
      <c r="P159" s="339"/>
      <c r="Q159" s="339"/>
      <c r="R159" s="338"/>
      <c r="S159" s="338"/>
      <c r="T159" s="338"/>
      <c r="U159" s="338"/>
      <c r="V159" s="338"/>
      <c r="W159" s="338"/>
      <c r="X159" s="338"/>
      <c r="Y159" s="338"/>
      <c r="Z159" s="338"/>
      <c r="AA159" s="338"/>
      <c r="AB159" s="338"/>
      <c r="AC159" s="338"/>
      <c r="AD159" s="338">
        <f>SUM(AD160)</f>
        <v>6726</v>
      </c>
      <c r="AE159" s="210" t="s">
        <v>25</v>
      </c>
      <c r="AF159" s="1"/>
    </row>
    <row r="160" spans="1:32" s="12" customFormat="1" ht="21" customHeight="1">
      <c r="A160" s="225" t="s">
        <v>155</v>
      </c>
      <c r="B160" s="335" t="s">
        <v>153</v>
      </c>
      <c r="C160" s="335" t="s">
        <v>153</v>
      </c>
      <c r="D160" s="189">
        <v>7</v>
      </c>
      <c r="E160" s="129">
        <f>AD160/1000</f>
        <v>6.726</v>
      </c>
      <c r="F160" s="129">
        <f>SUM(AD161:AD161)/1000</f>
        <v>6.726</v>
      </c>
      <c r="G160" s="129">
        <v>0</v>
      </c>
      <c r="H160" s="129">
        <v>0</v>
      </c>
      <c r="I160" s="129">
        <v>0</v>
      </c>
      <c r="J160" s="129">
        <v>0</v>
      </c>
      <c r="K160" s="129">
        <v>0</v>
      </c>
      <c r="L160" s="129">
        <f>E160-D160</f>
        <v>-0.27400000000000002</v>
      </c>
      <c r="M160" s="86">
        <f>IF(D160=0,0,L160/D160)</f>
        <v>-3.9142857142857146E-2</v>
      </c>
      <c r="N160" s="136" t="s">
        <v>157</v>
      </c>
      <c r="O160" s="218"/>
      <c r="P160" s="218"/>
      <c r="Q160" s="218"/>
      <c r="R160" s="218"/>
      <c r="S160" s="218"/>
      <c r="T160" s="217"/>
      <c r="U160" s="217"/>
      <c r="V160" s="217"/>
      <c r="W160" s="217"/>
      <c r="X160" s="217"/>
      <c r="Y160" s="338" t="s">
        <v>137</v>
      </c>
      <c r="Z160" s="120"/>
      <c r="AA160" s="120"/>
      <c r="AB160" s="120"/>
      <c r="AC160" s="137"/>
      <c r="AD160" s="137">
        <f>AD161:AD161</f>
        <v>6726</v>
      </c>
      <c r="AE160" s="138" t="s">
        <v>25</v>
      </c>
      <c r="AF160" s="1"/>
    </row>
    <row r="161" spans="1:31" ht="21" customHeight="1">
      <c r="A161" s="51"/>
      <c r="B161" s="335" t="s">
        <v>154</v>
      </c>
      <c r="C161" s="335" t="s">
        <v>154</v>
      </c>
      <c r="D161" s="189"/>
      <c r="E161" s="129"/>
      <c r="F161" s="129"/>
      <c r="G161" s="129"/>
      <c r="H161" s="129"/>
      <c r="I161" s="129"/>
      <c r="J161" s="129"/>
      <c r="K161" s="129"/>
      <c r="L161" s="129"/>
      <c r="M161" s="86"/>
      <c r="N161" s="341" t="s">
        <v>210</v>
      </c>
      <c r="O161" s="341"/>
      <c r="P161" s="341"/>
      <c r="Q161" s="341"/>
      <c r="R161" s="340"/>
      <c r="S161" s="340"/>
      <c r="T161" s="340"/>
      <c r="U161" s="340"/>
      <c r="V161" s="340"/>
      <c r="W161" s="340"/>
      <c r="X161" s="340"/>
      <c r="Y161" s="340"/>
      <c r="Z161" s="340"/>
      <c r="AA161" s="340"/>
      <c r="AB161" s="340"/>
      <c r="AC161" s="340"/>
      <c r="AD161" s="340">
        <v>6726</v>
      </c>
      <c r="AE161" s="62" t="s">
        <v>25</v>
      </c>
    </row>
    <row r="162" spans="1:31" ht="21" customHeight="1" thickBot="1">
      <c r="A162" s="332"/>
      <c r="B162" s="276"/>
      <c r="C162" s="276"/>
      <c r="D162" s="277"/>
      <c r="E162" s="277"/>
      <c r="F162" s="277"/>
      <c r="G162" s="277"/>
      <c r="H162" s="277"/>
      <c r="I162" s="277"/>
      <c r="J162" s="277"/>
      <c r="K162" s="277"/>
      <c r="L162" s="277"/>
      <c r="M162" s="278"/>
      <c r="N162" s="279"/>
      <c r="O162" s="273"/>
      <c r="P162" s="273"/>
      <c r="Q162" s="273"/>
      <c r="R162" s="274"/>
      <c r="S162" s="274"/>
      <c r="T162" s="274"/>
      <c r="U162" s="274"/>
      <c r="V162" s="274"/>
      <c r="W162" s="274"/>
      <c r="X162" s="274"/>
      <c r="Y162" s="274"/>
      <c r="Z162" s="274"/>
      <c r="AA162" s="274"/>
      <c r="AB162" s="274"/>
      <c r="AC162" s="274"/>
      <c r="AD162" s="274"/>
      <c r="AE162" s="275"/>
    </row>
  </sheetData>
  <mergeCells count="16">
    <mergeCell ref="B159:C159"/>
    <mergeCell ref="B102:C102"/>
    <mergeCell ref="B88:C88"/>
    <mergeCell ref="V84:W84"/>
    <mergeCell ref="V59:W59"/>
    <mergeCell ref="V64:W64"/>
    <mergeCell ref="N153:O153"/>
    <mergeCell ref="N154:O154"/>
    <mergeCell ref="N2:AE3"/>
    <mergeCell ref="A1:C1"/>
    <mergeCell ref="B5:C5"/>
    <mergeCell ref="A4:C4"/>
    <mergeCell ref="L2:M2"/>
    <mergeCell ref="A2:C2"/>
    <mergeCell ref="D2:D3"/>
    <mergeCell ref="E2:K2"/>
  </mergeCells>
  <phoneticPr fontId="5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scaleWithDoc="0" alignWithMargins="0">
    <oddFooter>&amp;C&amp;P/&amp;N&amp;R&amp;9장애인공동생활가정 마르따의 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22"/>
  <sheetViews>
    <sheetView zoomScaleNormal="100" workbookViewId="0">
      <selection activeCell="B1" sqref="B1"/>
    </sheetView>
  </sheetViews>
  <sheetFormatPr defaultRowHeight="13.5"/>
  <cols>
    <col min="1" max="1" width="7.5546875" customWidth="1"/>
    <col min="2" max="2" width="9.21875" customWidth="1"/>
    <col min="3" max="3" width="9.77734375" customWidth="1"/>
    <col min="4" max="4" width="10.109375" customWidth="1"/>
    <col min="5" max="5" width="10.33203125" customWidth="1"/>
    <col min="6" max="6" width="7.2187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</cols>
  <sheetData>
    <row r="1" spans="1:12" ht="26.25">
      <c r="A1" s="282" t="s">
        <v>385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 t="s">
        <v>241</v>
      </c>
    </row>
    <row r="2" spans="1:12" ht="8.25" customHeight="1" thickBot="1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2" ht="16.5">
      <c r="A3" s="474" t="s">
        <v>242</v>
      </c>
      <c r="B3" s="475"/>
      <c r="C3" s="475"/>
      <c r="D3" s="475"/>
      <c r="E3" s="476"/>
      <c r="F3" s="476"/>
      <c r="G3" s="474" t="s">
        <v>243</v>
      </c>
      <c r="H3" s="475"/>
      <c r="I3" s="475"/>
      <c r="J3" s="475"/>
      <c r="K3" s="476"/>
      <c r="L3" s="477"/>
    </row>
    <row r="4" spans="1:12" ht="13.5" customHeight="1">
      <c r="A4" s="478" t="s">
        <v>337</v>
      </c>
      <c r="B4" s="479"/>
      <c r="C4" s="482" t="s">
        <v>338</v>
      </c>
      <c r="D4" s="482" t="s">
        <v>386</v>
      </c>
      <c r="E4" s="484" t="s">
        <v>339</v>
      </c>
      <c r="F4" s="486" t="s">
        <v>340</v>
      </c>
      <c r="G4" s="478" t="s">
        <v>337</v>
      </c>
      <c r="H4" s="479"/>
      <c r="I4" s="482" t="s">
        <v>338</v>
      </c>
      <c r="J4" s="482" t="s">
        <v>387</v>
      </c>
      <c r="K4" s="479" t="s">
        <v>341</v>
      </c>
      <c r="L4" s="488" t="s">
        <v>340</v>
      </c>
    </row>
    <row r="5" spans="1:12" ht="25.5" customHeight="1" thickBot="1">
      <c r="A5" s="480"/>
      <c r="B5" s="481"/>
      <c r="C5" s="483"/>
      <c r="D5" s="483"/>
      <c r="E5" s="485"/>
      <c r="F5" s="487"/>
      <c r="G5" s="480"/>
      <c r="H5" s="481"/>
      <c r="I5" s="483"/>
      <c r="J5" s="483"/>
      <c r="K5" s="481"/>
      <c r="L5" s="489"/>
    </row>
    <row r="6" spans="1:12" ht="14.25" thickTop="1">
      <c r="A6" s="459" t="s">
        <v>246</v>
      </c>
      <c r="B6" s="463"/>
      <c r="C6" s="291">
        <f>SUM(C7:C17)</f>
        <v>70106760</v>
      </c>
      <c r="D6" s="291">
        <f>SUM(D7:D17)</f>
        <v>66330329</v>
      </c>
      <c r="E6" s="292">
        <f>SUM(E7:E17)</f>
        <v>-3776431</v>
      </c>
      <c r="F6" s="293"/>
      <c r="G6" s="459" t="s">
        <v>246</v>
      </c>
      <c r="H6" s="463"/>
      <c r="I6" s="291">
        <f>SUM(I7:I20)</f>
        <v>70106760</v>
      </c>
      <c r="J6" s="291">
        <f>SUM(J7:J20)</f>
        <v>66330329</v>
      </c>
      <c r="K6" s="292">
        <f>SUM(K7:K20)</f>
        <v>-3776431</v>
      </c>
      <c r="L6" s="294"/>
    </row>
    <row r="7" spans="1:12" ht="56.25">
      <c r="A7" s="295" t="s">
        <v>309</v>
      </c>
      <c r="B7" s="296" t="s">
        <v>309</v>
      </c>
      <c r="C7" s="297">
        <v>7200000</v>
      </c>
      <c r="D7" s="297">
        <v>11998637</v>
      </c>
      <c r="E7" s="298">
        <f>D7-C7</f>
        <v>4798637</v>
      </c>
      <c r="F7" s="314" t="s">
        <v>431</v>
      </c>
      <c r="G7" s="457" t="s">
        <v>293</v>
      </c>
      <c r="H7" s="296" t="s">
        <v>296</v>
      </c>
      <c r="I7" s="297">
        <v>35721840</v>
      </c>
      <c r="J7" s="297">
        <v>33735370</v>
      </c>
      <c r="K7" s="299">
        <f>J7-I7</f>
        <v>-1986470</v>
      </c>
      <c r="L7" s="300" t="s">
        <v>432</v>
      </c>
    </row>
    <row r="8" spans="1:12" ht="25.5" customHeight="1">
      <c r="A8" s="464" t="s">
        <v>356</v>
      </c>
      <c r="B8" s="296" t="s">
        <v>333</v>
      </c>
      <c r="C8" s="297">
        <v>3775000</v>
      </c>
      <c r="D8" s="297">
        <v>3325000</v>
      </c>
      <c r="E8" s="298">
        <f>D8-C8</f>
        <v>-450000</v>
      </c>
      <c r="F8" s="314" t="s">
        <v>391</v>
      </c>
      <c r="G8" s="458"/>
      <c r="H8" s="296" t="s">
        <v>436</v>
      </c>
      <c r="I8" s="297">
        <v>200000</v>
      </c>
      <c r="J8" s="297">
        <v>210000</v>
      </c>
      <c r="K8" s="299">
        <f>J8-I8</f>
        <v>10000</v>
      </c>
      <c r="L8" s="343"/>
    </row>
    <row r="9" spans="1:12" ht="45.75" customHeight="1">
      <c r="A9" s="466"/>
      <c r="B9" s="296" t="s">
        <v>334</v>
      </c>
      <c r="C9" s="297">
        <v>48750000</v>
      </c>
      <c r="D9" s="297">
        <v>46200000</v>
      </c>
      <c r="E9" s="298">
        <f>D9-C9</f>
        <v>-2550000</v>
      </c>
      <c r="F9" s="314" t="s">
        <v>390</v>
      </c>
      <c r="G9" s="458"/>
      <c r="H9" s="296" t="s">
        <v>297</v>
      </c>
      <c r="I9" s="297">
        <v>60000</v>
      </c>
      <c r="J9" s="297">
        <v>60400</v>
      </c>
      <c r="K9" s="299">
        <f>J9-I9</f>
        <v>400</v>
      </c>
      <c r="L9" s="302"/>
    </row>
    <row r="10" spans="1:12" ht="23.25" customHeight="1">
      <c r="A10" s="465" t="s">
        <v>357</v>
      </c>
      <c r="B10" s="296" t="s">
        <v>343</v>
      </c>
      <c r="C10" s="297">
        <v>0</v>
      </c>
      <c r="D10" s="297">
        <v>0</v>
      </c>
      <c r="E10" s="298">
        <f t="shared" ref="E10:E17" si="0">D10-C10</f>
        <v>0</v>
      </c>
      <c r="F10" s="298"/>
      <c r="G10" s="459"/>
      <c r="H10" s="296" t="s">
        <v>298</v>
      </c>
      <c r="I10" s="372">
        <v>8335960</v>
      </c>
      <c r="J10" s="303">
        <v>7927760</v>
      </c>
      <c r="K10" s="299">
        <f>J10-I10</f>
        <v>-408200</v>
      </c>
      <c r="L10" s="343" t="s">
        <v>433</v>
      </c>
    </row>
    <row r="11" spans="1:12" ht="25.5" customHeight="1">
      <c r="A11" s="465"/>
      <c r="B11" s="296" t="s">
        <v>342</v>
      </c>
      <c r="C11" s="297">
        <v>200000</v>
      </c>
      <c r="D11" s="297">
        <v>600155</v>
      </c>
      <c r="E11" s="298">
        <f t="shared" si="0"/>
        <v>400155</v>
      </c>
      <c r="F11" s="301" t="s">
        <v>396</v>
      </c>
      <c r="G11" s="464" t="s">
        <v>292</v>
      </c>
      <c r="H11" s="296" t="s">
        <v>299</v>
      </c>
      <c r="I11" s="297">
        <v>0</v>
      </c>
      <c r="J11" s="297">
        <v>0</v>
      </c>
      <c r="K11" s="299">
        <f t="shared" ref="K11:K20" si="1">J11-I11</f>
        <v>0</v>
      </c>
      <c r="L11" s="302"/>
    </row>
    <row r="12" spans="1:12" ht="73.5" customHeight="1">
      <c r="A12" s="304" t="s">
        <v>310</v>
      </c>
      <c r="B12" s="296" t="s">
        <v>344</v>
      </c>
      <c r="C12" s="297">
        <v>4359420</v>
      </c>
      <c r="D12" s="297">
        <v>4145971</v>
      </c>
      <c r="E12" s="298">
        <f t="shared" si="0"/>
        <v>-213449</v>
      </c>
      <c r="F12" s="301" t="s">
        <v>430</v>
      </c>
      <c r="G12" s="465"/>
      <c r="H12" s="296" t="s">
        <v>301</v>
      </c>
      <c r="I12" s="297">
        <v>3000000</v>
      </c>
      <c r="J12" s="297">
        <v>3950000</v>
      </c>
      <c r="K12" s="299">
        <f t="shared" ref="K12:K17" si="2">J12-I12</f>
        <v>950000</v>
      </c>
      <c r="L12" s="343" t="s">
        <v>441</v>
      </c>
    </row>
    <row r="13" spans="1:12" ht="26.25" customHeight="1">
      <c r="A13" s="457" t="s">
        <v>311</v>
      </c>
      <c r="B13" s="460" t="s">
        <v>345</v>
      </c>
      <c r="C13" s="467">
        <v>5807340</v>
      </c>
      <c r="D13" s="467">
        <v>0</v>
      </c>
      <c r="E13" s="470">
        <f>D13-C13</f>
        <v>-5807340</v>
      </c>
      <c r="F13" s="454" t="s">
        <v>395</v>
      </c>
      <c r="G13" s="466"/>
      <c r="H13" s="296" t="s">
        <v>300</v>
      </c>
      <c r="I13" s="297">
        <v>0</v>
      </c>
      <c r="J13" s="297">
        <v>0</v>
      </c>
      <c r="K13" s="299">
        <f t="shared" si="2"/>
        <v>0</v>
      </c>
      <c r="L13" s="302"/>
    </row>
    <row r="14" spans="1:12" ht="20.25" customHeight="1">
      <c r="A14" s="458"/>
      <c r="B14" s="461"/>
      <c r="C14" s="468"/>
      <c r="D14" s="468"/>
      <c r="E14" s="471"/>
      <c r="F14" s="455"/>
      <c r="G14" s="457" t="s">
        <v>294</v>
      </c>
      <c r="H14" s="296" t="s">
        <v>302</v>
      </c>
      <c r="I14" s="297">
        <v>11416060</v>
      </c>
      <c r="J14" s="297">
        <v>11109355</v>
      </c>
      <c r="K14" s="299">
        <f t="shared" si="2"/>
        <v>-306705</v>
      </c>
      <c r="L14" s="343" t="s">
        <v>438</v>
      </c>
    </row>
    <row r="15" spans="1:12" ht="26.25" customHeight="1">
      <c r="A15" s="459"/>
      <c r="B15" s="462"/>
      <c r="C15" s="469"/>
      <c r="D15" s="469"/>
      <c r="E15" s="472"/>
      <c r="F15" s="456"/>
      <c r="G15" s="458"/>
      <c r="H15" s="296" t="s">
        <v>303</v>
      </c>
      <c r="I15" s="297">
        <v>3453650</v>
      </c>
      <c r="J15" s="297">
        <v>2069241</v>
      </c>
      <c r="K15" s="299">
        <f t="shared" si="2"/>
        <v>-1384409</v>
      </c>
      <c r="L15" s="343" t="s">
        <v>392</v>
      </c>
    </row>
    <row r="16" spans="1:12" ht="18.75" customHeight="1">
      <c r="A16" s="457" t="s">
        <v>312</v>
      </c>
      <c r="B16" s="296" t="s">
        <v>388</v>
      </c>
      <c r="C16" s="297">
        <v>0</v>
      </c>
      <c r="D16" s="297">
        <v>40566</v>
      </c>
      <c r="E16" s="299">
        <f t="shared" ref="E16" si="3">D16-C16</f>
        <v>40566</v>
      </c>
      <c r="F16" s="342"/>
      <c r="G16" s="458"/>
      <c r="H16" s="296" t="s">
        <v>304</v>
      </c>
      <c r="I16" s="297">
        <v>400000</v>
      </c>
      <c r="J16" s="297">
        <v>400000</v>
      </c>
      <c r="K16" s="299">
        <f t="shared" si="2"/>
        <v>0</v>
      </c>
      <c r="L16" s="302"/>
    </row>
    <row r="17" spans="1:12" ht="61.5" customHeight="1" thickBot="1">
      <c r="A17" s="473"/>
      <c r="B17" s="369" t="s">
        <v>389</v>
      </c>
      <c r="C17" s="370">
        <v>15000</v>
      </c>
      <c r="D17" s="370">
        <v>20000</v>
      </c>
      <c r="E17" s="371">
        <f t="shared" si="0"/>
        <v>5000</v>
      </c>
      <c r="F17" s="367" t="s">
        <v>429</v>
      </c>
      <c r="G17" s="458"/>
      <c r="H17" s="296" t="s">
        <v>305</v>
      </c>
      <c r="I17" s="297">
        <v>460000</v>
      </c>
      <c r="J17" s="297">
        <v>388477</v>
      </c>
      <c r="K17" s="299">
        <f t="shared" si="2"/>
        <v>-71523</v>
      </c>
      <c r="L17" s="302" t="s">
        <v>434</v>
      </c>
    </row>
    <row r="18" spans="1:12" ht="15" customHeight="1">
      <c r="A18" s="344"/>
      <c r="B18" s="315"/>
      <c r="C18" s="315"/>
      <c r="D18" s="315"/>
      <c r="E18" s="315"/>
      <c r="F18" s="316"/>
      <c r="G18" s="458"/>
      <c r="H18" s="296" t="s">
        <v>306</v>
      </c>
      <c r="I18" s="297">
        <v>167000</v>
      </c>
      <c r="J18" s="297">
        <v>105000</v>
      </c>
      <c r="K18" s="299">
        <f t="shared" si="1"/>
        <v>-62000</v>
      </c>
      <c r="L18" s="302" t="s">
        <v>435</v>
      </c>
    </row>
    <row r="19" spans="1:12" ht="27" customHeight="1">
      <c r="A19" s="317"/>
      <c r="B19" s="317"/>
      <c r="C19" s="317"/>
      <c r="D19" s="317"/>
      <c r="E19" s="317"/>
      <c r="F19" s="318"/>
      <c r="G19" s="459"/>
      <c r="H19" s="296" t="s">
        <v>307</v>
      </c>
      <c r="I19" s="297">
        <v>6885000</v>
      </c>
      <c r="J19" s="297">
        <v>6368000</v>
      </c>
      <c r="K19" s="299">
        <f>J19-I19</f>
        <v>-517000</v>
      </c>
      <c r="L19" s="302" t="s">
        <v>393</v>
      </c>
    </row>
    <row r="20" spans="1:12" ht="30" customHeight="1" thickBot="1">
      <c r="A20" s="317"/>
      <c r="B20" s="317"/>
      <c r="C20" s="317"/>
      <c r="D20" s="317"/>
      <c r="E20" s="317"/>
      <c r="F20" s="318"/>
      <c r="G20" s="306" t="s">
        <v>295</v>
      </c>
      <c r="H20" s="307" t="s">
        <v>308</v>
      </c>
      <c r="I20" s="305">
        <v>7250</v>
      </c>
      <c r="J20" s="305">
        <v>6726</v>
      </c>
      <c r="K20" s="308">
        <f t="shared" si="1"/>
        <v>-524</v>
      </c>
      <c r="L20" s="379"/>
    </row>
    <row r="21" spans="1:12" ht="34.5" customHeight="1">
      <c r="A21" s="317"/>
      <c r="B21" s="317"/>
      <c r="C21" s="317"/>
      <c r="D21" s="317"/>
      <c r="E21" s="317"/>
      <c r="F21" s="317"/>
      <c r="G21" s="315"/>
    </row>
    <row r="22" spans="1:12" ht="29.25" customHeight="1">
      <c r="A22" s="317"/>
      <c r="B22" s="317"/>
      <c r="C22" s="317"/>
      <c r="D22" s="317"/>
      <c r="E22" s="317"/>
      <c r="F22" s="317"/>
      <c r="G22" s="317"/>
    </row>
  </sheetData>
  <mergeCells count="26"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K4:K5"/>
    <mergeCell ref="L4:L5"/>
    <mergeCell ref="F13:F15"/>
    <mergeCell ref="A13:A15"/>
    <mergeCell ref="B13:B15"/>
    <mergeCell ref="A6:B6"/>
    <mergeCell ref="G6:H6"/>
    <mergeCell ref="G7:G10"/>
    <mergeCell ref="G11:G13"/>
    <mergeCell ref="A8:A9"/>
    <mergeCell ref="A10:A11"/>
    <mergeCell ref="C13:C15"/>
    <mergeCell ref="D13:D15"/>
    <mergeCell ref="E13:E15"/>
    <mergeCell ref="G14:G19"/>
    <mergeCell ref="A16:A1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세입세출총괄표</vt:lpstr>
      <vt:lpstr>세입</vt:lpstr>
      <vt:lpstr>세출</vt:lpstr>
      <vt:lpstr>증감사유</vt:lpstr>
      <vt:lpstr>세출!명절휴가비</vt:lpstr>
      <vt:lpstr>세출!연장근로수당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End User</cp:lastModifiedBy>
  <cp:revision>65</cp:revision>
  <cp:lastPrinted>2014-07-11T04:48:03Z</cp:lastPrinted>
  <dcterms:created xsi:type="dcterms:W3CDTF">2003-12-18T04:11:57Z</dcterms:created>
  <dcterms:modified xsi:type="dcterms:W3CDTF">2014-11-05T09:00:50Z</dcterms:modified>
</cp:coreProperties>
</file>