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70" yWindow="180" windowWidth="9540" windowHeight="11640" tabRatio="487" activeTab="2"/>
  </bookViews>
  <sheets>
    <sheet name="세입세출총괄표" sheetId="16" r:id="rId1"/>
    <sheet name="세입" sheetId="4" r:id="rId2"/>
    <sheet name="세출" sheetId="5" r:id="rId3"/>
    <sheet name="증감사유" sheetId="18" r:id="rId4"/>
  </sheets>
  <definedNames>
    <definedName name="_xlnm.Print_Area" localSheetId="1">세입!$A$1:$AC$38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세출!$AC$11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세출!$AC$18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C48" i="5"/>
  <c r="AC6"/>
  <c r="K8" i="18"/>
  <c r="F74" i="5"/>
  <c r="I91"/>
  <c r="H82"/>
  <c r="H85"/>
  <c r="AB9" i="4"/>
  <c r="G9"/>
  <c r="K34"/>
  <c r="J34"/>
  <c r="H34"/>
  <c r="G34"/>
  <c r="F34"/>
  <c r="E34"/>
  <c r="AB34"/>
  <c r="D7"/>
  <c r="J14"/>
  <c r="I14"/>
  <c r="H14"/>
  <c r="F14"/>
  <c r="F9"/>
  <c r="G14"/>
  <c r="E14" l="1"/>
  <c r="K14" s="1"/>
  <c r="L14" s="1"/>
  <c r="AB14"/>
  <c r="AB8"/>
  <c r="C6" i="18" l="1"/>
  <c r="D6"/>
  <c r="E9"/>
  <c r="E8"/>
  <c r="E10"/>
  <c r="E11"/>
  <c r="E12"/>
  <c r="E13"/>
  <c r="E16"/>
  <c r="E7"/>
  <c r="AC108" i="5"/>
  <c r="G36"/>
  <c r="J36"/>
  <c r="I36"/>
  <c r="H36"/>
  <c r="F36"/>
  <c r="D34" i="4" l="1"/>
  <c r="D4" s="1"/>
  <c r="K19" i="18"/>
  <c r="K17"/>
  <c r="K16"/>
  <c r="K15"/>
  <c r="K14"/>
  <c r="K13"/>
  <c r="K12"/>
  <c r="K10"/>
  <c r="K9"/>
  <c r="K7"/>
  <c r="G85" i="5" l="1"/>
  <c r="F85"/>
  <c r="E85" s="1"/>
  <c r="F82"/>
  <c r="G82"/>
  <c r="G78" s="1"/>
  <c r="G77" s="1"/>
  <c r="AC61"/>
  <c r="AC60"/>
  <c r="H57" l="1"/>
  <c r="AC133"/>
  <c r="AC118"/>
  <c r="AC115"/>
  <c r="AC116"/>
  <c r="H78"/>
  <c r="H77" s="1"/>
  <c r="AC69"/>
  <c r="H52"/>
  <c r="F96"/>
  <c r="F52"/>
  <c r="AC16"/>
  <c r="I28" i="4"/>
  <c r="AB28"/>
  <c r="I25"/>
  <c r="E25" s="1"/>
  <c r="K25" s="1"/>
  <c r="L25" s="1"/>
  <c r="K20" i="18"/>
  <c r="K18"/>
  <c r="K11"/>
  <c r="J6"/>
  <c r="I6"/>
  <c r="E6"/>
  <c r="G12" i="16"/>
  <c r="G9"/>
  <c r="G10"/>
  <c r="G11"/>
  <c r="G13"/>
  <c r="G14"/>
  <c r="G15"/>
  <c r="G16"/>
  <c r="G8"/>
  <c r="G7" s="1"/>
  <c r="F7"/>
  <c r="E7"/>
  <c r="AB22" i="4"/>
  <c r="AB6"/>
  <c r="AC92" i="5"/>
  <c r="F91" s="1"/>
  <c r="I5"/>
  <c r="I90"/>
  <c r="I89" s="1"/>
  <c r="AB25" i="4"/>
  <c r="E82" i="5"/>
  <c r="F79"/>
  <c r="F78" s="1"/>
  <c r="F77" s="1"/>
  <c r="AC40"/>
  <c r="F40" s="1"/>
  <c r="D8" i="4"/>
  <c r="E35"/>
  <c r="E37"/>
  <c r="K6" i="18" l="1"/>
  <c r="I4" i="4"/>
  <c r="E78" i="5"/>
  <c r="E77" s="1"/>
  <c r="L23" i="16"/>
  <c r="L22"/>
  <c r="L21"/>
  <c r="L20"/>
  <c r="L19"/>
  <c r="L18"/>
  <c r="L17"/>
  <c r="L16"/>
  <c r="L15"/>
  <c r="L14"/>
  <c r="L13"/>
  <c r="L12"/>
  <c r="L11"/>
  <c r="L10"/>
  <c r="L9"/>
  <c r="L8"/>
  <c r="K7"/>
  <c r="J7"/>
  <c r="L7" l="1"/>
  <c r="Q19" i="5"/>
  <c r="AC52"/>
  <c r="H103"/>
  <c r="AC59"/>
  <c r="H96"/>
  <c r="AC130"/>
  <c r="I111" s="1"/>
  <c r="AC120"/>
  <c r="AC121"/>
  <c r="E96"/>
  <c r="AC46"/>
  <c r="Q20"/>
  <c r="N20"/>
  <c r="N19"/>
  <c r="N13"/>
  <c r="N12"/>
  <c r="Q13"/>
  <c r="AC13" s="1"/>
  <c r="D48"/>
  <c r="D6"/>
  <c r="AC36"/>
  <c r="I110" l="1"/>
  <c r="I4" s="1"/>
  <c r="F45"/>
  <c r="E45" s="1"/>
  <c r="K45" s="1"/>
  <c r="AC15"/>
  <c r="E36"/>
  <c r="K36" s="1"/>
  <c r="K96"/>
  <c r="AC140"/>
  <c r="F107"/>
  <c r="E107" s="1"/>
  <c r="AC93"/>
  <c r="H91" s="1"/>
  <c r="AC58"/>
  <c r="AC57" s="1"/>
  <c r="D78"/>
  <c r="D77" s="1"/>
  <c r="AC19"/>
  <c r="D110"/>
  <c r="D90"/>
  <c r="D39"/>
  <c r="D5" s="1"/>
  <c r="H28" i="4"/>
  <c r="G90" i="5"/>
  <c r="J90"/>
  <c r="J78"/>
  <c r="J77" s="1"/>
  <c r="G48"/>
  <c r="J48"/>
  <c r="G39"/>
  <c r="H6"/>
  <c r="AC134"/>
  <c r="AC132" s="1"/>
  <c r="AC128"/>
  <c r="AC127"/>
  <c r="AC124"/>
  <c r="AC119"/>
  <c r="AC117"/>
  <c r="AC114"/>
  <c r="AC101"/>
  <c r="H100" s="1"/>
  <c r="AC74"/>
  <c r="AC72"/>
  <c r="AC66"/>
  <c r="AC67"/>
  <c r="AC68"/>
  <c r="AC65"/>
  <c r="AC64"/>
  <c r="AC49"/>
  <c r="AC45"/>
  <c r="F63" l="1"/>
  <c r="H63" s="1"/>
  <c r="H111"/>
  <c r="E91"/>
  <c r="H90"/>
  <c r="F57"/>
  <c r="F48" s="1"/>
  <c r="AC113"/>
  <c r="H48"/>
  <c r="H5" s="1"/>
  <c r="F39"/>
  <c r="AC91"/>
  <c r="AC126"/>
  <c r="D89"/>
  <c r="AC23"/>
  <c r="AC20"/>
  <c r="AC18" s="1"/>
  <c r="Q27" s="1"/>
  <c r="AC27" s="1"/>
  <c r="J25" s="1"/>
  <c r="AC12"/>
  <c r="AC9"/>
  <c r="AC8"/>
  <c r="H110" l="1"/>
  <c r="E111"/>
  <c r="AC7"/>
  <c r="AC22"/>
  <c r="G10" s="1"/>
  <c r="G6" s="1"/>
  <c r="G5" s="1"/>
  <c r="AC11"/>
  <c r="F10" s="1"/>
  <c r="Q26" l="1"/>
  <c r="AC26" s="1"/>
  <c r="F25" s="1"/>
  <c r="F7"/>
  <c r="E7" s="1"/>
  <c r="AC10"/>
  <c r="F28" i="4"/>
  <c r="AB21"/>
  <c r="Q23" s="1"/>
  <c r="AB23" s="1"/>
  <c r="E28" l="1"/>
  <c r="K28" s="1"/>
  <c r="L28" s="1"/>
  <c r="F4"/>
  <c r="Q33" i="5"/>
  <c r="AC33" s="1"/>
  <c r="Q31"/>
  <c r="AC31" s="1"/>
  <c r="Q32" s="1"/>
  <c r="AC32" s="1"/>
  <c r="Q34"/>
  <c r="AC34" s="1"/>
  <c r="Q30"/>
  <c r="AC30" s="1"/>
  <c r="AB20" i="4"/>
  <c r="J20" s="1"/>
  <c r="H8"/>
  <c r="H7" s="1"/>
  <c r="J8"/>
  <c r="J7" s="1"/>
  <c r="AC123" i="5"/>
  <c r="H139"/>
  <c r="J139"/>
  <c r="G139"/>
  <c r="F140"/>
  <c r="F139" s="1"/>
  <c r="D139"/>
  <c r="D4" s="1"/>
  <c r="G110"/>
  <c r="G89" s="1"/>
  <c r="J110"/>
  <c r="J89" s="1"/>
  <c r="AC96"/>
  <c r="AC82"/>
  <c r="L79"/>
  <c r="AC79"/>
  <c r="K79" s="1"/>
  <c r="AC71"/>
  <c r="J39"/>
  <c r="G4" l="1"/>
  <c r="AC29"/>
  <c r="G8" i="4"/>
  <c r="G7" s="1"/>
  <c r="E9"/>
  <c r="E8" s="1"/>
  <c r="E7" s="1"/>
  <c r="AC107" i="5"/>
  <c r="AC85"/>
  <c r="AC78" s="1"/>
  <c r="E57"/>
  <c r="AB7" i="4" l="1"/>
  <c r="AC111" i="5"/>
  <c r="AC110" s="1"/>
  <c r="F110" l="1"/>
  <c r="AC100"/>
  <c r="E100" s="1"/>
  <c r="G4" i="4" l="1"/>
  <c r="K111" i="5" l="1"/>
  <c r="L111" s="1"/>
  <c r="H89"/>
  <c r="H4" s="1"/>
  <c r="K35" i="4"/>
  <c r="L35" s="1"/>
  <c r="AB5"/>
  <c r="H5" s="1"/>
  <c r="E110" i="5" l="1"/>
  <c r="E5" i="4"/>
  <c r="K7" i="5"/>
  <c r="H4" i="4" l="1"/>
  <c r="K5"/>
  <c r="L5" s="1"/>
  <c r="J10" i="5"/>
  <c r="E10" s="1"/>
  <c r="J6" l="1"/>
  <c r="J5" s="1"/>
  <c r="J4" s="1"/>
  <c r="AC25" l="1"/>
  <c r="E25"/>
  <c r="AC139"/>
  <c r="AC104"/>
  <c r="AC103" l="1"/>
  <c r="F103"/>
  <c r="E103" s="1"/>
  <c r="AC63"/>
  <c r="E63" s="1"/>
  <c r="K63" s="1"/>
  <c r="L63" s="1"/>
  <c r="AC39"/>
  <c r="AB37" i="4"/>
  <c r="AB4" s="1"/>
  <c r="L7" i="5"/>
  <c r="E40"/>
  <c r="E49"/>
  <c r="L96"/>
  <c r="E140"/>
  <c r="L45"/>
  <c r="K103" l="1"/>
  <c r="L103" s="1"/>
  <c r="K25"/>
  <c r="L25" s="1"/>
  <c r="K49"/>
  <c r="L49" s="1"/>
  <c r="K100"/>
  <c r="L100" s="1"/>
  <c r="K85"/>
  <c r="L85" s="1"/>
  <c r="AC77"/>
  <c r="E74"/>
  <c r="K74" s="1"/>
  <c r="L74" s="1"/>
  <c r="E71"/>
  <c r="K71" s="1"/>
  <c r="L71" s="1"/>
  <c r="K40"/>
  <c r="L40" s="1"/>
  <c r="K107"/>
  <c r="L107" s="1"/>
  <c r="K140"/>
  <c r="L140" s="1"/>
  <c r="E139"/>
  <c r="K139" s="1"/>
  <c r="L139" s="1"/>
  <c r="K110"/>
  <c r="L110" s="1"/>
  <c r="E43"/>
  <c r="K43" s="1"/>
  <c r="L43" s="1"/>
  <c r="E39" l="1"/>
  <c r="K39" s="1"/>
  <c r="L39" s="1"/>
  <c r="K57"/>
  <c r="L57" s="1"/>
  <c r="E20" i="4"/>
  <c r="K20" s="1"/>
  <c r="L20" s="1"/>
  <c r="K77" i="5"/>
  <c r="L77" s="1"/>
  <c r="K37" i="4"/>
  <c r="L37" s="1"/>
  <c r="K10" i="5"/>
  <c r="L10" s="1"/>
  <c r="E52"/>
  <c r="E48" s="1"/>
  <c r="J4" i="4" l="1"/>
  <c r="E4" s="1"/>
  <c r="K52" i="5"/>
  <c r="L52" s="1"/>
  <c r="K48"/>
  <c r="L48" s="1"/>
  <c r="L34" i="4"/>
  <c r="F8" l="1"/>
  <c r="F7" s="1"/>
  <c r="K4" s="1"/>
  <c r="L4" s="1"/>
  <c r="K9" l="1"/>
  <c r="L9" s="1"/>
  <c r="K8"/>
  <c r="L8" s="1"/>
  <c r="K7" l="1"/>
  <c r="L7" s="1"/>
  <c r="K78" i="5"/>
  <c r="L78" s="1"/>
  <c r="K82"/>
  <c r="L82" s="1"/>
  <c r="AC90"/>
  <c r="AC89" l="1"/>
  <c r="K91"/>
  <c r="L91" s="1"/>
  <c r="E90"/>
  <c r="E89" s="1"/>
  <c r="F90"/>
  <c r="F89" s="1"/>
  <c r="K90" l="1"/>
  <c r="L90" l="1"/>
  <c r="K89"/>
  <c r="L89" s="1"/>
  <c r="F29"/>
  <c r="AC5" l="1"/>
  <c r="AC4" s="1"/>
  <c r="F6"/>
  <c r="F5" s="1"/>
  <c r="F4" s="1"/>
  <c r="E29"/>
  <c r="E4" l="1"/>
  <c r="K4" s="1"/>
  <c r="L4" s="1"/>
  <c r="E6"/>
  <c r="K29"/>
  <c r="L29" s="1"/>
  <c r="K6" l="1"/>
  <c r="L6" s="1"/>
  <c r="E5"/>
  <c r="K5" s="1"/>
  <c r="L5" s="1"/>
</calcChain>
</file>

<file path=xl/sharedStrings.xml><?xml version="1.0" encoding="utf-8"?>
<sst xmlns="http://schemas.openxmlformats.org/spreadsheetml/2006/main" count="825" uniqueCount="402">
  <si>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</si>
  <si>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</si>
  <si>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</si>
  <si>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</si>
  <si>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</si>
  <si>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</si>
  <si>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</si>
  <si>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</si>
  <si>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</si>
  <si>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</si>
  <si>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</si>
  <si>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</si>
  <si>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</si>
  <si>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</si>
  <si>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</si>
  <si>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</si>
  <si>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</si>
  <si>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</si>
  <si>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</si>
  <si>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</si>
  <si>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</si>
  <si>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</si>
  <si>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</si>
  <si>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</si>
  <si>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</si>
  <si>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</si>
  <si>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</si>
  <si>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</si>
  <si>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</si>
  <si>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</si>
  <si>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</si>
  <si>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</si>
  <si>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</si>
  <si>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</si>
  <si>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</si>
  <si>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</si>
  <si>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</si>
  <si>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</si>
  <si>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</si>
  <si>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</si>
  <si>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</si>
  <si>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</si>
  <si>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</si>
  <si>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</si>
  <si>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</si>
  <si>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</si>
  <si>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</si>
  <si>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</si>
  <si>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</si>
  <si>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</si>
  <si>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</si>
  <si>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</si>
  <si>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</si>
  <si>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</si>
  <si>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</si>
  <si>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</si>
  <si>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</si>
  <si>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</si>
  <si>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</si>
  <si>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</si>
  <si>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</si>
  <si>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</si>
  <si>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</si>
  <si>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</si>
  <si>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합  계 :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</si>
  <si>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</si>
  <si>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</si>
  <si>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</si>
  <si>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</si>
  <si>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계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</si>
  <si>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</si>
  <si>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</si>
  <si>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</si>
  <si>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</si>
  <si>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</si>
  <si>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</si>
  <si>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</si>
  <si>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</si>
  <si>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</si>
  <si>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</si>
  <si>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</si>
  <si>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</si>
  <si>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※ 예금이자수입</t>
    <phoneticPr fontId="5" type="noConversion"/>
  </si>
  <si>
    <t>원</t>
    <phoneticPr fontId="5" type="noConversion"/>
  </si>
  <si>
    <t>※기본급</t>
    <phoneticPr fontId="5" type="noConversion"/>
  </si>
  <si>
    <t>원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</si>
  <si>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</si>
  <si>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</si>
  <si>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</si>
  <si>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</si>
  <si>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</si>
  <si>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</si>
  <si>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</si>
  <si>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</si>
  <si>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</si>
  <si>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월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</si>
  <si>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</si>
  <si>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</si>
  <si>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</si>
  <si>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</si>
  <si>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</si>
  <si>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</si>
  <si>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</si>
  <si>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</si>
  <si>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</si>
  <si>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</si>
  <si>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</si>
  <si>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</si>
  <si>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</si>
  <si>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</si>
  <si>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</si>
  <si>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입소</t>
    <phoneticPr fontId="5" type="noConversion"/>
  </si>
  <si>
    <t>2.주부식비(보충액)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</si>
  <si>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</si>
  <si>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</si>
  <si>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</si>
  <si>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</si>
  <si>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</si>
  <si>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 xml:space="preserve">총  계 : 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</si>
  <si>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</si>
  <si>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</si>
  <si>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</si>
  <si>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기타</t>
    <phoneticPr fontId="5" type="noConversion"/>
  </si>
  <si>
    <t>예금</t>
    <phoneticPr fontId="5" type="noConversion"/>
  </si>
  <si>
    <t>이자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</si>
  <si>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</si>
  <si>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</si>
  <si>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</si>
  <si>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</si>
  <si>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</si>
  <si>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</si>
  <si>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</si>
  <si>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</si>
  <si>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</si>
  <si>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</si>
  <si>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</si>
  <si>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</si>
  <si>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</si>
  <si>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</si>
  <si>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</si>
  <si>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</si>
  <si>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</si>
  <si>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</si>
  <si>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</si>
  <si>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</si>
  <si>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</si>
  <si>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</si>
  <si>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</si>
  <si>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</si>
  <si>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</si>
  <si>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</si>
  <si>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</si>
  <si>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</si>
  <si>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</si>
  <si>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</si>
  <si>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</si>
  <si>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</si>
  <si>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</si>
  <si>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</si>
  <si>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</si>
  <si>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</si>
  <si>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보조금</t>
    <phoneticPr fontId="5" type="noConversion"/>
  </si>
  <si>
    <t>원</t>
    <phoneticPr fontId="5" type="noConversion"/>
  </si>
  <si>
    <t>원</t>
    <phoneticPr fontId="5" type="noConversion"/>
  </si>
  <si>
    <t>* 연장근로수당</t>
    <phoneticPr fontId="5" type="noConversion"/>
  </si>
  <si>
    <t>×</t>
    <phoneticPr fontId="5" type="noConversion"/>
  </si>
  <si>
    <t>÷</t>
    <phoneticPr fontId="5" type="noConversion"/>
  </si>
  <si>
    <t>=</t>
    <phoneticPr fontId="5" type="noConversion"/>
  </si>
  <si>
    <t>원</t>
    <phoneticPr fontId="5" type="noConversion"/>
  </si>
  <si>
    <t>2. 입소비용</t>
    <phoneticPr fontId="5" type="noConversion"/>
  </si>
  <si>
    <t>3. 법인전입금</t>
    <phoneticPr fontId="5" type="noConversion"/>
  </si>
  <si>
    <t>1. 보조금 이월금(예금이자)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</si>
  <si>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</si>
  <si>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</si>
  <si>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</si>
  <si>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</si>
  <si>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</si>
  <si>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</si>
  <si>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</si>
  <si>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1.명절휴가비(보조금)</t>
    <phoneticPr fontId="5" type="noConversion"/>
  </si>
  <si>
    <t>* 건강보험부담금</t>
    <phoneticPr fontId="5" type="noConversion"/>
  </si>
  <si>
    <t>* 고용보험부담금</t>
    <phoneticPr fontId="5" type="noConversion"/>
  </si>
  <si>
    <t>* 국민연금부담금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</si>
  <si>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</si>
  <si>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</si>
  <si>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</si>
  <si>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</si>
  <si>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월</t>
    <phoneticPr fontId="5" type="noConversion"/>
  </si>
  <si>
    <t>원</t>
    <phoneticPr fontId="5" type="noConversion"/>
  </si>
  <si>
    <t>1. 화재보험료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</si>
  <si>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</si>
  <si>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</si>
  <si>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</si>
  <si>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</si>
  <si>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* 차량유류대</t>
    <phoneticPr fontId="5" type="noConversion"/>
  </si>
  <si>
    <t>* 직원 외부교육비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</si>
  <si>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</si>
  <si>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</si>
  <si>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</si>
  <si>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</si>
  <si>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</si>
  <si>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</si>
  <si>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</si>
  <si>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</si>
  <si>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 찜질방 이용</t>
    <phoneticPr fontId="5" type="noConversion"/>
  </si>
  <si>
    <t>B. 정서안정지원 프로그램</t>
    <phoneticPr fontId="5" type="noConversion"/>
  </si>
  <si>
    <t>1. 생일축하 파티(선물 및 케익 등)</t>
    <phoneticPr fontId="5" type="noConversion"/>
  </si>
  <si>
    <t>E. 계절별 프로그램</t>
    <phoneticPr fontId="5" type="noConversion"/>
  </si>
  <si>
    <t>1. 여름캠프</t>
    <phoneticPr fontId="5" type="noConversion"/>
  </si>
  <si>
    <t>2. 등산</t>
    <phoneticPr fontId="5" type="noConversion"/>
  </si>
  <si>
    <t>3. 원가정 테마여행</t>
    <phoneticPr fontId="5" type="noConversion"/>
  </si>
  <si>
    <t>회</t>
    <phoneticPr fontId="5" type="noConversion"/>
  </si>
  <si>
    <t>F. 기타 프로그램 지원사업</t>
    <phoneticPr fontId="5" type="noConversion"/>
  </si>
  <si>
    <t>1.보조금 예금이자 이월금</t>
    <phoneticPr fontId="5" type="noConversion"/>
  </si>
  <si>
    <t>3. 김장비용</t>
    <phoneticPr fontId="5" type="noConversion"/>
  </si>
  <si>
    <t>원</t>
    <phoneticPr fontId="5" type="noConversion"/>
  </si>
  <si>
    <t>원</t>
    <phoneticPr fontId="5" type="noConversion"/>
  </si>
  <si>
    <t>세입총계</t>
    <phoneticPr fontId="5" type="noConversion"/>
  </si>
  <si>
    <t>=</t>
    <phoneticPr fontId="5" type="noConversion"/>
  </si>
  <si>
    <t>* 퇴직적립금</t>
    <phoneticPr fontId="5" type="noConversion"/>
  </si>
  <si>
    <t>7호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</si>
  <si>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</si>
  <si>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</si>
  <si>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</si>
  <si>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</si>
  <si>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</si>
  <si>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</si>
  <si>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2. 가족수당(보조금)</t>
    <phoneticPr fontId="5" type="noConversion"/>
  </si>
  <si>
    <t>3.연장근로수당(법인)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</si>
  <si>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</si>
  <si>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</si>
  <si>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* 추석 명절휴가비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</si>
  <si>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</si>
  <si>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</si>
  <si>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</si>
  <si>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</si>
  <si>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* 퇴직적립금(자부담)</t>
    <phoneticPr fontId="5" type="noConversion"/>
  </si>
  <si>
    <t>* 일상생활용품</t>
    <phoneticPr fontId="5" type="noConversion"/>
  </si>
  <si>
    <t>A. 지역사회이용 프로그램</t>
    <phoneticPr fontId="5" type="noConversion"/>
  </si>
  <si>
    <t>4. 가을여행</t>
    <phoneticPr fontId="5" type="noConversion"/>
  </si>
  <si>
    <t>회</t>
    <phoneticPr fontId="5" type="noConversion"/>
  </si>
  <si>
    <t>=</t>
    <phoneticPr fontId="5" type="noConversion"/>
  </si>
  <si>
    <t>2. 주방용품 구입 및 소규모수선비</t>
    <phoneticPr fontId="5" type="noConversion"/>
  </si>
  <si>
    <t>3.기타 수용비 및 수수료</t>
    <phoneticPr fontId="5" type="noConversion"/>
  </si>
  <si>
    <t>□ 세 입 · 세 출 총  괄  표</t>
    <phoneticPr fontId="26" type="noConversion"/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</si>
  <si>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</si>
  <si>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</si>
  <si>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</si>
  <si>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</si>
  <si>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</si>
  <si>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</si>
  <si>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</si>
  <si>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</si>
  <si>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사무비</t>
    <phoneticPr fontId="5" type="noConversion"/>
  </si>
  <si>
    <t>인      건      비</t>
    <phoneticPr fontId="26" type="noConversion"/>
  </si>
  <si>
    <t>보조금  수입</t>
    <phoneticPr fontId="26" type="noConversion"/>
  </si>
  <si>
    <t>경상보조금수입</t>
    <phoneticPr fontId="26" type="noConversion"/>
  </si>
  <si>
    <t>기타후생경비</t>
    <phoneticPr fontId="5" type="noConversion"/>
  </si>
  <si>
    <t>자본보조금수입</t>
    <phoneticPr fontId="26" type="noConversion"/>
  </si>
  <si>
    <t>업 무   추 진 비</t>
    <phoneticPr fontId="26" type="noConversion"/>
  </si>
  <si>
    <t>기타보조금수입</t>
    <phoneticPr fontId="26" type="noConversion"/>
  </si>
  <si>
    <t>운      영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</si>
  <si>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</si>
  <si>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</si>
  <si>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재산조성비</t>
    <phoneticPr fontId="26" type="noConversion"/>
  </si>
  <si>
    <t>시      설      비</t>
    <phoneticPr fontId="26" type="noConversion"/>
  </si>
  <si>
    <t>비지정   후원금</t>
    <phoneticPr fontId="26" type="noConversion"/>
  </si>
  <si>
    <t>자 산   취 득 비</t>
    <phoneticPr fontId="26" type="noConversion"/>
  </si>
  <si>
    <t>전    입    금</t>
    <phoneticPr fontId="26" type="noConversion"/>
  </si>
  <si>
    <t>법인      전입금</t>
    <phoneticPr fontId="26" type="noConversion"/>
  </si>
  <si>
    <t>시설장비유지비</t>
    <phoneticPr fontId="26" type="noConversion"/>
  </si>
  <si>
    <t>이    월    금</t>
    <phoneticPr fontId="26" type="noConversion"/>
  </si>
  <si>
    <t>전년도   이월금</t>
    <phoneticPr fontId="26" type="noConversion"/>
  </si>
  <si>
    <t>사   업   비</t>
    <phoneticPr fontId="26" type="noConversion"/>
  </si>
  <si>
    <t>생      계      비</t>
    <phoneticPr fontId="26" type="noConversion"/>
  </si>
  <si>
    <t>잡    수    입</t>
    <phoneticPr fontId="26" type="noConversion"/>
  </si>
  <si>
    <t>잡      수      입</t>
    <phoneticPr fontId="26" type="noConversion"/>
  </si>
  <si>
    <t>수용기관   경비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</si>
  <si>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</si>
  <si>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</si>
  <si>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</si>
  <si>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</si>
  <si>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</si>
  <si>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</si>
  <si>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</si>
  <si>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</si>
  <si>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</si>
  <si>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</si>
  <si>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2013년
본 예산</t>
    <phoneticPr fontId="26" type="noConversion"/>
  </si>
  <si>
    <t>* 종사자교육비용</t>
    <phoneticPr fontId="5" type="noConversion"/>
  </si>
  <si>
    <t>원</t>
    <phoneticPr fontId="5" type="noConversion"/>
  </si>
  <si>
    <t>* 욕실 파티션</t>
    <phoneticPr fontId="5" type="noConversion"/>
  </si>
  <si>
    <t>※ 후원금</t>
    <phoneticPr fontId="5" type="noConversion"/>
  </si>
  <si>
    <t>※ 전년도 이월금</t>
    <phoneticPr fontId="5" type="noConversion"/>
  </si>
  <si>
    <t>* 비지정 후원금</t>
    <phoneticPr fontId="5" type="noConversion"/>
  </si>
  <si>
    <t>후원금</t>
    <phoneticPr fontId="5" type="noConversion"/>
  </si>
  <si>
    <t>비지정</t>
    <phoneticPr fontId="5" type="noConversion"/>
  </si>
  <si>
    <t>프로그램비 삭감</t>
    <phoneticPr fontId="5" type="noConversion"/>
  </si>
  <si>
    <t>재산        조성비</t>
    <phoneticPr fontId="26" type="noConversion"/>
  </si>
  <si>
    <t>사 무 비</t>
    <phoneticPr fontId="26" type="noConversion"/>
  </si>
  <si>
    <t>사 업 비</t>
    <phoneticPr fontId="26" type="noConversion"/>
  </si>
  <si>
    <t>보조금     반환</t>
    <phoneticPr fontId="26" type="noConversion"/>
  </si>
  <si>
    <t>인 건 비</t>
    <phoneticPr fontId="26" type="noConversion"/>
  </si>
  <si>
    <t>업 무              추 진 비</t>
    <phoneticPr fontId="26" type="noConversion"/>
  </si>
  <si>
    <t>운 영 비</t>
    <phoneticPr fontId="26" type="noConversion"/>
  </si>
  <si>
    <t>시 설 비</t>
    <phoneticPr fontId="26" type="noConversion"/>
  </si>
  <si>
    <t>시설장비         유지비</t>
    <phoneticPr fontId="26" type="noConversion"/>
  </si>
  <si>
    <t>자 산              취 득 비</t>
    <phoneticPr fontId="26" type="noConversion"/>
  </si>
  <si>
    <t>생 계 비</t>
    <phoneticPr fontId="26" type="noConversion"/>
  </si>
  <si>
    <t>수용기관         경비</t>
    <phoneticPr fontId="26" type="noConversion"/>
  </si>
  <si>
    <t>피 복 비</t>
    <phoneticPr fontId="26" type="noConversion"/>
  </si>
  <si>
    <t>의 료 비</t>
    <phoneticPr fontId="26" type="noConversion"/>
  </si>
  <si>
    <t>연 료 비</t>
    <phoneticPr fontId="26" type="noConversion"/>
  </si>
  <si>
    <t>프로그램         사업비</t>
    <phoneticPr fontId="26" type="noConversion"/>
  </si>
  <si>
    <t>보조금            반납금</t>
    <phoneticPr fontId="26" type="noConversion"/>
  </si>
  <si>
    <t>입소비용     수입</t>
    <phoneticPr fontId="26" type="noConversion"/>
  </si>
  <si>
    <t>잡  수  입</t>
    <phoneticPr fontId="26" type="noConversion"/>
  </si>
  <si>
    <t>전 입 금</t>
    <phoneticPr fontId="26" type="noConversion"/>
  </si>
  <si>
    <t>이 월 금</t>
    <phoneticPr fontId="26" type="noConversion"/>
  </si>
  <si>
    <t>잡 수 입</t>
    <phoneticPr fontId="26" type="noConversion"/>
  </si>
  <si>
    <t>2013년
1차추가경정 예산</t>
    <phoneticPr fontId="26" type="noConversion"/>
  </si>
  <si>
    <t>4. 후원금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</si>
  <si>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</si>
  <si>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6. 신용보증보험</t>
    <phoneticPr fontId="5" type="noConversion"/>
  </si>
  <si>
    <t>2. 찜질방 이용</t>
  </si>
  <si>
    <t>3. 지역사회 미용실 이용</t>
    <phoneticPr fontId="5" type="noConversion"/>
  </si>
  <si>
    <t>4. 지역사회 미용실 이용</t>
    <phoneticPr fontId="5" type="noConversion"/>
  </si>
  <si>
    <t>5. 지역사회 식당 이용 외식</t>
    <phoneticPr fontId="5" type="noConversion"/>
  </si>
  <si>
    <t>6. 영화관람</t>
    <phoneticPr fontId="5" type="noConversion"/>
  </si>
  <si>
    <t>7. 스포츠관람</t>
    <phoneticPr fontId="5" type="noConversion"/>
  </si>
  <si>
    <t>4. 지역사회 식당 이용 외식</t>
  </si>
  <si>
    <t>1. 헬스</t>
    <phoneticPr fontId="5" type="noConversion"/>
  </si>
  <si>
    <t>2. 헬스</t>
    <phoneticPr fontId="5" type="noConversion"/>
  </si>
  <si>
    <t>3. 바다의별 사회적응 훈련(A)</t>
    <phoneticPr fontId="5" type="noConversion"/>
  </si>
  <si>
    <t>* 2013년 시도보조금</t>
    <phoneticPr fontId="5" type="noConversion"/>
  </si>
  <si>
    <t>* 2013년 시군구보조금</t>
    <phoneticPr fontId="5" type="noConversion"/>
  </si>
  <si>
    <t>* 환경개선사업비(7종)시군구</t>
    <phoneticPr fontId="5" type="noConversion"/>
  </si>
  <si>
    <t>* 환경개선사업비(7종)시도</t>
    <phoneticPr fontId="5" type="noConversion"/>
  </si>
  <si>
    <t>* 종사자근무수당(시군구)</t>
    <phoneticPr fontId="5" type="noConversion"/>
  </si>
  <si>
    <t>* 종사자근무수당(시도)</t>
    <phoneticPr fontId="5" type="noConversion"/>
  </si>
  <si>
    <t>이월금</t>
    <phoneticPr fontId="5" type="noConversion"/>
  </si>
  <si>
    <t>1. 전화료 인터넷 요금(보조)</t>
    <phoneticPr fontId="5" type="noConversion"/>
  </si>
  <si>
    <t>2. 아파트관리비(보조)</t>
    <phoneticPr fontId="5" type="noConversion"/>
  </si>
  <si>
    <t>3. 전화료 인터넷 요금(입소)</t>
    <phoneticPr fontId="5" type="noConversion"/>
  </si>
  <si>
    <t>4. 아파트관리비(입소)</t>
    <phoneticPr fontId="5" type="noConversion"/>
  </si>
  <si>
    <t xml:space="preserve">* 적산열량계교체비용(보조) </t>
    <phoneticPr fontId="5" type="noConversion"/>
  </si>
  <si>
    <t>* 환경개선 수선비 등(7종)</t>
    <phoneticPr fontId="5" type="noConversion"/>
  </si>
  <si>
    <t>2013년
2차추가경정 예산</t>
    <phoneticPr fontId="26" type="noConversion"/>
  </si>
  <si>
    <t>2013년
2차추가경정   예산</t>
    <phoneticPr fontId="26" type="noConversion"/>
  </si>
  <si>
    <t>공공요금   증액</t>
    <phoneticPr fontId="5" type="noConversion"/>
  </si>
  <si>
    <t>□ 2014년도 본 예산 세 입 · 세 출 총  괄  표</t>
    <phoneticPr fontId="26" type="noConversion"/>
  </si>
  <si>
    <t>8호</t>
    <phoneticPr fontId="5" type="noConversion"/>
  </si>
  <si>
    <t>* 장기요양보험부담금</t>
    <phoneticPr fontId="5" type="noConversion"/>
  </si>
  <si>
    <t>* 산재보험부담금</t>
    <phoneticPr fontId="5" type="noConversion"/>
  </si>
  <si>
    <t>=</t>
    <phoneticPr fontId="5" type="noConversion"/>
  </si>
  <si>
    <t>4. 바다의별 사회적응 훈련(B)</t>
    <phoneticPr fontId="5" type="noConversion"/>
  </si>
  <si>
    <t>5. 바다의별 사회적응 훈련(B)</t>
    <phoneticPr fontId="5" type="noConversion"/>
  </si>
  <si>
    <t>후원</t>
    <phoneticPr fontId="5" type="noConversion"/>
  </si>
  <si>
    <t>입소</t>
    <phoneticPr fontId="5" type="noConversion"/>
  </si>
  <si>
    <t>보조</t>
    <phoneticPr fontId="5" type="noConversion"/>
  </si>
  <si>
    <t>* 가족수당</t>
    <phoneticPr fontId="5" type="noConversion"/>
  </si>
  <si>
    <t>2013년
2차추가경정
예산액(A)
(단위:천원)</t>
    <phoneticPr fontId="5" type="noConversion"/>
  </si>
  <si>
    <t>2014년  본 예산액(단위:천원)</t>
    <phoneticPr fontId="5" type="noConversion"/>
  </si>
  <si>
    <t>2013년
2차추가경정예산
예산액(A)
(단위:천원)</t>
    <phoneticPr fontId="5" type="noConversion"/>
  </si>
  <si>
    <t>2014년 본 예산액(단위:천원)</t>
    <phoneticPr fontId="5" type="noConversion"/>
  </si>
  <si>
    <t>시도보조금</t>
    <phoneticPr fontId="26" type="noConversion"/>
  </si>
  <si>
    <t>시군구보조금</t>
    <phoneticPr fontId="26" type="noConversion"/>
  </si>
  <si>
    <t>* 종사자 건강검진비용</t>
    <phoneticPr fontId="5" type="noConversion"/>
  </si>
  <si>
    <t>* 환경개선사업비</t>
    <phoneticPr fontId="5" type="noConversion"/>
  </si>
  <si>
    <t>보조금      6,890
 입소비용         100,000       후원금 16,000</t>
    <phoneticPr fontId="5" type="noConversion"/>
  </si>
  <si>
    <t>자산취득비 증액</t>
    <phoneticPr fontId="5" type="noConversion"/>
  </si>
  <si>
    <t>시설장비유지비 감액</t>
    <phoneticPr fontId="5" type="noConversion"/>
  </si>
  <si>
    <t>호봉승급에 따른 인상분</t>
    <phoneticPr fontId="5" type="noConversion"/>
  </si>
  <si>
    <t>구        분</t>
    <phoneticPr fontId="26" type="noConversion"/>
  </si>
  <si>
    <t>2014년
본 예산</t>
    <phoneticPr fontId="26" type="noConversion"/>
  </si>
  <si>
    <t>증감</t>
    <phoneticPr fontId="5" type="noConversion"/>
  </si>
  <si>
    <t>증감사유</t>
    <phoneticPr fontId="26" type="noConversion"/>
  </si>
  <si>
    <t>증감</t>
    <phoneticPr fontId="26" type="noConversion"/>
  </si>
  <si>
    <t>2013년
2차추가경정  예산</t>
    <phoneticPr fontId="26" type="noConversion"/>
  </si>
  <si>
    <t>입소자 변경에 따른 차액(5⟶4)</t>
    <phoneticPr fontId="5" type="noConversion"/>
  </si>
  <si>
    <t>비율변경으로 인한차액</t>
    <phoneticPr fontId="5" type="noConversion"/>
  </si>
  <si>
    <t>비율변경으로 인한차액및 보조금인상분</t>
    <phoneticPr fontId="5" type="noConversion"/>
  </si>
  <si>
    <t>비지정후원금</t>
    <phoneticPr fontId="26" type="noConversion"/>
  </si>
  <si>
    <t>지정후원금</t>
    <phoneticPr fontId="26" type="noConversion"/>
  </si>
  <si>
    <t>법인전입금</t>
    <phoneticPr fontId="26" type="noConversion"/>
  </si>
  <si>
    <t>전년도이월금</t>
    <phoneticPr fontId="26" type="noConversion"/>
  </si>
  <si>
    <t>시도보조금</t>
    <phoneticPr fontId="5" type="noConversion"/>
  </si>
  <si>
    <t>※ 2014년 시도보조금</t>
    <phoneticPr fontId="5" type="noConversion"/>
  </si>
  <si>
    <t>시군구보조금</t>
    <phoneticPr fontId="5" type="noConversion"/>
  </si>
  <si>
    <t>※ 2014년 시군구보조금</t>
    <phoneticPr fontId="5" type="noConversion"/>
  </si>
  <si>
    <t>원</t>
    <phoneticPr fontId="5" type="noConversion"/>
  </si>
  <si>
    <t>&lt;2014년도 세출내역&gt;</t>
    <phoneticPr fontId="5" type="noConversion"/>
  </si>
  <si>
    <t>&lt;2014년도 세입내역&gt;</t>
    <phoneticPr fontId="5" type="noConversion"/>
  </si>
  <si>
    <t>보조금      운영비</t>
    <phoneticPr fontId="5" type="noConversion"/>
  </si>
  <si>
    <t>※ 입소자부담금수입</t>
    <phoneticPr fontId="5" type="noConversion"/>
  </si>
  <si>
    <t>* 입소자부담금수입</t>
    <phoneticPr fontId="5" type="noConversion"/>
  </si>
  <si>
    <t>보조금        수입</t>
    <phoneticPr fontId="26" type="noConversion"/>
  </si>
  <si>
    <t>후원금        수입</t>
    <phoneticPr fontId="26" type="noConversion"/>
  </si>
  <si>
    <t>원</t>
    <phoneticPr fontId="5" type="noConversion"/>
  </si>
  <si>
    <t>기타후생경비</t>
    <phoneticPr fontId="5" type="noConversion"/>
  </si>
  <si>
    <t>종사자 건강검진비용</t>
    <phoneticPr fontId="5" type="noConversion"/>
  </si>
  <si>
    <t>수용           기관경비증액</t>
    <phoneticPr fontId="5" type="noConversion"/>
  </si>
</sst>
</file>

<file path=xl/styles.xml><?xml version="1.0" encoding="utf-8"?>
<styleSheet xmlns="http://schemas.openxmlformats.org/spreadsheetml/2006/main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</numFmts>
  <fonts count="3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9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16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vertical="center"/>
    </xf>
    <xf numFmtId="177" fontId="11" fillId="0" borderId="22" xfId="3" applyNumberFormat="1" applyFont="1" applyFill="1" applyBorder="1" applyAlignment="1">
      <alignment vertical="center"/>
    </xf>
    <xf numFmtId="0" fontId="14" fillId="0" borderId="21" xfId="3" applyFont="1" applyFill="1" applyBorder="1" applyAlignment="1">
      <alignment vertical="center"/>
    </xf>
    <xf numFmtId="176" fontId="14" fillId="0" borderId="21" xfId="3" applyNumberFormat="1" applyFont="1" applyFill="1" applyBorder="1" applyAlignment="1">
      <alignment horizontal="center" vertical="center"/>
    </xf>
    <xf numFmtId="176" fontId="14" fillId="0" borderId="21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6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6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8" fontId="11" fillId="0" borderId="26" xfId="3" applyNumberFormat="1" applyFont="1" applyFill="1" applyBorder="1" applyAlignment="1">
      <alignment vertical="center"/>
    </xf>
    <xf numFmtId="177" fontId="11" fillId="0" borderId="26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0" fontId="11" fillId="0" borderId="32" xfId="3" applyFont="1" applyFill="1" applyBorder="1" applyAlignment="1">
      <alignment vertical="center" wrapText="1"/>
    </xf>
    <xf numFmtId="0" fontId="17" fillId="0" borderId="28" xfId="3" applyFont="1" applyFill="1" applyBorder="1" applyAlignment="1">
      <alignment vertical="center"/>
    </xf>
    <xf numFmtId="0" fontId="18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vertical="center"/>
    </xf>
    <xf numFmtId="177" fontId="11" fillId="0" borderId="10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9" fontId="11" fillId="0" borderId="10" xfId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>
      <alignment vertical="center"/>
    </xf>
    <xf numFmtId="177" fontId="11" fillId="0" borderId="6" xfId="3" applyNumberFormat="1" applyFont="1" applyFill="1" applyBorder="1" applyAlignment="1">
      <alignment vertical="center"/>
    </xf>
    <xf numFmtId="9" fontId="11" fillId="0" borderId="6" xfId="3" applyNumberFormat="1" applyFont="1" applyFill="1" applyBorder="1" applyAlignment="1">
      <alignment horizontal="center" vertical="center"/>
    </xf>
    <xf numFmtId="176" fontId="11" fillId="0" borderId="12" xfId="3" applyNumberFormat="1" applyFont="1" applyFill="1" applyBorder="1" applyAlignment="1">
      <alignment horizontal="center" vertical="center"/>
    </xf>
    <xf numFmtId="38" fontId="11" fillId="0" borderId="12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6" xfId="3" applyNumberFormat="1" applyFont="1" applyFill="1" applyBorder="1" applyAlignment="1">
      <alignment vertical="center"/>
    </xf>
    <xf numFmtId="38" fontId="11" fillId="0" borderId="26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6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38" fontId="11" fillId="0" borderId="13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3" fillId="0" borderId="0" xfId="5">
      <alignment vertical="center"/>
    </xf>
    <xf numFmtId="0" fontId="25" fillId="0" borderId="0" xfId="5" applyFont="1">
      <alignment vertical="center"/>
    </xf>
    <xf numFmtId="0" fontId="27" fillId="0" borderId="0" xfId="5" applyFont="1" applyAlignment="1">
      <alignment horizontal="right"/>
    </xf>
    <xf numFmtId="41" fontId="0" fillId="0" borderId="10" xfId="6" applyFont="1" applyBorder="1" applyAlignment="1">
      <alignment vertical="center"/>
    </xf>
    <xf numFmtId="181" fontId="0" fillId="0" borderId="36" xfId="6" applyNumberFormat="1" applyFont="1" applyBorder="1" applyAlignment="1">
      <alignment vertical="center"/>
    </xf>
    <xf numFmtId="181" fontId="0" fillId="0" borderId="11" xfId="6" applyNumberFormat="1" applyFont="1" applyBorder="1" applyAlignment="1">
      <alignment vertical="center"/>
    </xf>
    <xf numFmtId="41" fontId="0" fillId="0" borderId="19" xfId="6" applyFont="1" applyBorder="1">
      <alignment vertical="center"/>
    </xf>
    <xf numFmtId="181" fontId="0" fillId="0" borderId="41" xfId="6" applyNumberFormat="1" applyFont="1" applyBorder="1">
      <alignment vertical="center"/>
    </xf>
    <xf numFmtId="181" fontId="0" fillId="0" borderId="17" xfId="6" applyNumberFormat="1" applyFont="1" applyBorder="1">
      <alignment vertical="center"/>
    </xf>
    <xf numFmtId="41" fontId="0" fillId="0" borderId="3" xfId="6" applyFont="1" applyBorder="1">
      <alignment vertical="center"/>
    </xf>
    <xf numFmtId="181" fontId="0" fillId="0" borderId="4" xfId="6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41" fontId="13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vertical="center"/>
    </xf>
    <xf numFmtId="0" fontId="13" fillId="0" borderId="44" xfId="3" applyFont="1" applyFill="1" applyBorder="1" applyAlignment="1">
      <alignment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9" fontId="13" fillId="0" borderId="19" xfId="1" applyFont="1" applyFill="1" applyBorder="1" applyAlignment="1">
      <alignment horizontal="center" vertical="center"/>
    </xf>
    <xf numFmtId="9" fontId="11" fillId="0" borderId="12" xfId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 wrapText="1"/>
    </xf>
    <xf numFmtId="38" fontId="11" fillId="0" borderId="41" xfId="3" applyNumberFormat="1" applyFont="1" applyFill="1" applyBorder="1" applyAlignment="1">
      <alignment vertical="center"/>
    </xf>
    <xf numFmtId="38" fontId="11" fillId="0" borderId="19" xfId="3" applyNumberFormat="1" applyFont="1" applyFill="1" applyBorder="1" applyAlignment="1">
      <alignment vertical="center"/>
    </xf>
    <xf numFmtId="9" fontId="11" fillId="0" borderId="19" xfId="1" applyFont="1" applyFill="1" applyBorder="1" applyAlignment="1">
      <alignment horizontal="center" vertical="center"/>
    </xf>
    <xf numFmtId="0" fontId="13" fillId="0" borderId="5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19" xfId="3" applyNumberFormat="1" applyFont="1" applyFill="1" applyBorder="1" applyAlignment="1">
      <alignment vertical="center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26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4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42" fontId="11" fillId="0" borderId="30" xfId="3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" fillId="0" borderId="0" xfId="5" applyFont="1">
      <alignment vertical="center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41" fontId="2" fillId="0" borderId="19" xfId="2" applyFont="1" applyBorder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3" fillId="0" borderId="29" xfId="3" applyFont="1" applyFill="1" applyBorder="1" applyAlignment="1">
      <alignment vertical="center"/>
    </xf>
    <xf numFmtId="0" fontId="6" fillId="0" borderId="12" xfId="3" applyFont="1" applyFill="1" applyBorder="1" applyAlignment="1">
      <alignment vertical="center"/>
    </xf>
    <xf numFmtId="176" fontId="6" fillId="0" borderId="12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 wrapText="1"/>
    </xf>
    <xf numFmtId="38" fontId="6" fillId="0" borderId="6" xfId="3" applyNumberFormat="1" applyFont="1" applyFill="1" applyBorder="1" applyAlignment="1">
      <alignment vertical="center"/>
    </xf>
    <xf numFmtId="9" fontId="6" fillId="0" borderId="6" xfId="1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5" fillId="0" borderId="0" xfId="7" applyFont="1">
      <alignment vertical="center"/>
    </xf>
    <xf numFmtId="0" fontId="1" fillId="0" borderId="0" xfId="7">
      <alignment vertical="center"/>
    </xf>
    <xf numFmtId="0" fontId="27" fillId="0" borderId="0" xfId="7" applyFont="1" applyAlignment="1">
      <alignment horizontal="right"/>
    </xf>
    <xf numFmtId="41" fontId="11" fillId="0" borderId="0" xfId="2" applyNumberFormat="1" applyFont="1" applyFill="1" applyBorder="1" applyAlignment="1">
      <alignment horizontal="right"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9" fontId="11" fillId="0" borderId="0" xfId="1" applyFont="1" applyFill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  <xf numFmtId="178" fontId="22" fillId="0" borderId="26" xfId="3" applyNumberFormat="1" applyFont="1" applyFill="1" applyBorder="1" applyAlignment="1">
      <alignment vertical="center"/>
    </xf>
    <xf numFmtId="41" fontId="11" fillId="0" borderId="0" xfId="2" applyFont="1" applyFill="1">
      <alignment vertical="center"/>
    </xf>
    <xf numFmtId="41" fontId="29" fillId="0" borderId="0" xfId="2" applyFont="1" applyFill="1" applyAlignment="1">
      <alignment vertical="center"/>
    </xf>
    <xf numFmtId="38" fontId="22" fillId="0" borderId="26" xfId="3" applyNumberFormat="1" applyFont="1" applyFill="1" applyBorder="1" applyAlignment="1">
      <alignment vertical="center"/>
    </xf>
    <xf numFmtId="41" fontId="30" fillId="0" borderId="10" xfId="9" applyFont="1" applyBorder="1" applyAlignment="1">
      <alignment vertical="center"/>
    </xf>
    <xf numFmtId="181" fontId="30" fillId="0" borderId="56" xfId="10" applyNumberFormat="1" applyFont="1" applyBorder="1" applyAlignment="1">
      <alignment vertical="center"/>
    </xf>
    <xf numFmtId="181" fontId="30" fillId="0" borderId="13" xfId="10" applyNumberFormat="1" applyFont="1" applyBorder="1" applyAlignment="1">
      <alignment vertical="center"/>
    </xf>
    <xf numFmtId="181" fontId="30" fillId="0" borderId="37" xfId="10" applyNumberFormat="1" applyFont="1" applyBorder="1" applyAlignment="1">
      <alignment vertical="center"/>
    </xf>
    <xf numFmtId="0" fontId="27" fillId="0" borderId="14" xfId="7" applyFont="1" applyBorder="1" applyAlignment="1">
      <alignment horizontal="center" vertical="center" wrapText="1"/>
    </xf>
    <xf numFmtId="0" fontId="27" fillId="0" borderId="19" xfId="7" applyFont="1" applyBorder="1" applyAlignment="1">
      <alignment horizontal="center" vertical="center" wrapText="1"/>
    </xf>
    <xf numFmtId="41" fontId="30" fillId="0" borderId="19" xfId="9" applyFont="1" applyBorder="1">
      <alignment vertical="center"/>
    </xf>
    <xf numFmtId="181" fontId="30" fillId="0" borderId="41" xfId="10" applyNumberFormat="1" applyFont="1" applyBorder="1">
      <alignment vertical="center"/>
    </xf>
    <xf numFmtId="181" fontId="30" fillId="0" borderId="19" xfId="10" applyNumberFormat="1" applyFont="1" applyBorder="1">
      <alignment vertical="center"/>
    </xf>
    <xf numFmtId="181" fontId="30" fillId="0" borderId="17" xfId="10" applyNumberFormat="1" applyFont="1" applyBorder="1" applyAlignment="1">
      <alignment horizontal="center" vertical="center" wrapText="1"/>
    </xf>
    <xf numFmtId="181" fontId="30" fillId="0" borderId="41" xfId="10" applyNumberFormat="1" applyFont="1" applyBorder="1" applyAlignment="1">
      <alignment vertical="center" wrapText="1"/>
    </xf>
    <xf numFmtId="181" fontId="30" fillId="0" borderId="54" xfId="10" applyNumberFormat="1" applyFont="1" applyBorder="1" applyAlignment="1">
      <alignment vertical="center" wrapText="1"/>
    </xf>
    <xf numFmtId="41" fontId="30" fillId="0" borderId="0" xfId="2" applyFont="1" applyFill="1" applyAlignment="1">
      <alignment vertical="center"/>
    </xf>
    <xf numFmtId="0" fontId="27" fillId="0" borderId="14" xfId="7" applyFont="1" applyBorder="1" applyAlignment="1">
      <alignment horizontal="center" vertical="center"/>
    </xf>
    <xf numFmtId="41" fontId="30" fillId="0" borderId="3" xfId="9" applyFont="1" applyBorder="1">
      <alignment vertical="center"/>
    </xf>
    <xf numFmtId="181" fontId="30" fillId="0" borderId="35" xfId="10" applyNumberFormat="1" applyFont="1" applyBorder="1">
      <alignment vertical="center"/>
    </xf>
    <xf numFmtId="0" fontId="27" fillId="0" borderId="15" xfId="7" applyFont="1" applyBorder="1" applyAlignment="1">
      <alignment horizontal="center" vertical="center" wrapText="1"/>
    </xf>
    <xf numFmtId="0" fontId="27" fillId="0" borderId="3" xfId="7" applyFont="1" applyBorder="1" applyAlignment="1">
      <alignment horizontal="center" vertical="center" wrapText="1"/>
    </xf>
    <xf numFmtId="181" fontId="30" fillId="0" borderId="3" xfId="10" applyNumberFormat="1" applyFont="1" applyBorder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7" fillId="0" borderId="15" xfId="7" applyFont="1" applyBorder="1" applyAlignment="1">
      <alignment horizontal="center" vertical="center"/>
    </xf>
    <xf numFmtId="181" fontId="30" fillId="0" borderId="4" xfId="10" applyNumberFormat="1" applyFont="1" applyBorder="1">
      <alignment vertical="center"/>
    </xf>
    <xf numFmtId="181" fontId="31" fillId="0" borderId="41" xfId="10" applyNumberFormat="1" applyFont="1" applyBorder="1" applyAlignment="1">
      <alignment vertical="center" wrapText="1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9" fontId="11" fillId="0" borderId="10" xfId="3" applyNumberFormat="1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vertical="center" wrapText="1"/>
    </xf>
    <xf numFmtId="0" fontId="11" fillId="0" borderId="10" xfId="3" applyFont="1" applyFill="1" applyBorder="1" applyAlignment="1">
      <alignment vertical="center" wrapText="1"/>
    </xf>
    <xf numFmtId="0" fontId="6" fillId="0" borderId="29" xfId="3" applyFont="1" applyFill="1" applyBorder="1" applyAlignment="1">
      <alignment vertical="center"/>
    </xf>
    <xf numFmtId="0" fontId="6" fillId="0" borderId="35" xfId="3" applyFont="1" applyFill="1" applyBorder="1" applyAlignment="1">
      <alignment vertical="center"/>
    </xf>
    <xf numFmtId="0" fontId="11" fillId="0" borderId="58" xfId="3" applyFont="1" applyFill="1" applyBorder="1" applyAlignment="1">
      <alignment vertical="center" wrapText="1"/>
    </xf>
    <xf numFmtId="176" fontId="6" fillId="0" borderId="5" xfId="3" applyNumberFormat="1" applyFont="1" applyFill="1" applyBorder="1" applyAlignment="1">
      <alignment vertical="center"/>
    </xf>
    <xf numFmtId="176" fontId="11" fillId="0" borderId="0" xfId="3" applyNumberFormat="1" applyFont="1" applyFill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58" xfId="3" applyFont="1" applyFill="1" applyBorder="1" applyAlignment="1">
      <alignment horizontal="center" vertical="center" wrapText="1"/>
    </xf>
    <xf numFmtId="0" fontId="28" fillId="0" borderId="19" xfId="5" applyFont="1" applyBorder="1" applyAlignment="1">
      <alignment horizontal="center" vertical="center" wrapText="1"/>
    </xf>
    <xf numFmtId="0" fontId="28" fillId="0" borderId="49" xfId="5" applyFont="1" applyBorder="1" applyAlignment="1">
      <alignment horizontal="center" vertical="center" wrapText="1"/>
    </xf>
    <xf numFmtId="0" fontId="28" fillId="0" borderId="43" xfId="5" applyFont="1" applyBorder="1" applyAlignment="1">
      <alignment horizontal="center" vertical="center"/>
    </xf>
    <xf numFmtId="0" fontId="28" fillId="0" borderId="7" xfId="5" applyFont="1" applyBorder="1" applyAlignment="1">
      <alignment horizontal="center" vertical="center"/>
    </xf>
    <xf numFmtId="0" fontId="28" fillId="0" borderId="9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28" fillId="0" borderId="14" xfId="5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center"/>
    </xf>
    <xf numFmtId="0" fontId="28" fillId="0" borderId="48" xfId="5" applyFont="1" applyBorder="1" applyAlignment="1">
      <alignment horizontal="center" vertical="center"/>
    </xf>
    <xf numFmtId="0" fontId="28" fillId="0" borderId="49" xfId="5" applyFont="1" applyBorder="1" applyAlignment="1">
      <alignment horizontal="center" vertical="center"/>
    </xf>
    <xf numFmtId="0" fontId="28" fillId="0" borderId="41" xfId="5" applyFont="1" applyBorder="1" applyAlignment="1">
      <alignment horizontal="center" vertical="center"/>
    </xf>
    <xf numFmtId="0" fontId="28" fillId="0" borderId="50" xfId="5" applyFont="1" applyBorder="1" applyAlignment="1">
      <alignment horizontal="center" vertical="center"/>
    </xf>
    <xf numFmtId="0" fontId="28" fillId="0" borderId="17" xfId="5" applyFont="1" applyBorder="1" applyAlignment="1">
      <alignment horizontal="center" vertical="center"/>
    </xf>
    <xf numFmtId="0" fontId="28" fillId="0" borderId="51" xfId="5" applyFont="1" applyBorder="1" applyAlignment="1">
      <alignment horizontal="center" vertical="center"/>
    </xf>
    <xf numFmtId="0" fontId="2" fillId="0" borderId="52" xfId="5" applyFont="1" applyBorder="1" applyAlignment="1">
      <alignment horizontal="center" vertical="center"/>
    </xf>
    <xf numFmtId="0" fontId="2" fillId="0" borderId="30" xfId="5" applyFont="1" applyBorder="1" applyAlignment="1">
      <alignment horizontal="center" vertical="center"/>
    </xf>
    <xf numFmtId="0" fontId="2" fillId="0" borderId="31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46" xfId="5" applyFont="1" applyBorder="1" applyAlignment="1">
      <alignment horizontal="center" vertical="center"/>
    </xf>
    <xf numFmtId="0" fontId="2" fillId="0" borderId="12" xfId="5" applyFont="1" applyBorder="1" applyAlignment="1">
      <alignment horizontal="center" vertical="center"/>
    </xf>
    <xf numFmtId="0" fontId="2" fillId="0" borderId="3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46" xfId="3" applyFont="1" applyFill="1" applyBorder="1" applyAlignment="1">
      <alignment horizontal="left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81" fontId="30" fillId="0" borderId="59" xfId="10" applyNumberFormat="1" applyFont="1" applyBorder="1" applyAlignment="1">
      <alignment horizontal="center" vertical="center" wrapText="1"/>
    </xf>
    <xf numFmtId="181" fontId="30" fillId="0" borderId="60" xfId="10" applyNumberFormat="1" applyFont="1" applyBorder="1" applyAlignment="1">
      <alignment horizontal="center" vertical="center" wrapText="1"/>
    </xf>
    <xf numFmtId="181" fontId="30" fillId="0" borderId="11" xfId="10" applyNumberFormat="1" applyFont="1" applyBorder="1" applyAlignment="1">
      <alignment horizontal="center" vertical="center" wrapText="1"/>
    </xf>
    <xf numFmtId="0" fontId="27" fillId="0" borderId="2" xfId="7" applyFont="1" applyBorder="1" applyAlignment="1">
      <alignment horizontal="center" vertical="center"/>
    </xf>
    <xf numFmtId="0" fontId="27" fillId="0" borderId="32" xfId="7" applyFont="1" applyBorder="1" applyAlignment="1">
      <alignment horizontal="center" vertical="center"/>
    </xf>
    <xf numFmtId="0" fontId="27" fillId="0" borderId="16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 vertical="center" wrapText="1"/>
    </xf>
    <xf numFmtId="0" fontId="27" fillId="0" borderId="26" xfId="7" applyFont="1" applyBorder="1" applyAlignment="1">
      <alignment horizontal="center" vertical="center" wrapText="1"/>
    </xf>
    <xf numFmtId="0" fontId="27" fillId="0" borderId="10" xfId="7" applyFont="1" applyBorder="1" applyAlignment="1">
      <alignment horizontal="center" vertical="center" wrapText="1"/>
    </xf>
    <xf numFmtId="0" fontId="27" fillId="0" borderId="10" xfId="7" applyFont="1" applyBorder="1" applyAlignment="1">
      <alignment horizontal="center" vertical="center"/>
    </xf>
    <xf numFmtId="0" fontId="27" fillId="0" borderId="2" xfId="7" applyFont="1" applyBorder="1" applyAlignment="1">
      <alignment horizontal="center" vertical="center" wrapText="1"/>
    </xf>
    <xf numFmtId="0" fontId="27" fillId="0" borderId="32" xfId="7" applyFont="1" applyBorder="1" applyAlignment="1">
      <alignment horizontal="center" vertical="center" wrapText="1"/>
    </xf>
    <xf numFmtId="0" fontId="27" fillId="0" borderId="16" xfId="7" applyFont="1" applyBorder="1" applyAlignment="1">
      <alignment horizontal="center" vertical="center" wrapText="1"/>
    </xf>
    <xf numFmtId="41" fontId="30" fillId="0" borderId="1" xfId="9" applyFont="1" applyBorder="1" applyAlignment="1">
      <alignment horizontal="center" vertical="center"/>
    </xf>
    <xf numFmtId="41" fontId="30" fillId="0" borderId="26" xfId="9" applyFont="1" applyBorder="1" applyAlignment="1">
      <alignment horizontal="center" vertical="center"/>
    </xf>
    <xf numFmtId="41" fontId="30" fillId="0" borderId="10" xfId="9" applyFont="1" applyBorder="1" applyAlignment="1">
      <alignment horizontal="center" vertical="center"/>
    </xf>
    <xf numFmtId="181" fontId="30" fillId="0" borderId="1" xfId="10" applyNumberFormat="1" applyFont="1" applyBorder="1" applyAlignment="1">
      <alignment horizontal="center" vertical="center"/>
    </xf>
    <xf numFmtId="181" fontId="30" fillId="0" borderId="26" xfId="10" applyNumberFormat="1" applyFont="1" applyBorder="1" applyAlignment="1">
      <alignment horizontal="center" vertical="center"/>
    </xf>
    <xf numFmtId="181" fontId="30" fillId="0" borderId="10" xfId="10" applyNumberFormat="1" applyFont="1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7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32" fillId="0" borderId="14" xfId="7" applyFont="1" applyBorder="1" applyAlignment="1">
      <alignment horizontal="center" vertical="center"/>
    </xf>
    <xf numFmtId="0" fontId="32" fillId="0" borderId="19" xfId="7" applyFont="1" applyBorder="1" applyAlignment="1">
      <alignment horizontal="center" vertical="center"/>
    </xf>
    <xf numFmtId="0" fontId="32" fillId="0" borderId="48" xfId="7" applyFont="1" applyBorder="1" applyAlignment="1">
      <alignment horizontal="center" vertical="center"/>
    </xf>
    <xf numFmtId="0" fontId="32" fillId="0" borderId="49" xfId="7" applyFont="1" applyBorder="1" applyAlignment="1">
      <alignment horizontal="center" vertical="center"/>
    </xf>
    <xf numFmtId="0" fontId="32" fillId="0" borderId="19" xfId="8" applyFont="1" applyBorder="1" applyAlignment="1">
      <alignment horizontal="center" vertical="center" wrapText="1"/>
    </xf>
    <xf numFmtId="0" fontId="32" fillId="0" borderId="49" xfId="8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0" fontId="32" fillId="0" borderId="55" xfId="7" applyFont="1" applyBorder="1" applyAlignment="1">
      <alignment horizontal="center" vertical="center" wrapText="1"/>
    </xf>
    <xf numFmtId="0" fontId="32" fillId="0" borderId="41" xfId="7" applyFont="1" applyBorder="1" applyAlignment="1">
      <alignment horizontal="center" vertical="center"/>
    </xf>
    <xf numFmtId="0" fontId="32" fillId="0" borderId="50" xfId="7" applyFont="1" applyBorder="1" applyAlignment="1">
      <alignment horizontal="center" vertical="center"/>
    </xf>
    <xf numFmtId="0" fontId="32" fillId="0" borderId="54" xfId="7" applyFont="1" applyBorder="1" applyAlignment="1">
      <alignment horizontal="center" vertical="center"/>
    </xf>
    <xf numFmtId="0" fontId="32" fillId="0" borderId="57" xfId="7" applyFont="1" applyBorder="1" applyAlignment="1">
      <alignment horizontal="center" vertical="center"/>
    </xf>
    <xf numFmtId="181" fontId="30" fillId="0" borderId="54" xfId="10" applyNumberFormat="1" applyFont="1" applyBorder="1" applyAlignment="1">
      <alignment horizontal="center" vertical="center" wrapText="1"/>
    </xf>
    <xf numFmtId="0" fontId="27" fillId="0" borderId="21" xfId="7" applyFont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9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4"/>
  <sheetViews>
    <sheetView topLeftCell="C19" workbookViewId="0">
      <selection activeCell="D27" sqref="D27"/>
    </sheetView>
  </sheetViews>
  <sheetFormatPr defaultRowHeight="16.5"/>
  <cols>
    <col min="1" max="1" width="1.33203125" style="182" customWidth="1"/>
    <col min="2" max="2" width="11.5546875" style="182" hidden="1" customWidth="1"/>
    <col min="3" max="3" width="13.33203125" style="182" bestFit="1" customWidth="1"/>
    <col min="4" max="4" width="15.44140625" style="182" bestFit="1" customWidth="1"/>
    <col min="5" max="5" width="14.88671875" style="182" customWidth="1"/>
    <col min="6" max="6" width="15.109375" style="182" customWidth="1"/>
    <col min="7" max="7" width="11.44140625" style="182" customWidth="1"/>
    <col min="8" max="8" width="11.33203125" style="182" customWidth="1"/>
    <col min="9" max="9" width="14.6640625" style="182" customWidth="1"/>
    <col min="10" max="10" width="12" style="182" customWidth="1"/>
    <col min="11" max="11" width="15.5546875" style="182" customWidth="1"/>
    <col min="12" max="12" width="11.5546875" style="182" customWidth="1"/>
    <col min="13" max="16384" width="8.88671875" style="182"/>
  </cols>
  <sheetData>
    <row r="1" spans="2:13" ht="9.9499999999999993" customHeight="1"/>
    <row r="2" spans="2:13" ht="26.25">
      <c r="B2" s="320"/>
      <c r="C2" s="183" t="s">
        <v>244</v>
      </c>
      <c r="D2" s="320"/>
      <c r="E2" s="320"/>
      <c r="F2" s="320"/>
      <c r="G2" s="320"/>
      <c r="H2" s="320"/>
      <c r="I2" s="320"/>
      <c r="J2" s="320"/>
      <c r="K2" s="320"/>
      <c r="L2" s="184" t="s">
        <v>245</v>
      </c>
      <c r="M2" s="320"/>
    </row>
    <row r="3" spans="2:13" ht="9.9499999999999993" customHeight="1" thickBot="1"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2:13" ht="30" customHeight="1">
      <c r="B4" s="320"/>
      <c r="C4" s="414" t="s">
        <v>246</v>
      </c>
      <c r="D4" s="415"/>
      <c r="E4" s="415"/>
      <c r="F4" s="415"/>
      <c r="G4" s="416"/>
      <c r="H4" s="414" t="s">
        <v>247</v>
      </c>
      <c r="I4" s="415"/>
      <c r="J4" s="415"/>
      <c r="K4" s="415"/>
      <c r="L4" s="417"/>
      <c r="M4" s="320"/>
    </row>
    <row r="5" spans="2:13" ht="16.5" customHeight="1">
      <c r="B5" s="320"/>
      <c r="C5" s="418" t="s">
        <v>248</v>
      </c>
      <c r="D5" s="419"/>
      <c r="E5" s="412" t="s">
        <v>320</v>
      </c>
      <c r="F5" s="412" t="s">
        <v>347</v>
      </c>
      <c r="G5" s="422" t="s">
        <v>249</v>
      </c>
      <c r="H5" s="418" t="s">
        <v>248</v>
      </c>
      <c r="I5" s="419"/>
      <c r="J5" s="412" t="s">
        <v>288</v>
      </c>
      <c r="K5" s="412" t="s">
        <v>320</v>
      </c>
      <c r="L5" s="424" t="s">
        <v>249</v>
      </c>
      <c r="M5" s="320"/>
    </row>
    <row r="6" spans="2:13" ht="22.5" customHeight="1" thickBot="1">
      <c r="B6" s="320"/>
      <c r="C6" s="420"/>
      <c r="D6" s="421"/>
      <c r="E6" s="413"/>
      <c r="F6" s="413"/>
      <c r="G6" s="423"/>
      <c r="H6" s="420"/>
      <c r="I6" s="421"/>
      <c r="J6" s="413"/>
      <c r="K6" s="413"/>
      <c r="L6" s="425"/>
      <c r="M6" s="320"/>
    </row>
    <row r="7" spans="2:13" ht="24.95" customHeight="1" thickTop="1">
      <c r="B7" s="320"/>
      <c r="C7" s="435" t="s">
        <v>250</v>
      </c>
      <c r="D7" s="436"/>
      <c r="E7" s="185">
        <f>SUM(E8:E16)</f>
        <v>61753280</v>
      </c>
      <c r="F7" s="185">
        <f>SUM(F8:F16)</f>
        <v>65458400</v>
      </c>
      <c r="G7" s="186">
        <f>SUM(G8:G16)</f>
        <v>3705120</v>
      </c>
      <c r="H7" s="435" t="s">
        <v>250</v>
      </c>
      <c r="I7" s="436"/>
      <c r="J7" s="185">
        <f>SUM(J8:J23)</f>
        <v>61753280</v>
      </c>
      <c r="K7" s="185">
        <f>SUM(K8:K23)</f>
        <v>65458400</v>
      </c>
      <c r="L7" s="187">
        <f>SUM(L8:L23)</f>
        <v>3705120</v>
      </c>
      <c r="M7" s="320"/>
    </row>
    <row r="8" spans="2:13" ht="24.95" customHeight="1">
      <c r="B8" s="320"/>
      <c r="C8" s="321" t="s">
        <v>251</v>
      </c>
      <c r="D8" s="322" t="s">
        <v>252</v>
      </c>
      <c r="E8" s="188">
        <v>9000000</v>
      </c>
      <c r="F8" s="188">
        <v>9000000</v>
      </c>
      <c r="G8" s="189">
        <f>F8-E8</f>
        <v>0</v>
      </c>
      <c r="H8" s="437" t="s">
        <v>253</v>
      </c>
      <c r="I8" s="322" t="s">
        <v>254</v>
      </c>
      <c r="J8" s="188">
        <v>36486390</v>
      </c>
      <c r="K8" s="188">
        <v>41387020</v>
      </c>
      <c r="L8" s="190">
        <f>K8-J8</f>
        <v>4900630</v>
      </c>
      <c r="M8" s="320"/>
    </row>
    <row r="9" spans="2:13" ht="24.95" customHeight="1">
      <c r="B9" s="320"/>
      <c r="C9" s="439" t="s">
        <v>255</v>
      </c>
      <c r="D9" s="322" t="s">
        <v>256</v>
      </c>
      <c r="E9" s="188">
        <v>47633000</v>
      </c>
      <c r="F9" s="188">
        <v>50633000</v>
      </c>
      <c r="G9" s="189">
        <f t="shared" ref="G9:G16" si="0">F9-E9</f>
        <v>3000000</v>
      </c>
      <c r="H9" s="438"/>
      <c r="I9" s="322" t="s">
        <v>257</v>
      </c>
      <c r="J9" s="188">
        <v>0</v>
      </c>
      <c r="K9" s="188">
        <v>0</v>
      </c>
      <c r="L9" s="190">
        <f>K9-J9</f>
        <v>0</v>
      </c>
      <c r="M9" s="320"/>
    </row>
    <row r="10" spans="2:13" ht="24.95" customHeight="1">
      <c r="B10" s="320"/>
      <c r="C10" s="439"/>
      <c r="D10" s="322" t="s">
        <v>258</v>
      </c>
      <c r="E10" s="188">
        <v>0</v>
      </c>
      <c r="F10" s="188">
        <v>0</v>
      </c>
      <c r="G10" s="189">
        <f t="shared" si="0"/>
        <v>0</v>
      </c>
      <c r="H10" s="438"/>
      <c r="I10" s="322" t="s">
        <v>259</v>
      </c>
      <c r="J10" s="188">
        <v>60000</v>
      </c>
      <c r="K10" s="188">
        <v>80000</v>
      </c>
      <c r="L10" s="190">
        <f t="shared" ref="L10:L22" si="1">K10-J10</f>
        <v>20000</v>
      </c>
      <c r="M10" s="320"/>
    </row>
    <row r="11" spans="2:13" ht="24.95" customHeight="1">
      <c r="B11" s="320"/>
      <c r="C11" s="439"/>
      <c r="D11" s="322" t="s">
        <v>260</v>
      </c>
      <c r="E11" s="188">
        <v>0</v>
      </c>
      <c r="F11" s="188">
        <v>0</v>
      </c>
      <c r="G11" s="189">
        <f t="shared" si="0"/>
        <v>0</v>
      </c>
      <c r="H11" s="435"/>
      <c r="I11" s="322" t="s">
        <v>261</v>
      </c>
      <c r="J11" s="188">
        <v>4875000</v>
      </c>
      <c r="K11" s="188">
        <v>5441990</v>
      </c>
      <c r="L11" s="190">
        <f t="shared" si="1"/>
        <v>566990</v>
      </c>
      <c r="M11" s="320"/>
    </row>
    <row r="12" spans="2:13" ht="24.95" customHeight="1">
      <c r="B12" s="320"/>
      <c r="C12" s="439" t="s">
        <v>262</v>
      </c>
      <c r="D12" s="322" t="s">
        <v>263</v>
      </c>
      <c r="E12" s="188">
        <v>0</v>
      </c>
      <c r="F12" s="188">
        <v>0</v>
      </c>
      <c r="G12" s="189">
        <f>F12-E12</f>
        <v>0</v>
      </c>
      <c r="H12" s="437" t="s">
        <v>264</v>
      </c>
      <c r="I12" s="322" t="s">
        <v>265</v>
      </c>
      <c r="J12" s="188">
        <v>0</v>
      </c>
      <c r="K12" s="188">
        <v>0</v>
      </c>
      <c r="L12" s="190">
        <f t="shared" si="1"/>
        <v>0</v>
      </c>
      <c r="M12" s="320"/>
    </row>
    <row r="13" spans="2:13" ht="24.95" customHeight="1">
      <c r="B13" s="320"/>
      <c r="C13" s="439"/>
      <c r="D13" s="322" t="s">
        <v>266</v>
      </c>
      <c r="E13" s="188">
        <v>0</v>
      </c>
      <c r="F13" s="188">
        <v>200000</v>
      </c>
      <c r="G13" s="189">
        <f t="shared" si="0"/>
        <v>200000</v>
      </c>
      <c r="H13" s="438"/>
      <c r="I13" s="322" t="s">
        <v>267</v>
      </c>
      <c r="J13" s="188">
        <v>0</v>
      </c>
      <c r="K13" s="188">
        <v>1350000</v>
      </c>
      <c r="L13" s="190">
        <f t="shared" si="1"/>
        <v>1350000</v>
      </c>
      <c r="M13" s="320"/>
    </row>
    <row r="14" spans="2:13" ht="24.95" customHeight="1">
      <c r="B14" s="320"/>
      <c r="C14" s="321" t="s">
        <v>268</v>
      </c>
      <c r="D14" s="322" t="s">
        <v>269</v>
      </c>
      <c r="E14" s="325">
        <v>4413690</v>
      </c>
      <c r="F14" s="325">
        <v>4818810</v>
      </c>
      <c r="G14" s="189">
        <f t="shared" si="0"/>
        <v>405120</v>
      </c>
      <c r="H14" s="435"/>
      <c r="I14" s="322" t="s">
        <v>270</v>
      </c>
      <c r="J14" s="188">
        <v>0</v>
      </c>
      <c r="K14" s="188">
        <v>1960000</v>
      </c>
      <c r="L14" s="190">
        <f t="shared" si="1"/>
        <v>1960000</v>
      </c>
      <c r="M14" s="320"/>
    </row>
    <row r="15" spans="2:13" ht="24.95" customHeight="1">
      <c r="B15" s="320"/>
      <c r="C15" s="321" t="s">
        <v>271</v>
      </c>
      <c r="D15" s="322" t="s">
        <v>272</v>
      </c>
      <c r="E15" s="188">
        <v>698590</v>
      </c>
      <c r="F15" s="188">
        <v>798590</v>
      </c>
      <c r="G15" s="189">
        <f t="shared" si="0"/>
        <v>100000</v>
      </c>
      <c r="H15" s="437" t="s">
        <v>273</v>
      </c>
      <c r="I15" s="322" t="s">
        <v>274</v>
      </c>
      <c r="J15" s="188">
        <v>11427800</v>
      </c>
      <c r="K15" s="188">
        <v>8939000</v>
      </c>
      <c r="L15" s="190">
        <f t="shared" si="1"/>
        <v>-2488800</v>
      </c>
      <c r="M15" s="320"/>
    </row>
    <row r="16" spans="2:13" ht="24.95" customHeight="1">
      <c r="B16" s="320"/>
      <c r="C16" s="321" t="s">
        <v>275</v>
      </c>
      <c r="D16" s="322" t="s">
        <v>276</v>
      </c>
      <c r="E16" s="188">
        <v>8000</v>
      </c>
      <c r="F16" s="188">
        <v>8000</v>
      </c>
      <c r="G16" s="189">
        <f t="shared" si="0"/>
        <v>0</v>
      </c>
      <c r="H16" s="438"/>
      <c r="I16" s="322" t="s">
        <v>277</v>
      </c>
      <c r="J16" s="188">
        <v>609200</v>
      </c>
      <c r="K16" s="188">
        <v>636000</v>
      </c>
      <c r="L16" s="190">
        <f t="shared" si="1"/>
        <v>26800</v>
      </c>
      <c r="M16" s="320"/>
    </row>
    <row r="17" spans="2:13" ht="24.95" customHeight="1">
      <c r="B17" s="320"/>
      <c r="C17" s="426"/>
      <c r="D17" s="427"/>
      <c r="E17" s="427"/>
      <c r="F17" s="427"/>
      <c r="G17" s="428"/>
      <c r="H17" s="438"/>
      <c r="I17" s="322" t="s">
        <v>278</v>
      </c>
      <c r="J17" s="188">
        <v>500000</v>
      </c>
      <c r="K17" s="188">
        <v>500000</v>
      </c>
      <c r="L17" s="190">
        <f t="shared" si="1"/>
        <v>0</v>
      </c>
      <c r="M17" s="320"/>
    </row>
    <row r="18" spans="2:13" ht="24.95" customHeight="1">
      <c r="B18" s="320"/>
      <c r="C18" s="429"/>
      <c r="D18" s="430"/>
      <c r="E18" s="430"/>
      <c r="F18" s="430"/>
      <c r="G18" s="431"/>
      <c r="H18" s="438"/>
      <c r="I18" s="322" t="s">
        <v>279</v>
      </c>
      <c r="J18" s="188">
        <v>500000</v>
      </c>
      <c r="K18" s="188">
        <v>400000</v>
      </c>
      <c r="L18" s="190">
        <f t="shared" si="1"/>
        <v>-100000</v>
      </c>
      <c r="M18" s="320"/>
    </row>
    <row r="19" spans="2:13" ht="24.95" customHeight="1">
      <c r="B19" s="320"/>
      <c r="C19" s="429"/>
      <c r="D19" s="430"/>
      <c r="E19" s="430"/>
      <c r="F19" s="430"/>
      <c r="G19" s="431"/>
      <c r="H19" s="438"/>
      <c r="I19" s="322" t="s">
        <v>280</v>
      </c>
      <c r="J19" s="188">
        <v>84000</v>
      </c>
      <c r="K19" s="188">
        <v>84000</v>
      </c>
      <c r="L19" s="190">
        <f t="shared" si="1"/>
        <v>0</v>
      </c>
      <c r="M19" s="320"/>
    </row>
    <row r="20" spans="2:13" ht="24.95" customHeight="1">
      <c r="B20" s="320"/>
      <c r="C20" s="429"/>
      <c r="D20" s="430"/>
      <c r="E20" s="430"/>
      <c r="F20" s="430"/>
      <c r="G20" s="431"/>
      <c r="H20" s="435"/>
      <c r="I20" s="322" t="s">
        <v>281</v>
      </c>
      <c r="J20" s="188">
        <v>7204000</v>
      </c>
      <c r="K20" s="188">
        <v>4673500</v>
      </c>
      <c r="L20" s="190">
        <f t="shared" si="1"/>
        <v>-2530500</v>
      </c>
      <c r="M20" s="320"/>
    </row>
    <row r="21" spans="2:13" ht="24.95" customHeight="1">
      <c r="B21" s="320"/>
      <c r="C21" s="429"/>
      <c r="D21" s="430"/>
      <c r="E21" s="430"/>
      <c r="F21" s="430"/>
      <c r="G21" s="431"/>
      <c r="H21" s="321" t="s">
        <v>282</v>
      </c>
      <c r="I21" s="322" t="s">
        <v>283</v>
      </c>
      <c r="J21" s="188">
        <v>6890</v>
      </c>
      <c r="K21" s="188">
        <v>6890</v>
      </c>
      <c r="L21" s="190">
        <f t="shared" si="1"/>
        <v>0</v>
      </c>
      <c r="M21" s="320"/>
    </row>
    <row r="22" spans="2:13" ht="24.95" customHeight="1">
      <c r="B22" s="320"/>
      <c r="C22" s="429"/>
      <c r="D22" s="430"/>
      <c r="E22" s="430"/>
      <c r="F22" s="430"/>
      <c r="G22" s="431"/>
      <c r="H22" s="321" t="s">
        <v>284</v>
      </c>
      <c r="I22" s="322" t="s">
        <v>285</v>
      </c>
      <c r="J22" s="188">
        <v>0</v>
      </c>
      <c r="K22" s="188">
        <v>0</v>
      </c>
      <c r="L22" s="190">
        <f t="shared" si="1"/>
        <v>0</v>
      </c>
      <c r="M22" s="320"/>
    </row>
    <row r="23" spans="2:13" ht="17.25" thickBot="1">
      <c r="B23" s="320"/>
      <c r="C23" s="432"/>
      <c r="D23" s="433"/>
      <c r="E23" s="433"/>
      <c r="F23" s="433"/>
      <c r="G23" s="434"/>
      <c r="H23" s="323" t="s">
        <v>286</v>
      </c>
      <c r="I23" s="324" t="s">
        <v>287</v>
      </c>
      <c r="J23" s="191">
        <v>0</v>
      </c>
      <c r="K23" s="191">
        <v>0</v>
      </c>
      <c r="L23" s="192">
        <f>K23-J23</f>
        <v>0</v>
      </c>
      <c r="M23" s="320"/>
    </row>
    <row r="24" spans="2:13"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</row>
  </sheetData>
  <mergeCells count="18">
    <mergeCell ref="C17:G23"/>
    <mergeCell ref="C7:D7"/>
    <mergeCell ref="H7:I7"/>
    <mergeCell ref="H8:H11"/>
    <mergeCell ref="C9:C11"/>
    <mergeCell ref="C12:C13"/>
    <mergeCell ref="H12:H14"/>
    <mergeCell ref="H15:H20"/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</mergeCells>
  <phoneticPr fontId="5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9"/>
  <sheetViews>
    <sheetView zoomScale="83" zoomScaleNormal="83" zoomScaleSheetLayoutView="85" workbookViewId="0">
      <selection activeCell="Y15" sqref="Y15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109375" style="10" bestFit="1" customWidth="1"/>
    <col min="9" max="9" width="6.109375" style="10" customWidth="1"/>
    <col min="10" max="10" width="6.88671875" style="10" bestFit="1" customWidth="1"/>
    <col min="11" max="11" width="7.44140625" style="11" customWidth="1"/>
    <col min="12" max="12" width="6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1.33203125" style="2" bestFit="1" customWidth="1"/>
    <col min="29" max="29" width="2.77734375" style="2" customWidth="1"/>
    <col min="30" max="30" width="13.77734375" style="6"/>
    <col min="31" max="16384" width="13.77734375" style="1"/>
  </cols>
  <sheetData>
    <row r="1" spans="1:30" s="12" customFormat="1" ht="19.5" customHeight="1" thickBot="1">
      <c r="A1" s="447" t="s">
        <v>392</v>
      </c>
      <c r="B1" s="447"/>
      <c r="C1" s="447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0" s="3" customFormat="1" ht="27" customHeight="1">
      <c r="A2" s="448" t="s">
        <v>66</v>
      </c>
      <c r="B2" s="449"/>
      <c r="C2" s="449"/>
      <c r="D2" s="450" t="s">
        <v>363</v>
      </c>
      <c r="E2" s="452" t="s">
        <v>364</v>
      </c>
      <c r="F2" s="453"/>
      <c r="G2" s="453"/>
      <c r="H2" s="453"/>
      <c r="I2" s="453"/>
      <c r="J2" s="453"/>
      <c r="K2" s="443" t="s">
        <v>23</v>
      </c>
      <c r="L2" s="443"/>
      <c r="M2" s="443" t="s">
        <v>56</v>
      </c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4"/>
      <c r="AD2" s="9"/>
    </row>
    <row r="3" spans="1:30" s="3" customFormat="1" ht="45.75" customHeight="1" thickBot="1">
      <c r="A3" s="25" t="s">
        <v>1</v>
      </c>
      <c r="B3" s="26" t="s">
        <v>2</v>
      </c>
      <c r="C3" s="26" t="s">
        <v>3</v>
      </c>
      <c r="D3" s="451"/>
      <c r="E3" s="200" t="s">
        <v>126</v>
      </c>
      <c r="F3" s="382" t="s">
        <v>393</v>
      </c>
      <c r="G3" s="274" t="s">
        <v>172</v>
      </c>
      <c r="H3" s="200" t="s">
        <v>115</v>
      </c>
      <c r="I3" s="326" t="s">
        <v>295</v>
      </c>
      <c r="J3" s="200" t="s">
        <v>117</v>
      </c>
      <c r="K3" s="209" t="s">
        <v>127</v>
      </c>
      <c r="L3" s="27" t="s">
        <v>4</v>
      </c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6"/>
      <c r="AD3" s="9"/>
    </row>
    <row r="4" spans="1:30" s="3" customFormat="1" ht="19.5" customHeight="1">
      <c r="A4" s="454" t="s">
        <v>24</v>
      </c>
      <c r="B4" s="455"/>
      <c r="C4" s="456"/>
      <c r="D4" s="28">
        <f>SUM(D5,D7,D20,D25,D28,D34)</f>
        <v>65081</v>
      </c>
      <c r="E4" s="85">
        <f>(F4+G4+H4+I4+J4)</f>
        <v>65185.24</v>
      </c>
      <c r="F4" s="28">
        <f>SUM(F5,F9,F14,F20,F25,F28,F34)</f>
        <v>48140</v>
      </c>
      <c r="G4" s="28">
        <f>SUM(G7,G5,G14,G20,G25,G28,G34,)</f>
        <v>4550</v>
      </c>
      <c r="H4" s="28">
        <f>H5+H7+H20+H28+H34</f>
        <v>7303</v>
      </c>
      <c r="I4" s="28">
        <f>I5+I7+I20+I25+I28+I34</f>
        <v>216</v>
      </c>
      <c r="J4" s="28">
        <f>J5+J7+J20+J28+J34</f>
        <v>4976.24</v>
      </c>
      <c r="K4" s="29">
        <f>E4-D4</f>
        <v>104.23999999999796</v>
      </c>
      <c r="L4" s="45">
        <f>IF(D4=0,0,K4/D4)</f>
        <v>1.6016963476283088E-3</v>
      </c>
      <c r="M4" s="30" t="s">
        <v>217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SUM(AB5,AB7,AB20,AB28,AB34,AB25)</f>
        <v>65635130</v>
      </c>
      <c r="AC4" s="33" t="s">
        <v>216</v>
      </c>
      <c r="AD4" s="9"/>
    </row>
    <row r="5" spans="1:30" ht="21" customHeight="1" thickBot="1">
      <c r="A5" s="41" t="s">
        <v>61</v>
      </c>
      <c r="B5" s="42" t="s">
        <v>61</v>
      </c>
      <c r="C5" s="201" t="s">
        <v>125</v>
      </c>
      <c r="D5" s="43">
        <v>9000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-1800</v>
      </c>
      <c r="L5" s="45">
        <f>IF(D5=0,0,K5/D5)</f>
        <v>-0.2</v>
      </c>
      <c r="M5" s="46" t="s">
        <v>394</v>
      </c>
      <c r="N5" s="198"/>
      <c r="O5" s="47"/>
      <c r="P5" s="47"/>
      <c r="Q5" s="47"/>
      <c r="R5" s="47"/>
      <c r="S5" s="47"/>
      <c r="T5" s="48"/>
      <c r="U5" s="48" t="s">
        <v>64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0" ht="21" customHeight="1">
      <c r="A6" s="51" t="s">
        <v>62</v>
      </c>
      <c r="B6" s="52" t="s">
        <v>116</v>
      </c>
      <c r="C6" s="53" t="s">
        <v>116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395</v>
      </c>
      <c r="N6" s="60"/>
      <c r="O6" s="61"/>
      <c r="P6" s="61"/>
      <c r="Q6" s="203">
        <v>150000</v>
      </c>
      <c r="R6" s="203" t="s">
        <v>58</v>
      </c>
      <c r="S6" s="204" t="s">
        <v>59</v>
      </c>
      <c r="T6" s="203">
        <v>4</v>
      </c>
      <c r="U6" s="203" t="s">
        <v>57</v>
      </c>
      <c r="V6" s="204" t="s">
        <v>59</v>
      </c>
      <c r="W6" s="62">
        <v>12</v>
      </c>
      <c r="X6" s="199" t="s">
        <v>0</v>
      </c>
      <c r="Y6" s="199" t="s">
        <v>54</v>
      </c>
      <c r="Z6" s="199"/>
      <c r="AA6" s="203"/>
      <c r="AB6" s="203">
        <f>Q6*T6*W6</f>
        <v>7200000</v>
      </c>
      <c r="AC6" s="64" t="s">
        <v>58</v>
      </c>
    </row>
    <row r="7" spans="1:30" s="12" customFormat="1" ht="19.5" customHeight="1">
      <c r="A7" s="41" t="s">
        <v>30</v>
      </c>
      <c r="B7" s="440" t="s">
        <v>17</v>
      </c>
      <c r="C7" s="441"/>
      <c r="D7" s="251">
        <f>SUM(D9,D14)</f>
        <v>50634</v>
      </c>
      <c r="E7" s="251">
        <f t="shared" ref="E7:J7" si="0">E8</f>
        <v>3825</v>
      </c>
      <c r="F7" s="251">
        <f t="shared" si="0"/>
        <v>3224</v>
      </c>
      <c r="G7" s="251">
        <f t="shared" si="0"/>
        <v>151</v>
      </c>
      <c r="H7" s="251">
        <f t="shared" si="0"/>
        <v>0</v>
      </c>
      <c r="I7" s="251">
        <v>0</v>
      </c>
      <c r="J7" s="251">
        <f t="shared" si="0"/>
        <v>0</v>
      </c>
      <c r="K7" s="252">
        <f>E7-D7</f>
        <v>-46809</v>
      </c>
      <c r="L7" s="253">
        <f>IF(D7=0,0,K7/D7)</f>
        <v>-0.92445787415570568</v>
      </c>
      <c r="M7" s="67" t="s">
        <v>67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53125000</v>
      </c>
      <c r="AC7" s="50" t="s">
        <v>25</v>
      </c>
      <c r="AD7" s="6"/>
    </row>
    <row r="8" spans="1:30" ht="21" customHeight="1" thickBot="1">
      <c r="A8" s="51"/>
      <c r="B8" s="52" t="s">
        <v>71</v>
      </c>
      <c r="C8" s="52" t="s">
        <v>69</v>
      </c>
      <c r="D8" s="43">
        <f>D9</f>
        <v>15190</v>
      </c>
      <c r="E8" s="43">
        <f t="shared" ref="E8:J8" si="1">E9</f>
        <v>3825</v>
      </c>
      <c r="F8" s="43">
        <f t="shared" si="1"/>
        <v>3224</v>
      </c>
      <c r="G8" s="43">
        <f t="shared" si="1"/>
        <v>151</v>
      </c>
      <c r="H8" s="43">
        <f t="shared" si="1"/>
        <v>0</v>
      </c>
      <c r="I8" s="251">
        <v>0</v>
      </c>
      <c r="J8" s="43">
        <f t="shared" si="1"/>
        <v>0</v>
      </c>
      <c r="K8" s="44">
        <f>E8-D8</f>
        <v>-11365</v>
      </c>
      <c r="L8" s="45">
        <f>IF(D8=0,0,K8/D8)</f>
        <v>-0.7481895984200132</v>
      </c>
      <c r="M8" s="71" t="s">
        <v>67</v>
      </c>
      <c r="N8" s="72"/>
      <c r="O8" s="73"/>
      <c r="P8" s="73"/>
      <c r="Q8" s="73"/>
      <c r="R8" s="73"/>
      <c r="S8" s="73"/>
      <c r="T8" s="74"/>
      <c r="U8" s="75" t="s">
        <v>70</v>
      </c>
      <c r="V8" s="75"/>
      <c r="W8" s="75"/>
      <c r="X8" s="75"/>
      <c r="Y8" s="75"/>
      <c r="Z8" s="75"/>
      <c r="AA8" s="76"/>
      <c r="AB8" s="76">
        <f>SUM(AB9,AB14)</f>
        <v>53125000</v>
      </c>
      <c r="AC8" s="77" t="s">
        <v>68</v>
      </c>
    </row>
    <row r="9" spans="1:30" ht="21" customHeight="1" thickBot="1">
      <c r="A9" s="51"/>
      <c r="B9" s="52"/>
      <c r="C9" s="457" t="s">
        <v>386</v>
      </c>
      <c r="D9" s="43">
        <v>15190</v>
      </c>
      <c r="E9" s="43">
        <f>AB9/1000</f>
        <v>3825</v>
      </c>
      <c r="F9" s="43">
        <f>(AB10)/1000</f>
        <v>3224</v>
      </c>
      <c r="G9" s="43">
        <f>SUM(AB11:AB11)/1000</f>
        <v>151</v>
      </c>
      <c r="H9" s="43">
        <v>0</v>
      </c>
      <c r="I9" s="251">
        <v>0</v>
      </c>
      <c r="J9" s="43">
        <v>0</v>
      </c>
      <c r="K9" s="44">
        <f>E9-D9</f>
        <v>-11365</v>
      </c>
      <c r="L9" s="45">
        <f>IF(D9=0,0,K9/D9)</f>
        <v>-0.7481895984200132</v>
      </c>
      <c r="M9" s="206" t="s">
        <v>387</v>
      </c>
      <c r="N9" s="100"/>
      <c r="O9" s="101"/>
      <c r="P9" s="101"/>
      <c r="Q9" s="101"/>
      <c r="R9" s="101"/>
      <c r="S9" s="101"/>
      <c r="T9" s="102"/>
      <c r="U9" s="103" t="s">
        <v>72</v>
      </c>
      <c r="V9" s="103"/>
      <c r="W9" s="103"/>
      <c r="X9" s="103"/>
      <c r="Y9" s="103"/>
      <c r="Z9" s="103"/>
      <c r="AA9" s="104"/>
      <c r="AB9" s="104">
        <f>SUM(AB10:AB12)</f>
        <v>3825000</v>
      </c>
      <c r="AC9" s="105" t="s">
        <v>25</v>
      </c>
    </row>
    <row r="10" spans="1:30" ht="21" customHeight="1">
      <c r="A10" s="51"/>
      <c r="B10" s="52"/>
      <c r="C10" s="458"/>
      <c r="D10" s="54"/>
      <c r="E10" s="54"/>
      <c r="F10" s="54"/>
      <c r="G10" s="54"/>
      <c r="H10" s="54"/>
      <c r="I10" s="356"/>
      <c r="J10" s="54"/>
      <c r="K10" s="55"/>
      <c r="L10" s="37"/>
      <c r="M10" s="282" t="s">
        <v>334</v>
      </c>
      <c r="N10" s="280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3"/>
      <c r="AB10" s="284">
        <v>3224000</v>
      </c>
      <c r="AC10" s="285" t="s">
        <v>58</v>
      </c>
    </row>
    <row r="11" spans="1:30" ht="21" customHeight="1">
      <c r="A11" s="51"/>
      <c r="B11" s="52"/>
      <c r="C11" s="398"/>
      <c r="D11" s="54"/>
      <c r="E11" s="54"/>
      <c r="F11" s="54"/>
      <c r="G11" s="54"/>
      <c r="H11" s="54"/>
      <c r="I11" s="54"/>
      <c r="J11" s="54"/>
      <c r="K11" s="55"/>
      <c r="L11" s="37"/>
      <c r="M11" s="282" t="s">
        <v>339</v>
      </c>
      <c r="N11" s="280"/>
      <c r="O11" s="281"/>
      <c r="P11" s="281"/>
      <c r="Q11" s="385"/>
      <c r="R11" s="385"/>
      <c r="S11" s="386"/>
      <c r="T11" s="385"/>
      <c r="U11" s="385"/>
      <c r="V11" s="386"/>
      <c r="W11" s="385"/>
      <c r="X11" s="385"/>
      <c r="Y11" s="385"/>
      <c r="Z11" s="385"/>
      <c r="AA11" s="85"/>
      <c r="AB11" s="85">
        <v>151000</v>
      </c>
      <c r="AC11" s="64" t="s">
        <v>58</v>
      </c>
    </row>
    <row r="12" spans="1:30" ht="21" customHeight="1">
      <c r="A12" s="51"/>
      <c r="B12" s="52"/>
      <c r="C12" s="398"/>
      <c r="D12" s="54"/>
      <c r="E12" s="54"/>
      <c r="F12" s="54"/>
      <c r="G12" s="54"/>
      <c r="H12" s="54"/>
      <c r="I12" s="54"/>
      <c r="J12" s="54"/>
      <c r="K12" s="55"/>
      <c r="L12" s="37"/>
      <c r="M12" s="282" t="s">
        <v>337</v>
      </c>
      <c r="N12" s="280"/>
      <c r="O12" s="281"/>
      <c r="P12" s="281"/>
      <c r="AB12" s="404">
        <v>450000</v>
      </c>
      <c r="AC12" s="403" t="s">
        <v>398</v>
      </c>
    </row>
    <row r="13" spans="1:30" ht="21" customHeight="1">
      <c r="A13" s="65"/>
      <c r="B13" s="66"/>
      <c r="C13" s="399"/>
      <c r="D13" s="78"/>
      <c r="E13" s="78"/>
      <c r="F13" s="78"/>
      <c r="G13" s="78"/>
      <c r="H13" s="78"/>
      <c r="I13" s="78"/>
      <c r="J13" s="78"/>
      <c r="K13" s="79"/>
      <c r="L13" s="394"/>
      <c r="M13" s="395"/>
      <c r="N13" s="396"/>
      <c r="O13" s="397"/>
      <c r="P13" s="397"/>
      <c r="Q13" s="383"/>
      <c r="R13" s="383"/>
      <c r="S13" s="384"/>
      <c r="T13" s="383"/>
      <c r="U13" s="383"/>
      <c r="V13" s="384"/>
      <c r="W13" s="383"/>
      <c r="X13" s="383"/>
      <c r="Y13" s="383"/>
      <c r="Z13" s="383"/>
      <c r="AA13" s="90"/>
      <c r="AB13" s="90"/>
      <c r="AC13" s="91"/>
    </row>
    <row r="14" spans="1:30" ht="21" customHeight="1" thickBot="1">
      <c r="A14" s="51"/>
      <c r="B14" s="52"/>
      <c r="C14" s="457" t="s">
        <v>388</v>
      </c>
      <c r="D14" s="54">
        <v>35444</v>
      </c>
      <c r="E14" s="54">
        <f>SUM(F14:J14)</f>
        <v>49300</v>
      </c>
      <c r="F14" s="54">
        <f>AB15/1000</f>
        <v>44901</v>
      </c>
      <c r="G14" s="43">
        <f>SUM(AB16:AB18)/1000</f>
        <v>4399</v>
      </c>
      <c r="H14" s="54">
        <f>AB19</f>
        <v>0</v>
      </c>
      <c r="I14" s="54">
        <f>AB19</f>
        <v>0</v>
      </c>
      <c r="J14" s="54">
        <f>AB19</f>
        <v>0</v>
      </c>
      <c r="K14" s="44">
        <f>E14-D14</f>
        <v>13856</v>
      </c>
      <c r="L14" s="45">
        <f>IF(D14=0,0,K14/D14)</f>
        <v>0.39092653199413158</v>
      </c>
      <c r="M14" s="206" t="s">
        <v>389</v>
      </c>
      <c r="N14" s="100"/>
      <c r="O14" s="281"/>
      <c r="P14" s="281"/>
      <c r="Q14" s="1"/>
      <c r="R14" s="1"/>
      <c r="S14" s="1"/>
      <c r="T14" s="1"/>
      <c r="U14" s="103" t="s">
        <v>70</v>
      </c>
      <c r="V14" s="103"/>
      <c r="W14" s="400"/>
      <c r="X14" s="400"/>
      <c r="Y14" s="400"/>
      <c r="Z14" s="400"/>
      <c r="AA14" s="400"/>
      <c r="AB14" s="104">
        <f>SUM(AB15:AB18)</f>
        <v>49300000</v>
      </c>
      <c r="AC14" s="401" t="s">
        <v>390</v>
      </c>
    </row>
    <row r="15" spans="1:30" ht="21" customHeight="1">
      <c r="A15" s="51"/>
      <c r="B15" s="52"/>
      <c r="C15" s="458"/>
      <c r="D15" s="54"/>
      <c r="E15" s="54"/>
      <c r="F15" s="54"/>
      <c r="G15" s="54"/>
      <c r="H15" s="54"/>
      <c r="I15" s="54"/>
      <c r="J15" s="54"/>
      <c r="K15" s="55"/>
      <c r="L15" s="37"/>
      <c r="M15" s="282" t="s">
        <v>335</v>
      </c>
      <c r="N15" s="280"/>
      <c r="O15" s="281"/>
      <c r="P15" s="28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84">
        <v>44901000</v>
      </c>
      <c r="AC15" s="285" t="s">
        <v>163</v>
      </c>
    </row>
    <row r="16" spans="1:30" ht="21" customHeight="1">
      <c r="A16" s="51"/>
      <c r="B16" s="52"/>
      <c r="C16" s="398"/>
      <c r="D16" s="54"/>
      <c r="E16" s="54"/>
      <c r="F16" s="54"/>
      <c r="G16" s="54"/>
      <c r="H16" s="54"/>
      <c r="I16" s="54"/>
      <c r="J16" s="54"/>
      <c r="K16" s="55"/>
      <c r="L16" s="37"/>
      <c r="M16" s="282" t="s">
        <v>338</v>
      </c>
      <c r="N16" s="286"/>
      <c r="O16" s="287"/>
      <c r="P16" s="287"/>
      <c r="Q16" s="385"/>
      <c r="R16" s="385"/>
      <c r="S16" s="386"/>
      <c r="T16" s="385"/>
      <c r="U16" s="385"/>
      <c r="V16" s="386"/>
      <c r="W16" s="385"/>
      <c r="X16" s="385"/>
      <c r="Y16" s="385"/>
      <c r="Z16" s="385"/>
      <c r="AA16" s="85"/>
      <c r="AB16" s="85">
        <v>1649000</v>
      </c>
      <c r="AC16" s="64" t="s">
        <v>58</v>
      </c>
    </row>
    <row r="17" spans="1:31" ht="21" customHeight="1">
      <c r="A17" s="51"/>
      <c r="B17" s="52"/>
      <c r="C17" s="398"/>
      <c r="D17" s="54"/>
      <c r="E17" s="54"/>
      <c r="F17" s="54"/>
      <c r="G17" s="54"/>
      <c r="H17" s="54"/>
      <c r="I17" s="54"/>
      <c r="J17" s="54"/>
      <c r="K17" s="55"/>
      <c r="L17" s="37"/>
      <c r="M17" s="282" t="s">
        <v>336</v>
      </c>
      <c r="N17" s="286"/>
      <c r="O17" s="287"/>
      <c r="P17" s="287"/>
      <c r="Q17" s="385"/>
      <c r="R17" s="385"/>
      <c r="S17" s="386"/>
      <c r="T17" s="385"/>
      <c r="U17" s="385"/>
      <c r="V17" s="386"/>
      <c r="W17" s="385"/>
      <c r="X17" s="385"/>
      <c r="Y17" s="385"/>
      <c r="Z17" s="385"/>
      <c r="AA17" s="85"/>
      <c r="AB17" s="85">
        <v>2550000</v>
      </c>
      <c r="AC17" s="64" t="s">
        <v>58</v>
      </c>
    </row>
    <row r="18" spans="1:31" ht="21" customHeight="1">
      <c r="A18" s="51"/>
      <c r="B18" s="52"/>
      <c r="C18" s="398"/>
      <c r="D18" s="54"/>
      <c r="E18" s="54"/>
      <c r="F18" s="54"/>
      <c r="G18" s="54"/>
      <c r="H18" s="54"/>
      <c r="I18" s="54"/>
      <c r="J18" s="54"/>
      <c r="K18" s="55"/>
      <c r="L18" s="37"/>
      <c r="M18" s="282" t="s">
        <v>367</v>
      </c>
      <c r="N18" s="286"/>
      <c r="O18" s="287"/>
      <c r="P18" s="287"/>
      <c r="Q18" s="1"/>
      <c r="R18" s="385"/>
      <c r="S18" s="386"/>
      <c r="T18" s="385"/>
      <c r="U18" s="385"/>
      <c r="V18" s="386"/>
      <c r="W18" s="385"/>
      <c r="X18" s="385"/>
      <c r="Y18" s="385"/>
      <c r="Z18" s="385"/>
      <c r="AA18" s="85"/>
      <c r="AB18" s="85">
        <v>200000</v>
      </c>
      <c r="AC18" s="64" t="s">
        <v>58</v>
      </c>
    </row>
    <row r="19" spans="1:31" s="12" customFormat="1" ht="19.5" customHeight="1">
      <c r="A19" s="65"/>
      <c r="B19" s="66"/>
      <c r="C19" s="399"/>
      <c r="D19" s="54"/>
      <c r="E19" s="54"/>
      <c r="F19" s="54"/>
      <c r="G19" s="54"/>
      <c r="H19" s="54"/>
      <c r="I19" s="54"/>
      <c r="J19" s="54"/>
      <c r="K19" s="55"/>
      <c r="L19" s="88"/>
      <c r="M19" s="282"/>
      <c r="N19" s="98"/>
      <c r="O19" s="107"/>
      <c r="P19" s="107"/>
      <c r="Q19" s="98"/>
      <c r="R19" s="98"/>
      <c r="S19" s="98"/>
      <c r="T19" s="98"/>
      <c r="U19" s="98"/>
      <c r="V19" s="99"/>
      <c r="W19" s="99"/>
      <c r="X19" s="99"/>
      <c r="Y19" s="99"/>
      <c r="Z19" s="99"/>
      <c r="AA19" s="99"/>
      <c r="AB19" s="98"/>
      <c r="AC19" s="91"/>
      <c r="AD19" s="6"/>
    </row>
    <row r="20" spans="1:31" ht="21" customHeight="1" thickBot="1">
      <c r="A20" s="41" t="s">
        <v>77</v>
      </c>
      <c r="B20" s="42" t="s">
        <v>13</v>
      </c>
      <c r="C20" s="42" t="s">
        <v>120</v>
      </c>
      <c r="D20" s="43">
        <v>4819</v>
      </c>
      <c r="E20" s="43">
        <f>SUM(F20:J20)</f>
        <v>4976.24</v>
      </c>
      <c r="F20" s="43">
        <v>0</v>
      </c>
      <c r="G20" s="43">
        <v>0</v>
      </c>
      <c r="H20" s="43">
        <v>0</v>
      </c>
      <c r="I20" s="43">
        <v>0</v>
      </c>
      <c r="J20" s="43">
        <f>AB20/1000</f>
        <v>4976.24</v>
      </c>
      <c r="K20" s="44">
        <f>E20-D20</f>
        <v>157.23999999999978</v>
      </c>
      <c r="L20" s="45">
        <f>IF(D20=0,0,K20/D20)</f>
        <v>3.262917617763017E-2</v>
      </c>
      <c r="M20" s="46" t="s">
        <v>31</v>
      </c>
      <c r="N20" s="114"/>
      <c r="O20" s="36"/>
      <c r="P20" s="36"/>
      <c r="Q20" s="36"/>
      <c r="R20" s="36"/>
      <c r="S20" s="36"/>
      <c r="T20" s="36"/>
      <c r="U20" s="115" t="s">
        <v>72</v>
      </c>
      <c r="V20" s="115"/>
      <c r="W20" s="115"/>
      <c r="X20" s="115"/>
      <c r="Y20" s="115"/>
      <c r="Z20" s="115"/>
      <c r="AA20" s="116"/>
      <c r="AB20" s="116">
        <f>SUM(AB21:AB23)</f>
        <v>4976240</v>
      </c>
      <c r="AC20" s="117" t="s">
        <v>25</v>
      </c>
      <c r="AD20" s="23"/>
      <c r="AE20" s="24"/>
    </row>
    <row r="21" spans="1:31" ht="21" customHeight="1">
      <c r="A21" s="51"/>
      <c r="B21" s="52"/>
      <c r="C21" s="52" t="s">
        <v>121</v>
      </c>
      <c r="D21" s="54"/>
      <c r="E21" s="54"/>
      <c r="F21" s="54"/>
      <c r="G21" s="54"/>
      <c r="H21" s="54"/>
      <c r="I21" s="54"/>
      <c r="J21" s="54"/>
      <c r="K21" s="55"/>
      <c r="L21" s="35"/>
      <c r="M21" s="273" t="s">
        <v>164</v>
      </c>
      <c r="N21" s="381" t="s">
        <v>220</v>
      </c>
      <c r="O21" s="272"/>
      <c r="P21" s="272"/>
      <c r="Q21" s="86">
        <v>2072000</v>
      </c>
      <c r="R21" s="87" t="s">
        <v>165</v>
      </c>
      <c r="S21" s="288">
        <v>25</v>
      </c>
      <c r="T21" s="92" t="s">
        <v>165</v>
      </c>
      <c r="U21" s="289">
        <v>1</v>
      </c>
      <c r="V21" s="290">
        <v>1.5</v>
      </c>
      <c r="W21" s="270" t="s">
        <v>166</v>
      </c>
      <c r="X21" s="270">
        <v>209</v>
      </c>
      <c r="Y21" s="270" t="s">
        <v>167</v>
      </c>
      <c r="Z21" s="272"/>
      <c r="AA21" s="85"/>
      <c r="AB21" s="85">
        <f>ROUNDDOWN(Q21*S21*V21/X21,-1)*U21</f>
        <v>371770</v>
      </c>
      <c r="AC21" s="64" t="s">
        <v>168</v>
      </c>
      <c r="AD21" s="23"/>
      <c r="AE21" s="24"/>
    </row>
    <row r="22" spans="1:31" ht="21" customHeight="1">
      <c r="A22" s="51"/>
      <c r="B22" s="52"/>
      <c r="C22" s="52"/>
      <c r="D22" s="54"/>
      <c r="E22" s="54"/>
      <c r="F22" s="54"/>
      <c r="G22" s="54"/>
      <c r="H22" s="54"/>
      <c r="I22" s="54"/>
      <c r="J22" s="54"/>
      <c r="K22" s="55"/>
      <c r="L22" s="35"/>
      <c r="M22" s="257"/>
      <c r="N22" s="381" t="s">
        <v>351</v>
      </c>
      <c r="O22" s="256"/>
      <c r="P22" s="256"/>
      <c r="Q22" s="86">
        <v>2139000</v>
      </c>
      <c r="R22" s="87" t="s">
        <v>165</v>
      </c>
      <c r="S22" s="288">
        <v>25</v>
      </c>
      <c r="T22" s="92" t="s">
        <v>165</v>
      </c>
      <c r="U22" s="289">
        <v>11</v>
      </c>
      <c r="V22" s="290">
        <v>1.5</v>
      </c>
      <c r="W22" s="270" t="s">
        <v>166</v>
      </c>
      <c r="X22" s="270">
        <v>209</v>
      </c>
      <c r="Y22" s="270" t="s">
        <v>167</v>
      </c>
      <c r="Z22" s="272"/>
      <c r="AA22" s="85"/>
      <c r="AB22" s="85">
        <f>ROUNDDOWN(Q22*S22*V22/X22,-1)*U22</f>
        <v>4221690</v>
      </c>
      <c r="AC22" s="64" t="s">
        <v>168</v>
      </c>
      <c r="AD22" s="23"/>
      <c r="AE22" s="24"/>
    </row>
    <row r="23" spans="1:31" ht="21" customHeight="1">
      <c r="A23" s="51"/>
      <c r="B23" s="52"/>
      <c r="C23" s="52"/>
      <c r="D23" s="54"/>
      <c r="E23" s="54"/>
      <c r="F23" s="54"/>
      <c r="G23" s="54"/>
      <c r="H23" s="54"/>
      <c r="I23" s="54"/>
      <c r="J23" s="54"/>
      <c r="K23" s="55"/>
      <c r="L23" s="35"/>
      <c r="M23" s="310" t="s">
        <v>219</v>
      </c>
      <c r="N23" s="257"/>
      <c r="O23" s="256"/>
      <c r="P23" s="256"/>
      <c r="Q23" s="86">
        <f>AB21+AB22</f>
        <v>4593460</v>
      </c>
      <c r="R23" s="87" t="s">
        <v>59</v>
      </c>
      <c r="S23" s="288">
        <v>1</v>
      </c>
      <c r="T23" s="92" t="s">
        <v>59</v>
      </c>
      <c r="U23" s="289">
        <v>1</v>
      </c>
      <c r="V23" s="290">
        <v>1</v>
      </c>
      <c r="W23" s="270" t="s">
        <v>74</v>
      </c>
      <c r="X23" s="270">
        <v>12</v>
      </c>
      <c r="Y23" s="270" t="s">
        <v>218</v>
      </c>
      <c r="Z23" s="309"/>
      <c r="AA23" s="85"/>
      <c r="AB23" s="85">
        <f>ROUNDDOWN(Q23*S23*V23/X23,-1)*U23</f>
        <v>382780</v>
      </c>
      <c r="AC23" s="64" t="s">
        <v>58</v>
      </c>
      <c r="AD23" s="23"/>
      <c r="AE23" s="24"/>
    </row>
    <row r="24" spans="1:31" ht="21" customHeight="1">
      <c r="A24" s="51"/>
      <c r="B24" s="66"/>
      <c r="C24" s="66"/>
      <c r="D24" s="78"/>
      <c r="E24" s="78"/>
      <c r="F24" s="78"/>
      <c r="G24" s="78"/>
      <c r="H24" s="78"/>
      <c r="I24" s="78"/>
      <c r="J24" s="78"/>
      <c r="K24" s="55"/>
      <c r="L24" s="35"/>
      <c r="M24" s="328"/>
      <c r="N24" s="257"/>
      <c r="O24" s="256"/>
      <c r="P24" s="256"/>
      <c r="Q24" s="86"/>
      <c r="R24" s="87"/>
      <c r="S24" s="288"/>
      <c r="T24" s="92"/>
      <c r="U24" s="289"/>
      <c r="V24" s="290"/>
      <c r="W24" s="270"/>
      <c r="X24" s="270"/>
      <c r="Y24" s="270"/>
      <c r="Z24" s="327"/>
      <c r="AA24" s="85"/>
      <c r="AB24" s="85"/>
      <c r="AC24" s="64"/>
      <c r="AD24" s="23"/>
      <c r="AE24" s="24"/>
    </row>
    <row r="25" spans="1:31" s="4" customFormat="1" ht="21" customHeight="1" thickBot="1">
      <c r="A25" s="51" t="s">
        <v>295</v>
      </c>
      <c r="B25" s="52" t="s">
        <v>295</v>
      </c>
      <c r="C25" s="52" t="s">
        <v>296</v>
      </c>
      <c r="D25" s="54">
        <v>100</v>
      </c>
      <c r="E25" s="54">
        <f>I25</f>
        <v>200</v>
      </c>
      <c r="F25" s="54"/>
      <c r="G25" s="54"/>
      <c r="H25" s="54"/>
      <c r="I25" s="54">
        <f>AB26/1000</f>
        <v>200</v>
      </c>
      <c r="J25" s="54"/>
      <c r="K25" s="44">
        <f>E25-D25</f>
        <v>100</v>
      </c>
      <c r="L25" s="45">
        <f>IF(D25=0,0,K25/D25)</f>
        <v>1</v>
      </c>
      <c r="M25" s="46" t="s">
        <v>292</v>
      </c>
      <c r="N25" s="333"/>
      <c r="O25" s="256"/>
      <c r="P25" s="256"/>
      <c r="Q25" s="86"/>
      <c r="R25" s="87"/>
      <c r="S25" s="288"/>
      <c r="T25" s="92"/>
      <c r="U25" s="115" t="s">
        <v>70</v>
      </c>
      <c r="V25" s="115"/>
      <c r="W25" s="115"/>
      <c r="X25" s="115"/>
      <c r="Y25" s="115"/>
      <c r="Z25" s="115"/>
      <c r="AA25" s="116"/>
      <c r="AB25" s="116">
        <f>SUM(AB26:AB27)</f>
        <v>200000</v>
      </c>
      <c r="AC25" s="117" t="s">
        <v>25</v>
      </c>
      <c r="AD25" s="331"/>
      <c r="AE25" s="332"/>
    </row>
    <row r="26" spans="1:31" ht="21" customHeight="1">
      <c r="A26" s="51"/>
      <c r="B26" s="52"/>
      <c r="C26" s="52" t="s">
        <v>295</v>
      </c>
      <c r="D26" s="54"/>
      <c r="E26" s="54"/>
      <c r="F26" s="54"/>
      <c r="G26" s="54"/>
      <c r="H26" s="54"/>
      <c r="I26" s="54"/>
      <c r="J26" s="54"/>
      <c r="K26" s="55"/>
      <c r="L26" s="35"/>
      <c r="M26" s="328" t="s">
        <v>294</v>
      </c>
      <c r="N26" s="257"/>
      <c r="O26" s="256"/>
      <c r="P26" s="256"/>
      <c r="Q26" s="86"/>
      <c r="R26" s="87"/>
      <c r="S26" s="288"/>
      <c r="T26" s="92"/>
      <c r="U26" s="289"/>
      <c r="V26" s="290"/>
      <c r="W26" s="270"/>
      <c r="X26" s="270"/>
      <c r="Y26" s="270"/>
      <c r="Z26" s="327"/>
      <c r="AA26" s="85"/>
      <c r="AB26" s="85">
        <v>200000</v>
      </c>
      <c r="AC26" s="64" t="s">
        <v>290</v>
      </c>
      <c r="AD26" s="23"/>
      <c r="AE26" s="24"/>
    </row>
    <row r="27" spans="1:31" s="4" customFormat="1" ht="21" customHeight="1">
      <c r="A27" s="51"/>
      <c r="B27" s="52"/>
      <c r="C27" s="52"/>
      <c r="D27" s="54"/>
      <c r="E27" s="54"/>
      <c r="F27" s="54"/>
      <c r="G27" s="54"/>
      <c r="H27" s="54"/>
      <c r="I27" s="54"/>
      <c r="J27" s="54"/>
      <c r="K27" s="55"/>
      <c r="L27" s="88"/>
      <c r="M27" s="262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262"/>
      <c r="AA27" s="56"/>
      <c r="AB27" s="118"/>
      <c r="AC27" s="64"/>
      <c r="AD27" s="7"/>
    </row>
    <row r="28" spans="1:31" ht="21" customHeight="1" thickBot="1">
      <c r="A28" s="41" t="s">
        <v>14</v>
      </c>
      <c r="B28" s="42" t="s">
        <v>14</v>
      </c>
      <c r="C28" s="42" t="s">
        <v>78</v>
      </c>
      <c r="D28" s="43">
        <v>517</v>
      </c>
      <c r="E28" s="43">
        <f>SUM(F28:J28)</f>
        <v>123</v>
      </c>
      <c r="F28" s="43">
        <f>ROUND(SUM(AB29),-3)/1000</f>
        <v>7</v>
      </c>
      <c r="G28" s="43">
        <v>0</v>
      </c>
      <c r="H28" s="43">
        <f>AB30/1000</f>
        <v>100</v>
      </c>
      <c r="I28" s="43">
        <f>AB32/1000</f>
        <v>16</v>
      </c>
      <c r="J28" s="43">
        <v>0</v>
      </c>
      <c r="K28" s="44">
        <f>E28-D28</f>
        <v>-394</v>
      </c>
      <c r="L28" s="45">
        <f>IF(D28=0,0,K28/D28)</f>
        <v>-0.76208897485493232</v>
      </c>
      <c r="M28" s="46" t="s">
        <v>293</v>
      </c>
      <c r="N28" s="114"/>
      <c r="O28" s="48"/>
      <c r="P28" s="48"/>
      <c r="Q28" s="48"/>
      <c r="R28" s="48"/>
      <c r="S28" s="48"/>
      <c r="T28" s="48"/>
      <c r="U28" s="115" t="s">
        <v>70</v>
      </c>
      <c r="V28" s="115"/>
      <c r="W28" s="115"/>
      <c r="X28" s="115"/>
      <c r="Y28" s="115"/>
      <c r="Z28" s="115"/>
      <c r="AA28" s="116"/>
      <c r="AB28" s="116">
        <f>SUM(AB29:AB32)</f>
        <v>122890</v>
      </c>
      <c r="AC28" s="117" t="s">
        <v>25</v>
      </c>
    </row>
    <row r="29" spans="1:31" ht="21" customHeight="1">
      <c r="A29" s="51"/>
      <c r="B29" s="52"/>
      <c r="C29" s="52" t="s">
        <v>340</v>
      </c>
      <c r="D29" s="54"/>
      <c r="E29" s="54"/>
      <c r="F29" s="54"/>
      <c r="G29" s="54"/>
      <c r="H29" s="54"/>
      <c r="I29" s="54"/>
      <c r="J29" s="54"/>
      <c r="K29" s="55"/>
      <c r="L29" s="88"/>
      <c r="M29" s="84" t="s">
        <v>171</v>
      </c>
      <c r="N29" s="180"/>
      <c r="O29" s="179"/>
      <c r="P29" s="179"/>
      <c r="Q29" s="179"/>
      <c r="R29" s="179"/>
      <c r="S29" s="179"/>
      <c r="T29" s="179"/>
      <c r="U29" s="60"/>
      <c r="V29" s="60"/>
      <c r="W29" s="60"/>
      <c r="X29" s="179"/>
      <c r="Y29" s="179"/>
      <c r="Z29" s="179"/>
      <c r="AA29" s="85"/>
      <c r="AB29" s="85">
        <v>6890</v>
      </c>
      <c r="AC29" s="64" t="s">
        <v>162</v>
      </c>
    </row>
    <row r="30" spans="1:31" ht="21" customHeight="1">
      <c r="A30" s="51"/>
      <c r="B30" s="52"/>
      <c r="C30" s="52"/>
      <c r="D30" s="54"/>
      <c r="E30" s="54"/>
      <c r="F30" s="54"/>
      <c r="G30" s="54"/>
      <c r="H30" s="54"/>
      <c r="I30" s="54"/>
      <c r="J30" s="54"/>
      <c r="K30" s="55"/>
      <c r="L30" s="88"/>
      <c r="M30" s="84" t="s">
        <v>169</v>
      </c>
      <c r="N30" s="180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>
        <v>100000</v>
      </c>
      <c r="AC30" s="64" t="s">
        <v>162</v>
      </c>
    </row>
    <row r="31" spans="1:31" ht="21" customHeight="1">
      <c r="A31" s="51"/>
      <c r="B31" s="52"/>
      <c r="C31" s="52"/>
      <c r="D31" s="54"/>
      <c r="E31" s="54"/>
      <c r="F31" s="54"/>
      <c r="G31" s="54"/>
      <c r="H31" s="54"/>
      <c r="I31" s="54"/>
      <c r="J31" s="54"/>
      <c r="K31" s="55"/>
      <c r="L31" s="88"/>
      <c r="M31" s="84" t="s">
        <v>170</v>
      </c>
      <c r="N31" s="180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>
        <v>0</v>
      </c>
      <c r="AC31" s="64" t="s">
        <v>162</v>
      </c>
    </row>
    <row r="32" spans="1:31" ht="21" customHeight="1">
      <c r="A32" s="51"/>
      <c r="B32" s="52"/>
      <c r="C32" s="52"/>
      <c r="D32" s="54"/>
      <c r="E32" s="54"/>
      <c r="F32" s="54"/>
      <c r="G32" s="54"/>
      <c r="H32" s="54"/>
      <c r="I32" s="54"/>
      <c r="J32" s="54"/>
      <c r="K32" s="55"/>
      <c r="L32" s="88"/>
      <c r="M32" s="84" t="s">
        <v>321</v>
      </c>
      <c r="N32" s="342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>
        <v>16000</v>
      </c>
      <c r="AC32" s="64" t="s">
        <v>58</v>
      </c>
    </row>
    <row r="33" spans="1:30" ht="21" customHeight="1">
      <c r="A33" s="51"/>
      <c r="B33" s="52"/>
      <c r="C33" s="52"/>
      <c r="D33" s="54"/>
      <c r="E33" s="54"/>
      <c r="F33" s="54"/>
      <c r="G33" s="54"/>
      <c r="H33" s="54"/>
      <c r="I33" s="54"/>
      <c r="J33" s="54"/>
      <c r="K33" s="55"/>
      <c r="L33" s="88"/>
      <c r="M33" s="84"/>
      <c r="N33" s="180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64"/>
    </row>
    <row r="34" spans="1:30" ht="21" customHeight="1">
      <c r="A34" s="51" t="s">
        <v>79</v>
      </c>
      <c r="B34" s="109" t="s">
        <v>16</v>
      </c>
      <c r="C34" s="109" t="s">
        <v>80</v>
      </c>
      <c r="D34" s="43">
        <f>D35</f>
        <v>11</v>
      </c>
      <c r="E34" s="43">
        <f>SUM(E35,E37)</f>
        <v>11</v>
      </c>
      <c r="F34" s="43">
        <f>SUM(F35,F37)</f>
        <v>8</v>
      </c>
      <c r="G34" s="43">
        <f>SUM(G35,G37)</f>
        <v>0</v>
      </c>
      <c r="H34" s="43">
        <f>SUM(H35,H37)</f>
        <v>3</v>
      </c>
      <c r="I34" s="43">
        <v>0</v>
      </c>
      <c r="J34" s="43">
        <f>SUM(J35,J37)</f>
        <v>0</v>
      </c>
      <c r="K34" s="44">
        <f>E34-D34</f>
        <v>0</v>
      </c>
      <c r="L34" s="45">
        <f>IF(D34=0,0,K34/D34)</f>
        <v>0</v>
      </c>
      <c r="M34" s="67" t="s">
        <v>81</v>
      </c>
      <c r="N34" s="69"/>
      <c r="O34" s="48"/>
      <c r="P34" s="48"/>
      <c r="Q34" s="48"/>
      <c r="R34" s="48"/>
      <c r="S34" s="48"/>
      <c r="T34" s="48"/>
      <c r="U34" s="48" t="s">
        <v>118</v>
      </c>
      <c r="V34" s="48"/>
      <c r="W34" s="48"/>
      <c r="X34" s="48"/>
      <c r="Y34" s="48"/>
      <c r="Z34" s="48"/>
      <c r="AA34" s="49"/>
      <c r="AB34" s="49">
        <f>AB35+AB37</f>
        <v>11000</v>
      </c>
      <c r="AC34" s="50" t="s">
        <v>25</v>
      </c>
    </row>
    <row r="35" spans="1:30" ht="21" customHeight="1">
      <c r="A35" s="51"/>
      <c r="B35" s="52"/>
      <c r="C35" s="52" t="s">
        <v>123</v>
      </c>
      <c r="D35" s="54">
        <v>11</v>
      </c>
      <c r="E35" s="43">
        <f>SUM(F35:J35)</f>
        <v>11</v>
      </c>
      <c r="F35" s="43">
        <v>8</v>
      </c>
      <c r="G35" s="43">
        <v>0</v>
      </c>
      <c r="H35" s="43">
        <v>3</v>
      </c>
      <c r="I35" s="43">
        <v>0</v>
      </c>
      <c r="J35" s="43">
        <v>0</v>
      </c>
      <c r="K35" s="55">
        <f>E35-D35</f>
        <v>0</v>
      </c>
      <c r="L35" s="45">
        <f>IF(D35=0,0,K35/D35)</f>
        <v>0</v>
      </c>
      <c r="M35" s="123" t="s">
        <v>82</v>
      </c>
      <c r="N35" s="38"/>
      <c r="O35" s="39"/>
      <c r="P35" s="39"/>
      <c r="Q35" s="39"/>
      <c r="R35" s="39"/>
      <c r="S35" s="39"/>
      <c r="T35" s="39"/>
      <c r="U35" s="205" t="s">
        <v>119</v>
      </c>
      <c r="V35" s="39"/>
      <c r="W35" s="39"/>
      <c r="X35" s="39"/>
      <c r="Y35" s="39"/>
      <c r="Z35" s="39"/>
      <c r="AA35" s="58"/>
      <c r="AB35" s="58">
        <v>11000</v>
      </c>
      <c r="AC35" s="40" t="s">
        <v>25</v>
      </c>
    </row>
    <row r="36" spans="1:30" s="12" customFormat="1" ht="19.5" customHeight="1">
      <c r="A36" s="70"/>
      <c r="B36" s="112"/>
      <c r="C36" s="52" t="s">
        <v>124</v>
      </c>
      <c r="D36" s="54"/>
      <c r="E36" s="54"/>
      <c r="F36" s="54"/>
      <c r="G36" s="54"/>
      <c r="H36" s="54"/>
      <c r="I36" s="54"/>
      <c r="J36" s="54"/>
      <c r="K36" s="55"/>
      <c r="L36" s="37"/>
      <c r="M36" s="89"/>
      <c r="N36" s="98"/>
      <c r="O36" s="98"/>
      <c r="P36" s="98"/>
      <c r="Q36" s="98"/>
      <c r="R36" s="98"/>
      <c r="S36" s="98"/>
      <c r="T36" s="98"/>
      <c r="U36" s="442"/>
      <c r="V36" s="442"/>
      <c r="W36" s="98"/>
      <c r="X36" s="98"/>
      <c r="Y36" s="98"/>
      <c r="Z36" s="98"/>
      <c r="AA36" s="98"/>
      <c r="AB36" s="124"/>
      <c r="AC36" s="40" t="s">
        <v>25</v>
      </c>
      <c r="AD36" s="6"/>
    </row>
    <row r="37" spans="1:30" ht="21" customHeight="1">
      <c r="A37" s="51"/>
      <c r="B37" s="52"/>
      <c r="C37" s="42" t="s">
        <v>122</v>
      </c>
      <c r="D37" s="43">
        <v>0</v>
      </c>
      <c r="E37" s="43">
        <f>SUM(F37:J37)</f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4">
        <f>E37-D37</f>
        <v>0</v>
      </c>
      <c r="L37" s="45">
        <f>IF(D37=0,0,K37/D37)</f>
        <v>0</v>
      </c>
      <c r="M37" s="123" t="s">
        <v>32</v>
      </c>
      <c r="N37" s="119"/>
      <c r="O37" s="39"/>
      <c r="P37" s="39"/>
      <c r="Q37" s="39"/>
      <c r="R37" s="39"/>
      <c r="S37" s="39"/>
      <c r="T37" s="39"/>
      <c r="U37" s="202" t="s">
        <v>119</v>
      </c>
      <c r="V37" s="111"/>
      <c r="W37" s="111"/>
      <c r="X37" s="111"/>
      <c r="Y37" s="111"/>
      <c r="Z37" s="111"/>
      <c r="AA37" s="120"/>
      <c r="AB37" s="120">
        <f>SUM(AB38:AB38)</f>
        <v>0</v>
      </c>
      <c r="AC37" s="121" t="s">
        <v>25</v>
      </c>
    </row>
    <row r="38" spans="1:30" s="12" customFormat="1" ht="19.5" customHeight="1" thickBot="1">
      <c r="A38" s="402"/>
      <c r="B38" s="125"/>
      <c r="C38" s="126" t="s">
        <v>16</v>
      </c>
      <c r="D38" s="127"/>
      <c r="E38" s="127"/>
      <c r="F38" s="127"/>
      <c r="G38" s="127"/>
      <c r="H38" s="127"/>
      <c r="I38" s="127"/>
      <c r="J38" s="127"/>
      <c r="K38" s="128"/>
      <c r="L38" s="129"/>
      <c r="M38" s="80"/>
      <c r="N38" s="82"/>
      <c r="O38" s="82"/>
      <c r="P38" s="82"/>
      <c r="Q38" s="82"/>
      <c r="R38" s="82"/>
      <c r="S38" s="81"/>
      <c r="T38" s="82"/>
      <c r="U38" s="81"/>
      <c r="V38" s="81"/>
      <c r="W38" s="82"/>
      <c r="X38" s="82"/>
      <c r="Y38" s="130"/>
      <c r="Z38" s="130"/>
      <c r="AA38" s="81"/>
      <c r="AB38" s="82">
        <v>0</v>
      </c>
      <c r="AC38" s="83" t="s">
        <v>83</v>
      </c>
      <c r="AD38" s="6"/>
    </row>
    <row r="49" spans="30:30" ht="19.5" customHeight="1">
      <c r="AD49" s="6" t="s">
        <v>65</v>
      </c>
    </row>
  </sheetData>
  <mergeCells count="11">
    <mergeCell ref="B7:C7"/>
    <mergeCell ref="U36:V36"/>
    <mergeCell ref="K2:L2"/>
    <mergeCell ref="M2:AC3"/>
    <mergeCell ref="A1:C1"/>
    <mergeCell ref="A2:C2"/>
    <mergeCell ref="D2:D3"/>
    <mergeCell ref="E2:J2"/>
    <mergeCell ref="A4:C4"/>
    <mergeCell ref="C9:C10"/>
    <mergeCell ref="C14:C15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42"/>
  <sheetViews>
    <sheetView tabSelected="1" zoomScale="84" zoomScaleNormal="84" zoomScaleSheetLayoutView="100" workbookViewId="0">
      <selection activeCell="AC49" sqref="AC49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50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1" s="12" customFormat="1" ht="21" customHeight="1" thickBot="1">
      <c r="A1" s="465" t="s">
        <v>391</v>
      </c>
      <c r="B1" s="447"/>
      <c r="C1" s="447"/>
      <c r="D1" s="131"/>
      <c r="E1" s="131"/>
      <c r="F1" s="131"/>
      <c r="G1" s="131"/>
      <c r="H1" s="131"/>
      <c r="I1" s="131"/>
      <c r="J1" s="131"/>
      <c r="K1" s="131"/>
      <c r="L1" s="232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1" s="3" customFormat="1" ht="21" customHeight="1">
      <c r="A2" s="448" t="s">
        <v>22</v>
      </c>
      <c r="B2" s="449"/>
      <c r="C2" s="449"/>
      <c r="D2" s="450" t="s">
        <v>361</v>
      </c>
      <c r="E2" s="452" t="s">
        <v>362</v>
      </c>
      <c r="F2" s="453"/>
      <c r="G2" s="453"/>
      <c r="H2" s="453"/>
      <c r="I2" s="453"/>
      <c r="J2" s="453"/>
      <c r="K2" s="443" t="s">
        <v>23</v>
      </c>
      <c r="L2" s="443"/>
      <c r="M2" s="459" t="s">
        <v>55</v>
      </c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1"/>
    </row>
    <row r="3" spans="1:31" s="3" customFormat="1" ht="30.75" customHeight="1" thickBot="1">
      <c r="A3" s="25" t="s">
        <v>1</v>
      </c>
      <c r="B3" s="26" t="s">
        <v>2</v>
      </c>
      <c r="C3" s="26" t="s">
        <v>3</v>
      </c>
      <c r="D3" s="451"/>
      <c r="E3" s="210" t="s">
        <v>126</v>
      </c>
      <c r="F3" s="271" t="s">
        <v>161</v>
      </c>
      <c r="G3" s="274" t="s">
        <v>172</v>
      </c>
      <c r="H3" s="210" t="s">
        <v>115</v>
      </c>
      <c r="I3" s="326" t="s">
        <v>295</v>
      </c>
      <c r="J3" s="210" t="s">
        <v>117</v>
      </c>
      <c r="K3" s="209" t="s">
        <v>127</v>
      </c>
      <c r="L3" s="132" t="s">
        <v>4</v>
      </c>
      <c r="M3" s="462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4"/>
    </row>
    <row r="4" spans="1:31" s="12" customFormat="1" ht="21" customHeight="1">
      <c r="A4" s="468" t="s">
        <v>33</v>
      </c>
      <c r="B4" s="469"/>
      <c r="C4" s="469"/>
      <c r="D4" s="225">
        <f>SUM(D5,D77,D89,D139)-1</f>
        <v>65081</v>
      </c>
      <c r="E4" s="225">
        <f>SUM(F4,G4,H4,J4,I4)</f>
        <v>65635.465960000001</v>
      </c>
      <c r="F4" s="225">
        <f>SUM(F5,F77,F89,F139)</f>
        <v>48139.89</v>
      </c>
      <c r="G4" s="225">
        <f>SUM(G5,G77,G89,G139)</f>
        <v>5000</v>
      </c>
      <c r="H4" s="225">
        <f>SUM(H5,H77,H89,H139)</f>
        <v>7303.3359600000003</v>
      </c>
      <c r="I4" s="225">
        <f>SUM(I5,I77,I89,I139,I110)</f>
        <v>216</v>
      </c>
      <c r="J4" s="225">
        <f>SUM(J5,J77,J89,J139)</f>
        <v>4976.24</v>
      </c>
      <c r="K4" s="224">
        <f>E4-D4</f>
        <v>554.46596000000136</v>
      </c>
      <c r="L4" s="226">
        <f>IF(D4=0,0,K4/D4)</f>
        <v>8.519628770301645E-3</v>
      </c>
      <c r="M4" s="227" t="s">
        <v>142</v>
      </c>
      <c r="N4" s="228"/>
      <c r="O4" s="228"/>
      <c r="P4" s="228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>
        <f>SUM(AC5,AC77,AC89,AC139)</f>
        <v>65635130</v>
      </c>
      <c r="AD4" s="230" t="s">
        <v>25</v>
      </c>
      <c r="AE4" s="2"/>
    </row>
    <row r="5" spans="1:31" s="12" customFormat="1" ht="21" customHeight="1">
      <c r="A5" s="138" t="s">
        <v>6</v>
      </c>
      <c r="B5" s="466" t="s">
        <v>7</v>
      </c>
      <c r="C5" s="467"/>
      <c r="D5" s="222">
        <f t="shared" ref="D5:J5" si="0">SUM(D6,D39,D48)</f>
        <v>45629</v>
      </c>
      <c r="E5" s="222">
        <f t="shared" si="0"/>
        <v>47019.71</v>
      </c>
      <c r="F5" s="222">
        <f t="shared" si="0"/>
        <v>39353.800000000003</v>
      </c>
      <c r="G5" s="222">
        <f>SUM(G6,G39,G48)</f>
        <v>2000</v>
      </c>
      <c r="H5" s="222">
        <f t="shared" si="0"/>
        <v>890.33596</v>
      </c>
      <c r="I5" s="222">
        <f t="shared" si="0"/>
        <v>0</v>
      </c>
      <c r="J5" s="222">
        <f t="shared" si="0"/>
        <v>4976.24</v>
      </c>
      <c r="K5" s="133">
        <f>E5-D5</f>
        <v>1390.7099999999991</v>
      </c>
      <c r="L5" s="231">
        <f>IF(D5=0,0,K5/D5)</f>
        <v>3.0478642968287693E-2</v>
      </c>
      <c r="M5" s="257" t="s">
        <v>141</v>
      </c>
      <c r="N5" s="215"/>
      <c r="O5" s="215"/>
      <c r="P5" s="215"/>
      <c r="Q5" s="214"/>
      <c r="R5" s="256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>
        <f>SUM(AC6,AC39,AC48)</f>
        <v>47220040</v>
      </c>
      <c r="AD5" s="40" t="s">
        <v>25</v>
      </c>
      <c r="AE5" s="2"/>
    </row>
    <row r="6" spans="1:31" s="12" customFormat="1" ht="21" customHeight="1">
      <c r="A6" s="51"/>
      <c r="B6" s="405" t="s">
        <v>8</v>
      </c>
      <c r="C6" s="234" t="s">
        <v>5</v>
      </c>
      <c r="D6" s="235">
        <f>SUM(D7,D10,D25,D29,D36)</f>
        <v>40009</v>
      </c>
      <c r="E6" s="233">
        <f>SUM(E7,E10,E25,E29)</f>
        <v>41444.629999999997</v>
      </c>
      <c r="F6" s="233">
        <f>F7+F10+F25+F29</f>
        <v>34668.39</v>
      </c>
      <c r="G6" s="233">
        <f>SUM(G7,G10,G25,G29,G36)</f>
        <v>2000</v>
      </c>
      <c r="H6" s="233">
        <f>SUM(H7,H10,H25,H29)</f>
        <v>0</v>
      </c>
      <c r="I6" s="233">
        <v>0</v>
      </c>
      <c r="J6" s="233">
        <f>SUM(J7,J10,J25,J29)</f>
        <v>4976.24</v>
      </c>
      <c r="K6" s="236">
        <f>E6-D6</f>
        <v>1435.6299999999974</v>
      </c>
      <c r="L6" s="237">
        <f>IF(D6=0,0,K6/D6)</f>
        <v>3.5882676397810426E-2</v>
      </c>
      <c r="M6" s="238" t="s">
        <v>140</v>
      </c>
      <c r="N6" s="238"/>
      <c r="O6" s="238"/>
      <c r="P6" s="238"/>
      <c r="Q6" s="239"/>
      <c r="R6" s="316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>
        <f>SUM(AC7,AC10,AC25,AC29,AC36)</f>
        <v>41644630</v>
      </c>
      <c r="AD6" s="240" t="s">
        <v>25</v>
      </c>
      <c r="AE6" s="2"/>
    </row>
    <row r="7" spans="1:31" s="12" customFormat="1" ht="21" customHeight="1">
      <c r="A7" s="51"/>
      <c r="B7" s="406"/>
      <c r="C7" s="405" t="s">
        <v>34</v>
      </c>
      <c r="D7" s="218">
        <v>24791</v>
      </c>
      <c r="E7" s="140">
        <f>F7</f>
        <v>25601</v>
      </c>
      <c r="F7" s="140">
        <f>AC7/1000</f>
        <v>25601</v>
      </c>
      <c r="G7" s="140">
        <v>0</v>
      </c>
      <c r="H7" s="140">
        <v>0</v>
      </c>
      <c r="I7" s="140"/>
      <c r="J7" s="140">
        <v>0</v>
      </c>
      <c r="K7" s="139">
        <f>E7-D7</f>
        <v>810</v>
      </c>
      <c r="L7" s="147">
        <f>IF(D7=0,0,K7/D7)</f>
        <v>3.2673147513210439E-2</v>
      </c>
      <c r="M7" s="279" t="s">
        <v>84</v>
      </c>
      <c r="N7" s="279"/>
      <c r="O7" s="261"/>
      <c r="P7" s="261"/>
      <c r="Q7" s="261"/>
      <c r="R7" s="261"/>
      <c r="S7" s="260"/>
      <c r="T7" s="260"/>
      <c r="U7" s="260"/>
      <c r="V7" s="278" t="s">
        <v>128</v>
      </c>
      <c r="W7" s="278"/>
      <c r="X7" s="278"/>
      <c r="Y7" s="278"/>
      <c r="Z7" s="278"/>
      <c r="AA7" s="278"/>
      <c r="AB7" s="241"/>
      <c r="AC7" s="241">
        <f>SUM(AC8:AC9)</f>
        <v>25601000</v>
      </c>
      <c r="AD7" s="240" t="s">
        <v>58</v>
      </c>
      <c r="AE7" s="1"/>
    </row>
    <row r="8" spans="1:31" s="12" customFormat="1" ht="21" customHeight="1">
      <c r="A8" s="51"/>
      <c r="B8" s="406"/>
      <c r="C8" s="406"/>
      <c r="D8" s="216"/>
      <c r="E8" s="294"/>
      <c r="F8" s="294"/>
      <c r="G8" s="294"/>
      <c r="H8" s="294"/>
      <c r="I8" s="294"/>
      <c r="J8" s="294"/>
      <c r="K8" s="134"/>
      <c r="L8" s="88"/>
      <c r="M8" s="86" t="s">
        <v>177</v>
      </c>
      <c r="N8" s="295" t="s">
        <v>220</v>
      </c>
      <c r="O8" s="275"/>
      <c r="P8" s="275"/>
      <c r="Q8" s="86">
        <v>2072000</v>
      </c>
      <c r="R8" s="86"/>
      <c r="S8" s="87" t="s">
        <v>173</v>
      </c>
      <c r="T8" s="87" t="s">
        <v>174</v>
      </c>
      <c r="U8" s="87">
        <v>1</v>
      </c>
      <c r="V8" s="87" t="s">
        <v>175</v>
      </c>
      <c r="W8" s="87" t="s">
        <v>174</v>
      </c>
      <c r="X8" s="296">
        <v>1</v>
      </c>
      <c r="Y8" s="87" t="s">
        <v>29</v>
      </c>
      <c r="Z8" s="87" t="s">
        <v>176</v>
      </c>
      <c r="AA8" s="275"/>
      <c r="AB8" s="85"/>
      <c r="AC8" s="85">
        <f t="shared" ref="AC8:AC9" si="1">Q8*U8*X8</f>
        <v>2072000</v>
      </c>
      <c r="AD8" s="64" t="s">
        <v>25</v>
      </c>
      <c r="AE8" s="1"/>
    </row>
    <row r="9" spans="1:31" s="12" customFormat="1" ht="21" customHeight="1">
      <c r="A9" s="51"/>
      <c r="B9" s="406"/>
      <c r="C9" s="66"/>
      <c r="D9" s="217"/>
      <c r="E9" s="137"/>
      <c r="F9" s="137"/>
      <c r="G9" s="137"/>
      <c r="H9" s="137"/>
      <c r="I9" s="137"/>
      <c r="J9" s="137"/>
      <c r="K9" s="137"/>
      <c r="L9" s="106"/>
      <c r="M9" s="86"/>
      <c r="N9" s="295" t="s">
        <v>351</v>
      </c>
      <c r="O9" s="275"/>
      <c r="P9" s="275"/>
      <c r="Q9" s="86">
        <v>2139000</v>
      </c>
      <c r="R9" s="86"/>
      <c r="S9" s="87" t="s">
        <v>173</v>
      </c>
      <c r="T9" s="87" t="s">
        <v>174</v>
      </c>
      <c r="U9" s="87">
        <v>1</v>
      </c>
      <c r="V9" s="87" t="s">
        <v>175</v>
      </c>
      <c r="W9" s="87" t="s">
        <v>174</v>
      </c>
      <c r="X9" s="296">
        <v>11</v>
      </c>
      <c r="Y9" s="87" t="s">
        <v>29</v>
      </c>
      <c r="Z9" s="87" t="s">
        <v>176</v>
      </c>
      <c r="AA9" s="275"/>
      <c r="AB9" s="85"/>
      <c r="AC9" s="85">
        <f t="shared" si="1"/>
        <v>23529000</v>
      </c>
      <c r="AD9" s="64" t="s">
        <v>25</v>
      </c>
      <c r="AE9" s="1"/>
    </row>
    <row r="10" spans="1:31" s="12" customFormat="1" ht="21" customHeight="1">
      <c r="A10" s="51"/>
      <c r="B10" s="406"/>
      <c r="C10" s="405" t="s">
        <v>35</v>
      </c>
      <c r="D10" s="218">
        <v>9515</v>
      </c>
      <c r="E10" s="140">
        <f>F10+G10+H10+J10</f>
        <v>9640.0600000000013</v>
      </c>
      <c r="F10" s="140">
        <f>SUM(명절휴가비,AC15)/1000</f>
        <v>3246.6</v>
      </c>
      <c r="G10" s="140">
        <f>SUM(AC22)/1000</f>
        <v>1800</v>
      </c>
      <c r="H10" s="140">
        <v>0</v>
      </c>
      <c r="I10" s="140">
        <v>0</v>
      </c>
      <c r="J10" s="140">
        <f>SUM(연장근로수당)/1000</f>
        <v>4593.46</v>
      </c>
      <c r="K10" s="139">
        <f>E10-D10</f>
        <v>125.06000000000131</v>
      </c>
      <c r="L10" s="147">
        <f>IF(D10=0,0,K10/D10)</f>
        <v>1.3143457698371131E-2</v>
      </c>
      <c r="M10" s="122" t="s">
        <v>36</v>
      </c>
      <c r="N10" s="238"/>
      <c r="O10" s="119"/>
      <c r="P10" s="119"/>
      <c r="Q10" s="119"/>
      <c r="R10" s="261"/>
      <c r="S10" s="111"/>
      <c r="T10" s="111"/>
      <c r="U10" s="111"/>
      <c r="V10" s="239" t="s">
        <v>128</v>
      </c>
      <c r="W10" s="239"/>
      <c r="X10" s="239"/>
      <c r="Y10" s="239"/>
      <c r="Z10" s="239"/>
      <c r="AA10" s="239"/>
      <c r="AB10" s="241"/>
      <c r="AC10" s="241">
        <f>SUM(명절휴가비,연장근로수당,AC15,AC22)</f>
        <v>9640060</v>
      </c>
      <c r="AD10" s="240" t="s">
        <v>58</v>
      </c>
      <c r="AE10" s="1"/>
    </row>
    <row r="11" spans="1:31" s="12" customFormat="1" ht="21" customHeight="1">
      <c r="A11" s="51"/>
      <c r="B11" s="406"/>
      <c r="C11" s="406"/>
      <c r="D11" s="216"/>
      <c r="E11" s="134"/>
      <c r="F11" s="134"/>
      <c r="G11" s="134"/>
      <c r="H11" s="134"/>
      <c r="I11" s="134"/>
      <c r="J11" s="134"/>
      <c r="K11" s="134"/>
      <c r="L11" s="88"/>
      <c r="M11" s="277" t="s">
        <v>179</v>
      </c>
      <c r="N11" s="155"/>
      <c r="O11" s="155"/>
      <c r="P11" s="155"/>
      <c r="Q11" s="155"/>
      <c r="R11" s="319"/>
      <c r="S11" s="154"/>
      <c r="T11" s="154"/>
      <c r="U11" s="154"/>
      <c r="V11" s="165" t="s">
        <v>73</v>
      </c>
      <c r="W11" s="165"/>
      <c r="X11" s="165"/>
      <c r="Y11" s="165"/>
      <c r="Z11" s="165"/>
      <c r="AA11" s="165"/>
      <c r="AB11" s="90" t="s">
        <v>90</v>
      </c>
      <c r="AC11" s="90">
        <f>SUM(AC12:AC13)</f>
        <v>2526600</v>
      </c>
      <c r="AD11" s="91" t="s">
        <v>58</v>
      </c>
      <c r="AE11" s="18"/>
    </row>
    <row r="12" spans="1:31" s="12" customFormat="1" ht="21" customHeight="1">
      <c r="A12" s="51"/>
      <c r="B12" s="406"/>
      <c r="C12" s="406"/>
      <c r="D12" s="216"/>
      <c r="E12" s="134"/>
      <c r="F12" s="134"/>
      <c r="G12" s="134"/>
      <c r="H12" s="134"/>
      <c r="I12" s="134"/>
      <c r="J12" s="134"/>
      <c r="K12" s="134"/>
      <c r="L12" s="88"/>
      <c r="M12" s="301" t="s">
        <v>230</v>
      </c>
      <c r="N12" s="314" t="str">
        <f>N8</f>
        <v>7호</v>
      </c>
      <c r="O12" s="155"/>
      <c r="P12" s="155"/>
      <c r="Q12" s="86">
        <v>2072000</v>
      </c>
      <c r="R12" s="86"/>
      <c r="S12" s="87" t="s">
        <v>173</v>
      </c>
      <c r="T12" s="87" t="s">
        <v>174</v>
      </c>
      <c r="U12" s="297">
        <v>1</v>
      </c>
      <c r="V12" s="87" t="s">
        <v>174</v>
      </c>
      <c r="W12" s="298">
        <v>0.6</v>
      </c>
      <c r="X12" s="299">
        <v>1</v>
      </c>
      <c r="Y12" s="300" t="s">
        <v>178</v>
      </c>
      <c r="Z12" s="87" t="s">
        <v>176</v>
      </c>
      <c r="AA12" s="275"/>
      <c r="AB12" s="85"/>
      <c r="AC12" s="85">
        <f t="shared" ref="AC12" si="2">Q12*U12*W12*X12</f>
        <v>1243200</v>
      </c>
      <c r="AD12" s="64" t="s">
        <v>173</v>
      </c>
      <c r="AE12" s="18"/>
    </row>
    <row r="13" spans="1:31" s="12" customFormat="1" ht="21" customHeight="1">
      <c r="A13" s="51"/>
      <c r="B13" s="406"/>
      <c r="C13" s="406"/>
      <c r="D13" s="216"/>
      <c r="E13" s="134"/>
      <c r="F13" s="134"/>
      <c r="G13" s="134"/>
      <c r="H13" s="134"/>
      <c r="I13" s="134"/>
      <c r="J13" s="134"/>
      <c r="K13" s="134"/>
      <c r="L13" s="88"/>
      <c r="M13" s="310" t="s">
        <v>231</v>
      </c>
      <c r="N13" s="314" t="str">
        <f>N9</f>
        <v>8호</v>
      </c>
      <c r="O13" s="155"/>
      <c r="P13" s="155"/>
      <c r="Q13" s="86">
        <f>Q9</f>
        <v>2139000</v>
      </c>
      <c r="R13" s="86"/>
      <c r="S13" s="87" t="s">
        <v>173</v>
      </c>
      <c r="T13" s="87" t="s">
        <v>174</v>
      </c>
      <c r="U13" s="297">
        <v>1</v>
      </c>
      <c r="V13" s="87" t="s">
        <v>174</v>
      </c>
      <c r="W13" s="298">
        <v>0.6</v>
      </c>
      <c r="X13" s="299">
        <v>1</v>
      </c>
      <c r="Y13" s="300" t="s">
        <v>29</v>
      </c>
      <c r="Z13" s="87" t="s">
        <v>176</v>
      </c>
      <c r="AA13" s="275"/>
      <c r="AB13" s="85"/>
      <c r="AC13" s="85">
        <f>Q13*U13*W13*X13</f>
        <v>1283400</v>
      </c>
      <c r="AD13" s="64" t="s">
        <v>173</v>
      </c>
      <c r="AE13" s="18"/>
    </row>
    <row r="14" spans="1:31" s="12" customFormat="1" ht="21" customHeight="1">
      <c r="A14" s="51"/>
      <c r="B14" s="406"/>
      <c r="C14" s="406"/>
      <c r="D14" s="216"/>
      <c r="E14" s="134"/>
      <c r="F14" s="134"/>
      <c r="G14" s="134"/>
      <c r="H14" s="134"/>
      <c r="I14" s="134"/>
      <c r="J14" s="134"/>
      <c r="K14" s="134"/>
      <c r="L14" s="88"/>
      <c r="M14" s="310"/>
      <c r="N14" s="314"/>
      <c r="O14" s="310"/>
      <c r="P14" s="310"/>
      <c r="Q14" s="86"/>
      <c r="R14" s="86"/>
      <c r="S14" s="87"/>
      <c r="T14" s="87"/>
      <c r="U14" s="297"/>
      <c r="V14" s="87"/>
      <c r="W14" s="298"/>
      <c r="X14" s="299"/>
      <c r="Y14" s="300"/>
      <c r="Z14" s="87"/>
      <c r="AA14" s="309"/>
      <c r="AB14" s="85"/>
      <c r="AC14" s="85"/>
      <c r="AD14" s="64"/>
      <c r="AE14" s="18"/>
    </row>
    <row r="15" spans="1:31" s="12" customFormat="1" ht="21" customHeight="1">
      <c r="A15" s="51"/>
      <c r="B15" s="406"/>
      <c r="C15" s="406"/>
      <c r="D15" s="216"/>
      <c r="E15" s="134"/>
      <c r="F15" s="134"/>
      <c r="G15" s="134"/>
      <c r="H15" s="134"/>
      <c r="I15" s="134"/>
      <c r="J15" s="134"/>
      <c r="K15" s="134"/>
      <c r="L15" s="88"/>
      <c r="M15" s="306" t="s">
        <v>227</v>
      </c>
      <c r="N15" s="314"/>
      <c r="O15" s="310"/>
      <c r="P15" s="310"/>
      <c r="Q15" s="86"/>
      <c r="R15" s="86"/>
      <c r="S15" s="87"/>
      <c r="T15" s="87"/>
      <c r="U15" s="297"/>
      <c r="V15" s="305" t="s">
        <v>73</v>
      </c>
      <c r="W15" s="305"/>
      <c r="X15" s="305"/>
      <c r="Y15" s="305"/>
      <c r="Z15" s="305"/>
      <c r="AA15" s="305"/>
      <c r="AB15" s="90" t="s">
        <v>63</v>
      </c>
      <c r="AC15" s="90">
        <f>SUM(AC16:AC16)</f>
        <v>720000</v>
      </c>
      <c r="AD15" s="91" t="s">
        <v>58</v>
      </c>
      <c r="AE15" s="18"/>
    </row>
    <row r="16" spans="1:31" s="12" customFormat="1" ht="21" customHeight="1">
      <c r="A16" s="51"/>
      <c r="B16" s="406"/>
      <c r="C16" s="406"/>
      <c r="D16" s="216"/>
      <c r="E16" s="134"/>
      <c r="F16" s="134"/>
      <c r="G16" s="134"/>
      <c r="H16" s="134"/>
      <c r="I16" s="134"/>
      <c r="J16" s="134"/>
      <c r="K16" s="134"/>
      <c r="L16" s="88"/>
      <c r="M16" s="380" t="s">
        <v>360</v>
      </c>
      <c r="N16" s="314"/>
      <c r="O16" s="310"/>
      <c r="P16" s="310"/>
      <c r="Q16" s="86">
        <v>60000</v>
      </c>
      <c r="R16" s="86"/>
      <c r="S16" s="87" t="s">
        <v>232</v>
      </c>
      <c r="T16" s="87"/>
      <c r="U16" s="297"/>
      <c r="V16" s="87"/>
      <c r="W16" s="298"/>
      <c r="X16" s="299">
        <v>12</v>
      </c>
      <c r="Y16" s="300" t="s">
        <v>233</v>
      </c>
      <c r="Z16" s="87"/>
      <c r="AA16" s="309"/>
      <c r="AB16" s="85"/>
      <c r="AC16" s="85">
        <f>Q16*X16</f>
        <v>720000</v>
      </c>
      <c r="AD16" s="64" t="s">
        <v>234</v>
      </c>
      <c r="AE16" s="18"/>
    </row>
    <row r="17" spans="1:31" s="12" customFormat="1" ht="21" customHeight="1">
      <c r="A17" s="51"/>
      <c r="B17" s="406"/>
      <c r="C17" s="406"/>
      <c r="D17" s="216"/>
      <c r="E17" s="134"/>
      <c r="F17" s="134"/>
      <c r="G17" s="134"/>
      <c r="H17" s="134"/>
      <c r="I17" s="134"/>
      <c r="J17" s="134"/>
      <c r="K17" s="134"/>
      <c r="L17" s="88"/>
      <c r="M17" s="213"/>
      <c r="N17" s="155"/>
      <c r="O17" s="155"/>
      <c r="P17" s="155"/>
      <c r="Q17" s="155"/>
      <c r="R17" s="319"/>
      <c r="S17" s="154"/>
      <c r="T17" s="154"/>
      <c r="U17" s="154"/>
      <c r="V17" s="154"/>
      <c r="W17" s="154"/>
      <c r="X17" s="154"/>
      <c r="Y17" s="154"/>
      <c r="Z17" s="154"/>
      <c r="AA17" s="154"/>
      <c r="AB17" s="85"/>
      <c r="AC17" s="85"/>
      <c r="AD17" s="64"/>
      <c r="AE17" s="18"/>
    </row>
    <row r="18" spans="1:31" s="12" customFormat="1" ht="21" customHeight="1">
      <c r="A18" s="51"/>
      <c r="B18" s="406"/>
      <c r="C18" s="406"/>
      <c r="D18" s="216"/>
      <c r="E18" s="134"/>
      <c r="F18" s="134"/>
      <c r="G18" s="134"/>
      <c r="H18" s="134"/>
      <c r="I18" s="134"/>
      <c r="J18" s="134"/>
      <c r="K18" s="134"/>
      <c r="L18" s="88"/>
      <c r="M18" s="306" t="s">
        <v>228</v>
      </c>
      <c r="N18" s="155"/>
      <c r="O18" s="155"/>
      <c r="P18" s="155"/>
      <c r="Q18" s="155"/>
      <c r="R18" s="319"/>
      <c r="S18" s="154"/>
      <c r="T18" s="154"/>
      <c r="U18" s="154"/>
      <c r="V18" s="165" t="s">
        <v>73</v>
      </c>
      <c r="W18" s="165"/>
      <c r="X18" s="165"/>
      <c r="Y18" s="165"/>
      <c r="Z18" s="165"/>
      <c r="AA18" s="165"/>
      <c r="AB18" s="90" t="s">
        <v>90</v>
      </c>
      <c r="AC18" s="90">
        <f>AC19+AC20</f>
        <v>4593460</v>
      </c>
      <c r="AD18" s="91" t="s">
        <v>58</v>
      </c>
      <c r="AE18" s="18"/>
    </row>
    <row r="19" spans="1:31" s="12" customFormat="1" ht="21" customHeight="1">
      <c r="A19" s="51"/>
      <c r="B19" s="406"/>
      <c r="C19" s="406"/>
      <c r="D19" s="216"/>
      <c r="E19" s="134"/>
      <c r="F19" s="134"/>
      <c r="G19" s="134"/>
      <c r="H19" s="134"/>
      <c r="I19" s="134"/>
      <c r="J19" s="134"/>
      <c r="K19" s="134"/>
      <c r="L19" s="88"/>
      <c r="M19" s="213"/>
      <c r="N19" s="314" t="str">
        <f>N8</f>
        <v>7호</v>
      </c>
      <c r="O19" s="275"/>
      <c r="P19" s="275"/>
      <c r="Q19" s="86">
        <f>Q8</f>
        <v>2072000</v>
      </c>
      <c r="R19" s="87" t="s">
        <v>58</v>
      </c>
      <c r="S19" s="87" t="s">
        <v>59</v>
      </c>
      <c r="T19" s="288">
        <v>25</v>
      </c>
      <c r="U19" s="92" t="s">
        <v>59</v>
      </c>
      <c r="V19" s="289">
        <v>1</v>
      </c>
      <c r="W19" s="290">
        <v>1.5</v>
      </c>
      <c r="X19" s="270" t="s">
        <v>74</v>
      </c>
      <c r="Y19" s="270">
        <v>209</v>
      </c>
      <c r="Z19" s="270" t="s">
        <v>54</v>
      </c>
      <c r="AA19" s="275"/>
      <c r="AB19" s="85"/>
      <c r="AC19" s="85">
        <f>ROUNDDOWN(Q19*T19*W19/Y19,-1)*V19</f>
        <v>371770</v>
      </c>
      <c r="AD19" s="64" t="s">
        <v>58</v>
      </c>
      <c r="AE19" s="18"/>
    </row>
    <row r="20" spans="1:31" s="12" customFormat="1" ht="21" customHeight="1">
      <c r="A20" s="51"/>
      <c r="B20" s="406"/>
      <c r="C20" s="406"/>
      <c r="D20" s="216"/>
      <c r="E20" s="134"/>
      <c r="F20" s="134"/>
      <c r="G20" s="134"/>
      <c r="H20" s="134"/>
      <c r="I20" s="134"/>
      <c r="J20" s="134"/>
      <c r="K20" s="134"/>
      <c r="L20" s="88"/>
      <c r="M20" s="213"/>
      <c r="N20" s="314" t="str">
        <f>N9</f>
        <v>8호</v>
      </c>
      <c r="O20" s="256"/>
      <c r="P20" s="256"/>
      <c r="Q20" s="86">
        <f>Q9</f>
        <v>2139000</v>
      </c>
      <c r="R20" s="87" t="s">
        <v>58</v>
      </c>
      <c r="S20" s="87" t="s">
        <v>59</v>
      </c>
      <c r="T20" s="288">
        <v>25</v>
      </c>
      <c r="U20" s="92" t="s">
        <v>59</v>
      </c>
      <c r="V20" s="289">
        <v>11</v>
      </c>
      <c r="W20" s="290">
        <v>1.5</v>
      </c>
      <c r="X20" s="270" t="s">
        <v>74</v>
      </c>
      <c r="Y20" s="270">
        <v>209</v>
      </c>
      <c r="Z20" s="270" t="s">
        <v>54</v>
      </c>
      <c r="AA20" s="275"/>
      <c r="AB20" s="85"/>
      <c r="AC20" s="85">
        <f>ROUNDDOWN(Q20*T20*W20/Y20,-1)*V20</f>
        <v>4221690</v>
      </c>
      <c r="AD20" s="64" t="s">
        <v>58</v>
      </c>
      <c r="AE20" s="18"/>
    </row>
    <row r="21" spans="1:31" s="12" customFormat="1" ht="21" customHeight="1">
      <c r="A21" s="51"/>
      <c r="B21" s="406"/>
      <c r="C21" s="406"/>
      <c r="D21" s="216"/>
      <c r="E21" s="134"/>
      <c r="F21" s="134"/>
      <c r="G21" s="134"/>
      <c r="H21" s="134"/>
      <c r="I21" s="134"/>
      <c r="J21" s="134"/>
      <c r="K21" s="134"/>
      <c r="L21" s="88"/>
      <c r="M21" s="213"/>
      <c r="N21" s="56"/>
      <c r="O21" s="56"/>
      <c r="P21" s="56"/>
      <c r="Q21" s="56"/>
      <c r="R21" s="319"/>
      <c r="S21" s="57"/>
      <c r="T21" s="57"/>
      <c r="U21" s="57"/>
      <c r="V21" s="57"/>
      <c r="W21" s="57"/>
      <c r="X21" s="57"/>
      <c r="Y21" s="57"/>
      <c r="Z21" s="57"/>
      <c r="AA21" s="57"/>
      <c r="AB21" s="85"/>
      <c r="AC21" s="85"/>
      <c r="AD21" s="64"/>
      <c r="AE21" s="18"/>
    </row>
    <row r="22" spans="1:31" s="12" customFormat="1" ht="21" customHeight="1">
      <c r="A22" s="51"/>
      <c r="B22" s="406"/>
      <c r="C22" s="406"/>
      <c r="D22" s="216"/>
      <c r="E22" s="134"/>
      <c r="F22" s="134"/>
      <c r="G22" s="134"/>
      <c r="H22" s="134"/>
      <c r="I22" s="134"/>
      <c r="J22" s="134"/>
      <c r="K22" s="134"/>
      <c r="L22" s="88"/>
      <c r="M22" s="306" t="s">
        <v>229</v>
      </c>
      <c r="N22" s="56"/>
      <c r="O22" s="56"/>
      <c r="P22" s="56"/>
      <c r="Q22" s="56"/>
      <c r="R22" s="319"/>
      <c r="S22" s="57"/>
      <c r="T22" s="57"/>
      <c r="U22" s="57"/>
      <c r="V22" s="98" t="s">
        <v>91</v>
      </c>
      <c r="W22" s="98"/>
      <c r="X22" s="98"/>
      <c r="Y22" s="98"/>
      <c r="Z22" s="98"/>
      <c r="AA22" s="98"/>
      <c r="AB22" s="90" t="s">
        <v>93</v>
      </c>
      <c r="AC22" s="90">
        <f>SUM(AC23:AC23)</f>
        <v>1800000</v>
      </c>
      <c r="AD22" s="91" t="s">
        <v>92</v>
      </c>
      <c r="AE22" s="18"/>
    </row>
    <row r="23" spans="1:31" s="12" customFormat="1" ht="21" customHeight="1">
      <c r="A23" s="51"/>
      <c r="B23" s="406"/>
      <c r="C23" s="406"/>
      <c r="D23" s="216"/>
      <c r="E23" s="134"/>
      <c r="F23" s="134"/>
      <c r="G23" s="134"/>
      <c r="H23" s="134"/>
      <c r="I23" s="134"/>
      <c r="J23" s="134"/>
      <c r="K23" s="134"/>
      <c r="L23" s="88"/>
      <c r="M23" s="276"/>
      <c r="N23" s="276"/>
      <c r="O23" s="276"/>
      <c r="P23" s="276"/>
      <c r="Q23" s="86">
        <v>150000</v>
      </c>
      <c r="R23" s="86"/>
      <c r="S23" s="87" t="s">
        <v>173</v>
      </c>
      <c r="T23" s="87" t="s">
        <v>174</v>
      </c>
      <c r="U23" s="87">
        <v>1</v>
      </c>
      <c r="V23" s="87" t="s">
        <v>175</v>
      </c>
      <c r="W23" s="87" t="s">
        <v>174</v>
      </c>
      <c r="X23" s="296">
        <v>12</v>
      </c>
      <c r="Y23" s="87" t="s">
        <v>29</v>
      </c>
      <c r="Z23" s="87" t="s">
        <v>176</v>
      </c>
      <c r="AA23" s="275"/>
      <c r="AB23" s="85"/>
      <c r="AC23" s="85">
        <f t="shared" ref="AC23" si="3">Q23*U23*X23</f>
        <v>1800000</v>
      </c>
      <c r="AD23" s="64" t="s">
        <v>25</v>
      </c>
      <c r="AE23" s="18"/>
    </row>
    <row r="24" spans="1:31" s="12" customFormat="1" ht="21" customHeight="1">
      <c r="A24" s="51"/>
      <c r="B24" s="406"/>
      <c r="C24" s="406"/>
      <c r="D24" s="216"/>
      <c r="E24" s="134"/>
      <c r="F24" s="134"/>
      <c r="G24" s="134"/>
      <c r="H24" s="134"/>
      <c r="I24" s="134"/>
      <c r="J24" s="134"/>
      <c r="K24" s="134"/>
      <c r="L24" s="88"/>
      <c r="M24" s="213"/>
      <c r="N24" s="56"/>
      <c r="O24" s="56"/>
      <c r="P24" s="56"/>
      <c r="Q24" s="57"/>
      <c r="R24" s="318"/>
      <c r="S24" s="61"/>
      <c r="T24" s="150"/>
      <c r="U24" s="61"/>
      <c r="V24" s="148"/>
      <c r="W24" s="148"/>
      <c r="X24" s="57"/>
      <c r="Y24" s="57"/>
      <c r="Z24" s="57"/>
      <c r="AA24" s="57"/>
      <c r="AB24" s="57"/>
      <c r="AC24" s="57"/>
      <c r="AD24" s="64"/>
      <c r="AE24" s="18"/>
    </row>
    <row r="25" spans="1:31" s="12" customFormat="1" ht="21" customHeight="1">
      <c r="A25" s="51"/>
      <c r="B25" s="406"/>
      <c r="C25" s="405" t="s">
        <v>9</v>
      </c>
      <c r="D25" s="218">
        <v>2859</v>
      </c>
      <c r="E25" s="140">
        <f>F25+G25+H25+J25</f>
        <v>2936.74</v>
      </c>
      <c r="F25" s="140">
        <f>AC26/1000</f>
        <v>2553.96</v>
      </c>
      <c r="G25" s="140">
        <v>0</v>
      </c>
      <c r="H25" s="140">
        <v>0</v>
      </c>
      <c r="I25" s="140">
        <v>0</v>
      </c>
      <c r="J25" s="140">
        <f>AC27/1000</f>
        <v>382.78</v>
      </c>
      <c r="K25" s="139">
        <f>E25-D25</f>
        <v>77.739999999999782</v>
      </c>
      <c r="L25" s="147">
        <f>IF(D25=0,0,K25/D25)</f>
        <v>2.7191325638335005E-2</v>
      </c>
      <c r="M25" s="122" t="s">
        <v>37</v>
      </c>
      <c r="N25" s="238"/>
      <c r="O25" s="212"/>
      <c r="P25" s="119"/>
      <c r="Q25" s="119"/>
      <c r="R25" s="261"/>
      <c r="S25" s="111"/>
      <c r="T25" s="111"/>
      <c r="U25" s="111"/>
      <c r="V25" s="307" t="s">
        <v>221</v>
      </c>
      <c r="W25" s="307"/>
      <c r="X25" s="307"/>
      <c r="Y25" s="307"/>
      <c r="Z25" s="307"/>
      <c r="AA25" s="307"/>
      <c r="AB25" s="241" t="s">
        <v>222</v>
      </c>
      <c r="AC25" s="241">
        <f>AC26+AC27</f>
        <v>2936740</v>
      </c>
      <c r="AD25" s="240" t="s">
        <v>223</v>
      </c>
      <c r="AE25" s="2"/>
    </row>
    <row r="26" spans="1:31" s="12" customFormat="1" ht="21" customHeight="1">
      <c r="A26" s="51"/>
      <c r="B26" s="406"/>
      <c r="C26" s="406"/>
      <c r="D26" s="219"/>
      <c r="E26" s="134"/>
      <c r="F26" s="134"/>
      <c r="G26" s="134"/>
      <c r="H26" s="134"/>
      <c r="I26" s="134"/>
      <c r="J26" s="134"/>
      <c r="K26" s="141"/>
      <c r="L26" s="88"/>
      <c r="M26" s="310" t="s">
        <v>235</v>
      </c>
      <c r="N26" s="56"/>
      <c r="O26" s="56"/>
      <c r="P26" s="56"/>
      <c r="Q26" s="181">
        <f>AC7+명절휴가비+AC15+AC22</f>
        <v>30647600</v>
      </c>
      <c r="R26" s="318"/>
      <c r="S26" s="113" t="s">
        <v>58</v>
      </c>
      <c r="T26" s="113" t="s">
        <v>74</v>
      </c>
      <c r="U26" s="95">
        <v>12</v>
      </c>
      <c r="V26" s="92" t="s">
        <v>0</v>
      </c>
      <c r="W26" s="154"/>
      <c r="X26" s="154"/>
      <c r="Y26" s="154"/>
      <c r="Z26" s="154" t="s">
        <v>75</v>
      </c>
      <c r="AA26" s="57"/>
      <c r="AB26" s="85"/>
      <c r="AC26" s="85">
        <f>ROUNDDOWN(Q26/U26,-1)</f>
        <v>2553960</v>
      </c>
      <c r="AD26" s="64" t="s">
        <v>68</v>
      </c>
      <c r="AE26" s="2"/>
    </row>
    <row r="27" spans="1:31" s="12" customFormat="1" ht="21" customHeight="1">
      <c r="A27" s="51"/>
      <c r="B27" s="406"/>
      <c r="C27" s="406"/>
      <c r="D27" s="219"/>
      <c r="E27" s="134"/>
      <c r="F27" s="134"/>
      <c r="G27" s="134"/>
      <c r="H27" s="134"/>
      <c r="I27" s="134"/>
      <c r="J27" s="134"/>
      <c r="K27" s="141"/>
      <c r="L27" s="88"/>
      <c r="M27" s="310" t="s">
        <v>236</v>
      </c>
      <c r="N27" s="310"/>
      <c r="O27" s="310"/>
      <c r="P27" s="310"/>
      <c r="Q27" s="309">
        <f>연장근로수당</f>
        <v>4593460</v>
      </c>
      <c r="R27" s="318"/>
      <c r="S27" s="270" t="s">
        <v>58</v>
      </c>
      <c r="T27" s="270" t="s">
        <v>74</v>
      </c>
      <c r="U27" s="95">
        <v>12</v>
      </c>
      <c r="V27" s="92" t="s">
        <v>233</v>
      </c>
      <c r="W27" s="309"/>
      <c r="X27" s="309"/>
      <c r="Y27" s="309"/>
      <c r="Z27" s="309" t="s">
        <v>218</v>
      </c>
      <c r="AA27" s="309"/>
      <c r="AB27" s="85"/>
      <c r="AC27" s="85">
        <f>ROUNDDOWN(Q27/U27,-1)</f>
        <v>382780</v>
      </c>
      <c r="AD27" s="64" t="s">
        <v>234</v>
      </c>
      <c r="AE27" s="2"/>
    </row>
    <row r="28" spans="1:31" s="12" customFormat="1" ht="21" customHeight="1">
      <c r="A28" s="51"/>
      <c r="B28" s="406"/>
      <c r="C28" s="406"/>
      <c r="D28" s="220"/>
      <c r="E28" s="134"/>
      <c r="F28" s="134"/>
      <c r="G28" s="134"/>
      <c r="H28" s="134"/>
      <c r="I28" s="134"/>
      <c r="J28" s="134"/>
      <c r="K28" s="141"/>
      <c r="L28" s="88"/>
      <c r="M28" s="38"/>
      <c r="N28" s="38"/>
      <c r="O28" s="38"/>
      <c r="P28" s="38"/>
      <c r="Q28" s="38"/>
      <c r="R28" s="257"/>
      <c r="S28" s="39"/>
      <c r="T28" s="39"/>
      <c r="U28" s="39"/>
      <c r="V28" s="39"/>
      <c r="W28" s="39"/>
      <c r="X28" s="39"/>
      <c r="Y28" s="39"/>
      <c r="Z28" s="39"/>
      <c r="AA28" s="39"/>
      <c r="AB28" s="58"/>
      <c r="AC28" s="58"/>
      <c r="AD28" s="40"/>
      <c r="AE28" s="2"/>
    </row>
    <row r="29" spans="1:31" s="12" customFormat="1" ht="21" customHeight="1">
      <c r="A29" s="51"/>
      <c r="B29" s="406"/>
      <c r="C29" s="151" t="s">
        <v>94</v>
      </c>
      <c r="D29" s="218">
        <v>2844</v>
      </c>
      <c r="E29" s="140">
        <f>F29</f>
        <v>3266.83</v>
      </c>
      <c r="F29" s="140">
        <f>AC29/1000</f>
        <v>3266.83</v>
      </c>
      <c r="G29" s="140">
        <v>0</v>
      </c>
      <c r="H29" s="140">
        <v>0</v>
      </c>
      <c r="I29" s="140">
        <v>0</v>
      </c>
      <c r="J29" s="140">
        <v>0</v>
      </c>
      <c r="K29" s="152">
        <f>E29-D29</f>
        <v>422.82999999999993</v>
      </c>
      <c r="L29" s="147">
        <f>IF(D29=0,0,K29/D29)</f>
        <v>0.14867440225035158</v>
      </c>
      <c r="M29" s="122" t="s">
        <v>38</v>
      </c>
      <c r="N29" s="238"/>
      <c r="O29" s="119"/>
      <c r="P29" s="119"/>
      <c r="Q29" s="119"/>
      <c r="R29" s="261"/>
      <c r="S29" s="111"/>
      <c r="T29" s="111"/>
      <c r="U29" s="111"/>
      <c r="V29" s="239" t="s">
        <v>128</v>
      </c>
      <c r="W29" s="239"/>
      <c r="X29" s="239"/>
      <c r="Y29" s="347" t="s">
        <v>322</v>
      </c>
      <c r="Z29" s="239"/>
      <c r="AA29" s="239"/>
      <c r="AB29" s="241"/>
      <c r="AC29" s="241">
        <f>SUM(AC30:AC34)</f>
        <v>3266830</v>
      </c>
      <c r="AD29" s="240" t="s">
        <v>25</v>
      </c>
    </row>
    <row r="30" spans="1:31" s="12" customFormat="1" ht="21" customHeight="1">
      <c r="A30" s="51"/>
      <c r="B30" s="406"/>
      <c r="C30" s="352"/>
      <c r="D30" s="216"/>
      <c r="E30" s="294"/>
      <c r="F30" s="294"/>
      <c r="G30" s="294"/>
      <c r="H30" s="294"/>
      <c r="I30" s="294"/>
      <c r="J30" s="294"/>
      <c r="K30" s="353"/>
      <c r="L30" s="88"/>
      <c r="M30" s="349" t="s">
        <v>182</v>
      </c>
      <c r="N30" s="257"/>
      <c r="O30" s="257"/>
      <c r="P30" s="257"/>
      <c r="Q30" s="348">
        <f>AC7+AC10</f>
        <v>35241060</v>
      </c>
      <c r="R30" s="348"/>
      <c r="S30" s="270" t="s">
        <v>58</v>
      </c>
      <c r="T30" s="270" t="s">
        <v>26</v>
      </c>
      <c r="U30" s="354">
        <v>0.09</v>
      </c>
      <c r="V30" s="270" t="s">
        <v>74</v>
      </c>
      <c r="W30" s="346">
        <v>2</v>
      </c>
      <c r="X30" s="355"/>
      <c r="Y30" s="94"/>
      <c r="Z30" s="270" t="s">
        <v>54</v>
      </c>
      <c r="AA30" s="348"/>
      <c r="AB30" s="85"/>
      <c r="AC30" s="85">
        <f>ROUND(Q30*U30/W30,-1)</f>
        <v>1585850</v>
      </c>
      <c r="AD30" s="64" t="s">
        <v>58</v>
      </c>
    </row>
    <row r="31" spans="1:31" s="12" customFormat="1" ht="21" customHeight="1">
      <c r="A31" s="51"/>
      <c r="B31" s="406"/>
      <c r="C31" s="406"/>
      <c r="D31" s="216"/>
      <c r="E31" s="134"/>
      <c r="F31" s="134"/>
      <c r="G31" s="134"/>
      <c r="H31" s="134"/>
      <c r="I31" s="134"/>
      <c r="J31" s="134"/>
      <c r="K31" s="134"/>
      <c r="L31" s="88"/>
      <c r="M31" s="380" t="s">
        <v>180</v>
      </c>
      <c r="N31" s="155"/>
      <c r="O31" s="155"/>
      <c r="P31" s="155"/>
      <c r="Q31" s="379">
        <f>AC7+AC10</f>
        <v>35241060</v>
      </c>
      <c r="R31" s="348"/>
      <c r="S31" s="270" t="s">
        <v>58</v>
      </c>
      <c r="T31" s="270" t="s">
        <v>26</v>
      </c>
      <c r="U31" s="354">
        <v>5.8000000000000003E-2</v>
      </c>
      <c r="V31" s="270" t="s">
        <v>74</v>
      </c>
      <c r="W31" s="346">
        <v>2</v>
      </c>
      <c r="X31" s="355"/>
      <c r="Y31" s="94"/>
      <c r="Z31" s="255" t="s">
        <v>54</v>
      </c>
      <c r="AA31" s="154"/>
      <c r="AB31" s="85"/>
      <c r="AC31" s="85">
        <f>ROUND(Q31*U31/W31,-1)</f>
        <v>1021990</v>
      </c>
      <c r="AD31" s="64" t="s">
        <v>68</v>
      </c>
      <c r="AE31" s="2"/>
    </row>
    <row r="32" spans="1:31" s="12" customFormat="1" ht="21" customHeight="1">
      <c r="A32" s="51"/>
      <c r="B32" s="406"/>
      <c r="C32" s="406"/>
      <c r="D32" s="216"/>
      <c r="E32" s="134"/>
      <c r="F32" s="134"/>
      <c r="G32" s="134"/>
      <c r="H32" s="134"/>
      <c r="I32" s="134"/>
      <c r="J32" s="134"/>
      <c r="K32" s="134"/>
      <c r="L32" s="88"/>
      <c r="M32" s="380" t="s">
        <v>352</v>
      </c>
      <c r="N32" s="349"/>
      <c r="O32" s="349"/>
      <c r="P32" s="349"/>
      <c r="Q32" s="379">
        <f>AC31</f>
        <v>1021990</v>
      </c>
      <c r="R32" s="348"/>
      <c r="S32" s="270" t="s">
        <v>58</v>
      </c>
      <c r="T32" s="270" t="s">
        <v>26</v>
      </c>
      <c r="U32" s="354">
        <v>6.5500000000000003E-2</v>
      </c>
      <c r="V32" s="270"/>
      <c r="W32" s="346"/>
      <c r="X32" s="355"/>
      <c r="Y32" s="94"/>
      <c r="Z32" s="270" t="s">
        <v>54</v>
      </c>
      <c r="AA32" s="348"/>
      <c r="AB32" s="85"/>
      <c r="AC32" s="85">
        <f>ROUNDDOWN(Q32*U32,-1)</f>
        <v>66940</v>
      </c>
      <c r="AD32" s="64" t="s">
        <v>58</v>
      </c>
      <c r="AE32" s="2"/>
    </row>
    <row r="33" spans="1:31" s="12" customFormat="1" ht="21" customHeight="1">
      <c r="A33" s="51"/>
      <c r="B33" s="406"/>
      <c r="C33" s="406"/>
      <c r="D33" s="216"/>
      <c r="E33" s="134"/>
      <c r="F33" s="134"/>
      <c r="G33" s="134"/>
      <c r="H33" s="134"/>
      <c r="I33" s="134"/>
      <c r="J33" s="134"/>
      <c r="K33" s="134"/>
      <c r="L33" s="88"/>
      <c r="M33" s="380" t="s">
        <v>181</v>
      </c>
      <c r="N33" s="155"/>
      <c r="O33" s="155"/>
      <c r="P33" s="155"/>
      <c r="Q33" s="379">
        <f>AC7+AC10</f>
        <v>35241060</v>
      </c>
      <c r="R33" s="348"/>
      <c r="S33" s="270" t="s">
        <v>58</v>
      </c>
      <c r="T33" s="270" t="s">
        <v>26</v>
      </c>
      <c r="U33" s="354">
        <v>8.9999999999999993E-3</v>
      </c>
      <c r="V33" s="270"/>
      <c r="W33" s="346"/>
      <c r="X33" s="355"/>
      <c r="Y33" s="94"/>
      <c r="Z33" s="270" t="s">
        <v>54</v>
      </c>
      <c r="AA33" s="154"/>
      <c r="AB33" s="85"/>
      <c r="AC33" s="85">
        <f>ROUND(Q33*U33,-1)</f>
        <v>317170</v>
      </c>
      <c r="AD33" s="64" t="s">
        <v>68</v>
      </c>
      <c r="AE33" s="2"/>
    </row>
    <row r="34" spans="1:31" s="12" customFormat="1" ht="21" customHeight="1">
      <c r="A34" s="51"/>
      <c r="B34" s="406"/>
      <c r="C34" s="406"/>
      <c r="D34" s="216"/>
      <c r="E34" s="134"/>
      <c r="F34" s="134"/>
      <c r="G34" s="134"/>
      <c r="H34" s="134"/>
      <c r="I34" s="134"/>
      <c r="J34" s="134"/>
      <c r="K34" s="134"/>
      <c r="L34" s="88"/>
      <c r="M34" s="380" t="s">
        <v>353</v>
      </c>
      <c r="N34" s="380"/>
      <c r="O34" s="380"/>
      <c r="P34" s="380"/>
      <c r="Q34" s="379">
        <f>AC10+AC7</f>
        <v>35241060</v>
      </c>
      <c r="R34" s="379"/>
      <c r="S34" s="270" t="s">
        <v>58</v>
      </c>
      <c r="T34" s="270" t="s">
        <v>26</v>
      </c>
      <c r="U34" s="354">
        <v>7.7999999999999996E-3</v>
      </c>
      <c r="V34" s="270"/>
      <c r="W34" s="346"/>
      <c r="X34" s="355"/>
      <c r="Y34" s="94"/>
      <c r="Z34" s="270" t="s">
        <v>354</v>
      </c>
      <c r="AA34" s="379"/>
      <c r="AB34" s="85"/>
      <c r="AC34" s="85">
        <f>ROUNDDOWN(Q34*U34,-1)</f>
        <v>274880</v>
      </c>
      <c r="AD34" s="64" t="s">
        <v>58</v>
      </c>
      <c r="AE34" s="2"/>
    </row>
    <row r="35" spans="1:31" s="12" customFormat="1" ht="21" customHeight="1">
      <c r="A35" s="51"/>
      <c r="B35" s="406"/>
      <c r="C35" s="406"/>
      <c r="D35" s="216"/>
      <c r="E35" s="134"/>
      <c r="F35" s="134"/>
      <c r="G35" s="134"/>
      <c r="H35" s="134"/>
      <c r="I35" s="134"/>
      <c r="J35" s="134"/>
      <c r="K35" s="134"/>
      <c r="L35" s="88"/>
      <c r="M35" s="310"/>
      <c r="N35" s="310"/>
      <c r="O35" s="310"/>
      <c r="P35" s="310"/>
      <c r="Q35" s="309"/>
      <c r="R35" s="318"/>
      <c r="S35" s="270"/>
      <c r="T35" s="92"/>
      <c r="U35" s="96"/>
      <c r="V35" s="92"/>
      <c r="W35" s="97"/>
      <c r="X35" s="94"/>
      <c r="Y35" s="94"/>
      <c r="Z35" s="270"/>
      <c r="AA35" s="309"/>
      <c r="AB35" s="85"/>
      <c r="AC35" s="85"/>
      <c r="AD35" s="64"/>
      <c r="AE35" s="2"/>
    </row>
    <row r="36" spans="1:31" s="12" customFormat="1" ht="33" customHeight="1">
      <c r="A36" s="51"/>
      <c r="B36" s="406"/>
      <c r="C36" s="405" t="s">
        <v>226</v>
      </c>
      <c r="D36" s="218">
        <v>0</v>
      </c>
      <c r="E36" s="139">
        <f>SUM(F36:J36)</f>
        <v>200</v>
      </c>
      <c r="F36" s="139">
        <f>AC38</f>
        <v>0</v>
      </c>
      <c r="G36" s="139">
        <f>AC37/1000</f>
        <v>200</v>
      </c>
      <c r="H36" s="139">
        <f>AE38</f>
        <v>0</v>
      </c>
      <c r="I36" s="139">
        <f>AF38</f>
        <v>0</v>
      </c>
      <c r="J36" s="139">
        <f>AG38</f>
        <v>0</v>
      </c>
      <c r="K36" s="152">
        <f>E36-D36</f>
        <v>200</v>
      </c>
      <c r="L36" s="147"/>
      <c r="M36" s="122" t="s">
        <v>224</v>
      </c>
      <c r="N36" s="308"/>
      <c r="O36" s="221"/>
      <c r="P36" s="221"/>
      <c r="Q36" s="110"/>
      <c r="R36" s="110"/>
      <c r="S36" s="311"/>
      <c r="T36" s="312"/>
      <c r="U36" s="313"/>
      <c r="V36" s="307" t="s">
        <v>64</v>
      </c>
      <c r="W36" s="307"/>
      <c r="X36" s="307"/>
      <c r="Y36" s="307"/>
      <c r="Z36" s="307"/>
      <c r="AA36" s="307"/>
      <c r="AB36" s="241"/>
      <c r="AC36" s="241">
        <f>AC37</f>
        <v>200000</v>
      </c>
      <c r="AD36" s="240" t="s">
        <v>25</v>
      </c>
      <c r="AE36" s="2"/>
    </row>
    <row r="37" spans="1:31" s="12" customFormat="1" ht="21" customHeight="1">
      <c r="A37" s="51"/>
      <c r="B37" s="406"/>
      <c r="C37" s="406"/>
      <c r="D37" s="216"/>
      <c r="E37" s="134"/>
      <c r="F37" s="134"/>
      <c r="G37" s="134"/>
      <c r="H37" s="134"/>
      <c r="I37" s="134"/>
      <c r="J37" s="134"/>
      <c r="K37" s="134"/>
      <c r="L37" s="88"/>
      <c r="M37" s="310" t="s">
        <v>225</v>
      </c>
      <c r="N37" s="310"/>
      <c r="O37" s="310"/>
      <c r="P37" s="310"/>
      <c r="Q37" s="309"/>
      <c r="R37" s="318"/>
      <c r="S37" s="270"/>
      <c r="T37" s="92"/>
      <c r="U37" s="96"/>
      <c r="V37" s="92"/>
      <c r="W37" s="97"/>
      <c r="X37" s="94"/>
      <c r="Y37" s="94"/>
      <c r="Z37" s="270"/>
      <c r="AA37" s="309"/>
      <c r="AB37" s="85"/>
      <c r="AC37" s="85">
        <v>200000</v>
      </c>
      <c r="AD37" s="207" t="s">
        <v>25</v>
      </c>
      <c r="AE37" s="2"/>
    </row>
    <row r="38" spans="1:31" s="12" customFormat="1" ht="21" customHeight="1">
      <c r="A38" s="51"/>
      <c r="B38" s="66"/>
      <c r="C38" s="66"/>
      <c r="D38" s="217"/>
      <c r="E38" s="137"/>
      <c r="F38" s="137"/>
      <c r="G38" s="137"/>
      <c r="H38" s="137"/>
      <c r="I38" s="137"/>
      <c r="J38" s="137"/>
      <c r="K38" s="137"/>
      <c r="L38" s="106"/>
      <c r="M38" s="211"/>
      <c r="N38" s="99"/>
      <c r="O38" s="99"/>
      <c r="P38" s="99"/>
      <c r="Q38" s="98"/>
      <c r="R38" s="315"/>
      <c r="S38" s="108"/>
      <c r="T38" s="108"/>
      <c r="U38" s="108"/>
      <c r="V38" s="98"/>
      <c r="W38" s="108"/>
      <c r="X38" s="108"/>
      <c r="Y38" s="108"/>
      <c r="Z38" s="98"/>
      <c r="AA38" s="108"/>
      <c r="AB38" s="108"/>
      <c r="AC38" s="98"/>
      <c r="AD38" s="153"/>
      <c r="AE38" s="2"/>
    </row>
    <row r="39" spans="1:31" s="12" customFormat="1" ht="21" customHeight="1">
      <c r="A39" s="51"/>
      <c r="B39" s="406" t="s">
        <v>129</v>
      </c>
      <c r="C39" s="406" t="s">
        <v>5</v>
      </c>
      <c r="D39" s="134">
        <f>SUM(D40,D43,D45)</f>
        <v>70</v>
      </c>
      <c r="E39" s="134">
        <f>SUM(E40,E43,E45)</f>
        <v>50.08</v>
      </c>
      <c r="F39" s="134">
        <f>F40+F43+F45</f>
        <v>50.08</v>
      </c>
      <c r="G39" s="134">
        <f t="shared" ref="G39" si="4">SUM(G40,G43,G45)</f>
        <v>0</v>
      </c>
      <c r="H39" s="134">
        <v>0</v>
      </c>
      <c r="I39" s="134">
        <v>0</v>
      </c>
      <c r="J39" s="134">
        <f t="shared" ref="J39" si="5">SUM(J40,J43,J45)</f>
        <v>0</v>
      </c>
      <c r="K39" s="134">
        <f>E39-D39</f>
        <v>-19.920000000000002</v>
      </c>
      <c r="L39" s="88">
        <f>IF(D39=0,0,K39/D39)</f>
        <v>-0.28457142857142859</v>
      </c>
      <c r="M39" s="257" t="s">
        <v>137</v>
      </c>
      <c r="N39" s="38"/>
      <c r="O39" s="38"/>
      <c r="P39" s="38"/>
      <c r="Q39" s="39"/>
      <c r="R39" s="256"/>
      <c r="S39" s="39"/>
      <c r="T39" s="39"/>
      <c r="U39" s="39"/>
      <c r="V39" s="260"/>
      <c r="W39" s="260"/>
      <c r="X39" s="260"/>
      <c r="Y39" s="260"/>
      <c r="Z39" s="260"/>
      <c r="AA39" s="260"/>
      <c r="AB39" s="120"/>
      <c r="AC39" s="120">
        <f>SUM(AC40,AC43,AC45)</f>
        <v>50080</v>
      </c>
      <c r="AD39" s="121" t="s">
        <v>25</v>
      </c>
      <c r="AE39" s="5"/>
    </row>
    <row r="40" spans="1:31" s="12" customFormat="1" ht="21" customHeight="1">
      <c r="A40" s="51"/>
      <c r="B40" s="406" t="s">
        <v>136</v>
      </c>
      <c r="C40" s="405" t="s">
        <v>10</v>
      </c>
      <c r="D40" s="218">
        <v>20</v>
      </c>
      <c r="E40" s="139">
        <f>AC40/1000</f>
        <v>0</v>
      </c>
      <c r="F40" s="139">
        <f>AC40/1000</f>
        <v>0</v>
      </c>
      <c r="G40" s="139">
        <v>0</v>
      </c>
      <c r="H40" s="139">
        <v>0</v>
      </c>
      <c r="I40" s="139">
        <v>0</v>
      </c>
      <c r="J40" s="139">
        <v>0</v>
      </c>
      <c r="K40" s="139">
        <f>E40-D40</f>
        <v>-20</v>
      </c>
      <c r="L40" s="147">
        <f>IF(D40=0,0,K40/D40)</f>
        <v>-1</v>
      </c>
      <c r="M40" s="122" t="s">
        <v>39</v>
      </c>
      <c r="N40" s="208"/>
      <c r="O40" s="221"/>
      <c r="P40" s="221"/>
      <c r="Q40" s="221"/>
      <c r="R40" s="221"/>
      <c r="S40" s="110"/>
      <c r="T40" s="110"/>
      <c r="U40" s="110"/>
      <c r="V40" s="110"/>
      <c r="W40" s="110"/>
      <c r="X40" s="239" t="s">
        <v>139</v>
      </c>
      <c r="Y40" s="239"/>
      <c r="Z40" s="239"/>
      <c r="AA40" s="239"/>
      <c r="AB40" s="241"/>
      <c r="AC40" s="241">
        <f>AC41</f>
        <v>0</v>
      </c>
      <c r="AD40" s="240" t="s">
        <v>25</v>
      </c>
    </row>
    <row r="41" spans="1:31" s="12" customFormat="1" ht="21" customHeight="1">
      <c r="A41" s="51"/>
      <c r="B41" s="406"/>
      <c r="C41" s="406"/>
      <c r="D41" s="216"/>
      <c r="E41" s="134"/>
      <c r="F41" s="134"/>
      <c r="G41" s="134"/>
      <c r="H41" s="134"/>
      <c r="I41" s="134"/>
      <c r="J41" s="134"/>
      <c r="K41" s="134"/>
      <c r="L41" s="88"/>
      <c r="M41" s="329" t="s">
        <v>289</v>
      </c>
      <c r="N41" s="221"/>
      <c r="O41" s="328"/>
      <c r="P41" s="328"/>
      <c r="Q41" s="328"/>
      <c r="R41" s="328"/>
      <c r="S41" s="327"/>
      <c r="T41" s="327"/>
      <c r="U41" s="327"/>
      <c r="V41" s="327"/>
      <c r="W41" s="327"/>
      <c r="X41" s="124"/>
      <c r="Y41" s="124"/>
      <c r="Z41" s="124"/>
      <c r="AA41" s="124"/>
      <c r="AB41" s="144"/>
      <c r="AC41" s="144">
        <v>0</v>
      </c>
      <c r="AD41" s="145" t="s">
        <v>290</v>
      </c>
    </row>
    <row r="42" spans="1:31" s="12" customFormat="1" ht="21" customHeight="1">
      <c r="A42" s="51"/>
      <c r="B42" s="406"/>
      <c r="C42" s="66"/>
      <c r="D42" s="217"/>
      <c r="E42" s="137"/>
      <c r="F42" s="137"/>
      <c r="G42" s="137"/>
      <c r="H42" s="137"/>
      <c r="I42" s="137"/>
      <c r="J42" s="137"/>
      <c r="K42" s="137"/>
      <c r="L42" s="106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53"/>
      <c r="AE42" s="1"/>
    </row>
    <row r="43" spans="1:31" s="12" customFormat="1" ht="21" customHeight="1">
      <c r="A43" s="51"/>
      <c r="B43" s="406"/>
      <c r="C43" s="406" t="s">
        <v>11</v>
      </c>
      <c r="D43" s="216">
        <v>0</v>
      </c>
      <c r="E43" s="134">
        <f>AC43/1000</f>
        <v>0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f>E43-D43</f>
        <v>0</v>
      </c>
      <c r="L43" s="88">
        <f>IF(D43=0,0,K43/D43)</f>
        <v>0</v>
      </c>
      <c r="M43" s="122" t="s">
        <v>138</v>
      </c>
      <c r="N43" s="238"/>
      <c r="O43" s="38"/>
      <c r="P43" s="38"/>
      <c r="Q43" s="38"/>
      <c r="R43" s="257"/>
      <c r="S43" s="39"/>
      <c r="T43" s="39"/>
      <c r="U43" s="39"/>
      <c r="V43" s="39"/>
      <c r="W43" s="39"/>
      <c r="X43" s="239" t="s">
        <v>139</v>
      </c>
      <c r="Y43" s="239"/>
      <c r="Z43" s="239"/>
      <c r="AA43" s="239"/>
      <c r="AB43" s="241"/>
      <c r="AC43" s="241">
        <v>0</v>
      </c>
      <c r="AD43" s="240" t="s">
        <v>25</v>
      </c>
      <c r="AE43" s="1"/>
    </row>
    <row r="44" spans="1:31" s="12" customFormat="1" ht="21" customHeight="1">
      <c r="A44" s="51"/>
      <c r="B44" s="406"/>
      <c r="C44" s="66"/>
      <c r="D44" s="217"/>
      <c r="E44" s="137"/>
      <c r="F44" s="137"/>
      <c r="G44" s="137"/>
      <c r="H44" s="137"/>
      <c r="I44" s="137"/>
      <c r="J44" s="137"/>
      <c r="K44" s="137"/>
      <c r="L44" s="106"/>
      <c r="M44" s="211"/>
      <c r="N44" s="99"/>
      <c r="O44" s="99"/>
      <c r="P44" s="99"/>
      <c r="Q44" s="98"/>
      <c r="R44" s="315"/>
      <c r="S44" s="107"/>
      <c r="T44" s="107"/>
      <c r="U44" s="98"/>
      <c r="V44" s="99"/>
      <c r="W44" s="98"/>
      <c r="X44" s="98"/>
      <c r="Y44" s="98"/>
      <c r="Z44" s="98"/>
      <c r="AA44" s="98"/>
      <c r="AB44" s="98"/>
      <c r="AC44" s="98"/>
      <c r="AD44" s="91"/>
      <c r="AE44" s="1"/>
    </row>
    <row r="45" spans="1:31" s="12" customFormat="1" ht="21" customHeight="1">
      <c r="A45" s="51"/>
      <c r="B45" s="406"/>
      <c r="C45" s="406" t="s">
        <v>96</v>
      </c>
      <c r="D45" s="216">
        <v>50</v>
      </c>
      <c r="E45" s="134">
        <f>F45+G45+H45+J45</f>
        <v>50.08</v>
      </c>
      <c r="F45" s="134">
        <f>AC46/1000</f>
        <v>50.08</v>
      </c>
      <c r="G45" s="134">
        <v>0</v>
      </c>
      <c r="H45" s="134">
        <v>0</v>
      </c>
      <c r="I45" s="134">
        <v>0</v>
      </c>
      <c r="J45" s="139">
        <v>0</v>
      </c>
      <c r="K45" s="359">
        <f>E45-D45</f>
        <v>7.9999999999998295E-2</v>
      </c>
      <c r="L45" s="88">
        <f>IF(D45=0,0,K45/D45)</f>
        <v>1.5999999999999658E-3</v>
      </c>
      <c r="M45" s="142" t="s">
        <v>40</v>
      </c>
      <c r="N45" s="38"/>
      <c r="O45" s="38"/>
      <c r="P45" s="38"/>
      <c r="Q45" s="38"/>
      <c r="R45" s="257"/>
      <c r="S45" s="39"/>
      <c r="T45" s="39"/>
      <c r="U45" s="39"/>
      <c r="V45" s="39"/>
      <c r="W45" s="39"/>
      <c r="X45" s="239" t="s">
        <v>139</v>
      </c>
      <c r="Y45" s="239"/>
      <c r="Z45" s="239"/>
      <c r="AA45" s="239"/>
      <c r="AB45" s="241"/>
      <c r="AC45" s="241">
        <f>AC46</f>
        <v>50080</v>
      </c>
      <c r="AD45" s="240" t="s">
        <v>25</v>
      </c>
      <c r="AE45" s="1"/>
    </row>
    <row r="46" spans="1:31" s="15" customFormat="1" ht="21" customHeight="1">
      <c r="A46" s="51"/>
      <c r="B46" s="406"/>
      <c r="C46" s="406"/>
      <c r="D46" s="216"/>
      <c r="E46" s="134"/>
      <c r="F46" s="134"/>
      <c r="G46" s="134"/>
      <c r="H46" s="134"/>
      <c r="I46" s="134"/>
      <c r="J46" s="134"/>
      <c r="K46" s="134"/>
      <c r="L46" s="88"/>
      <c r="M46" s="276" t="s">
        <v>183</v>
      </c>
      <c r="N46" s="56"/>
      <c r="O46" s="56"/>
      <c r="P46" s="56"/>
      <c r="Q46" s="57">
        <v>25040</v>
      </c>
      <c r="R46" s="318"/>
      <c r="S46" s="61" t="s">
        <v>25</v>
      </c>
      <c r="T46" s="61" t="s">
        <v>26</v>
      </c>
      <c r="U46" s="57">
        <v>2</v>
      </c>
      <c r="V46" s="292" t="s">
        <v>184</v>
      </c>
      <c r="W46" s="57"/>
      <c r="X46" s="57"/>
      <c r="Y46" s="57"/>
      <c r="Z46" s="57" t="s">
        <v>27</v>
      </c>
      <c r="AA46" s="57"/>
      <c r="AB46" s="57"/>
      <c r="AC46" s="57">
        <f>Q46*U46</f>
        <v>50080</v>
      </c>
      <c r="AD46" s="64" t="s">
        <v>25</v>
      </c>
      <c r="AE46" s="4"/>
    </row>
    <row r="47" spans="1:31" s="15" customFormat="1" ht="21" customHeight="1">
      <c r="A47" s="51"/>
      <c r="B47" s="406"/>
      <c r="C47" s="406"/>
      <c r="D47" s="216"/>
      <c r="E47" s="134"/>
      <c r="F47" s="134"/>
      <c r="G47" s="134"/>
      <c r="H47" s="134"/>
      <c r="I47" s="134"/>
      <c r="J47" s="134"/>
      <c r="K47" s="134"/>
      <c r="L47" s="88"/>
      <c r="M47" s="56"/>
      <c r="N47" s="56"/>
      <c r="O47" s="56"/>
      <c r="P47" s="56"/>
      <c r="Q47" s="57"/>
      <c r="R47" s="318"/>
      <c r="S47" s="61"/>
      <c r="T47" s="61"/>
      <c r="U47" s="57"/>
      <c r="V47" s="56"/>
      <c r="W47" s="57"/>
      <c r="X47" s="57"/>
      <c r="Y47" s="57"/>
      <c r="Z47" s="57"/>
      <c r="AA47" s="57"/>
      <c r="AB47" s="57"/>
      <c r="AC47" s="57"/>
      <c r="AD47" s="64"/>
      <c r="AE47" s="4"/>
    </row>
    <row r="48" spans="1:31" s="12" customFormat="1" ht="21" customHeight="1">
      <c r="A48" s="51"/>
      <c r="B48" s="405" t="s">
        <v>12</v>
      </c>
      <c r="C48" s="234" t="s">
        <v>5</v>
      </c>
      <c r="D48" s="236">
        <f t="shared" ref="D48:J48" si="6">SUM(D49,D52,D57,D63,D71,D74)</f>
        <v>5550</v>
      </c>
      <c r="E48" s="236">
        <f t="shared" si="6"/>
        <v>5525</v>
      </c>
      <c r="F48" s="236">
        <f t="shared" si="6"/>
        <v>4635.33</v>
      </c>
      <c r="G48" s="236">
        <f t="shared" si="6"/>
        <v>0</v>
      </c>
      <c r="H48" s="236">
        <f t="shared" si="6"/>
        <v>890.33596</v>
      </c>
      <c r="I48" s="236">
        <v>0</v>
      </c>
      <c r="J48" s="236">
        <f t="shared" si="6"/>
        <v>0</v>
      </c>
      <c r="K48" s="236">
        <f>E48-D48</f>
        <v>-25</v>
      </c>
      <c r="L48" s="237">
        <f>IF(D48=0,0,K48/D48)</f>
        <v>-4.5045045045045045E-3</v>
      </c>
      <c r="M48" s="238" t="s">
        <v>143</v>
      </c>
      <c r="N48" s="238"/>
      <c r="O48" s="238"/>
      <c r="P48" s="238"/>
      <c r="Q48" s="239"/>
      <c r="R48" s="316"/>
      <c r="S48" s="263"/>
      <c r="T48" s="239"/>
      <c r="U48" s="475"/>
      <c r="V48" s="476"/>
      <c r="W48" s="239"/>
      <c r="X48" s="239"/>
      <c r="Y48" s="239"/>
      <c r="Z48" s="239"/>
      <c r="AA48" s="239"/>
      <c r="AB48" s="239"/>
      <c r="AC48" s="239">
        <f>SUM(AC49,AC52,AC57,AC63,AC71,AC74)</f>
        <v>5525330</v>
      </c>
      <c r="AD48" s="240" t="s">
        <v>25</v>
      </c>
      <c r="AE48" s="1"/>
    </row>
    <row r="49" spans="1:33" s="12" customFormat="1" ht="21" customHeight="1">
      <c r="A49" s="51"/>
      <c r="B49" s="406"/>
      <c r="C49" s="406" t="s">
        <v>97</v>
      </c>
      <c r="D49" s="216">
        <v>0</v>
      </c>
      <c r="E49" s="134">
        <f>AC49/1000</f>
        <v>0</v>
      </c>
      <c r="F49" s="134">
        <v>0</v>
      </c>
      <c r="G49" s="134">
        <v>0</v>
      </c>
      <c r="H49" s="134">
        <v>0</v>
      </c>
      <c r="I49" s="134">
        <v>0</v>
      </c>
      <c r="J49" s="134">
        <v>0</v>
      </c>
      <c r="K49" s="134">
        <f>E49-D49</f>
        <v>0</v>
      </c>
      <c r="L49" s="88">
        <f>IF(D49=0,0,K49/D49)</f>
        <v>0</v>
      </c>
      <c r="M49" s="142" t="s">
        <v>42</v>
      </c>
      <c r="N49" s="38"/>
      <c r="O49" s="38"/>
      <c r="P49" s="38"/>
      <c r="Q49" s="38"/>
      <c r="R49" s="257"/>
      <c r="S49" s="39"/>
      <c r="T49" s="39"/>
      <c r="U49" s="39"/>
      <c r="V49" s="39"/>
      <c r="W49" s="39"/>
      <c r="X49" s="293" t="s">
        <v>139</v>
      </c>
      <c r="Y49" s="293"/>
      <c r="Z49" s="293"/>
      <c r="AA49" s="293"/>
      <c r="AB49" s="241"/>
      <c r="AC49" s="241">
        <f>AC50</f>
        <v>0</v>
      </c>
      <c r="AD49" s="240" t="s">
        <v>25</v>
      </c>
      <c r="AE49" s="21"/>
      <c r="AF49" s="20"/>
      <c r="AG49" s="20"/>
    </row>
    <row r="50" spans="1:33" s="12" customFormat="1" ht="21" customHeight="1">
      <c r="A50" s="51"/>
      <c r="B50" s="406"/>
      <c r="C50" s="406"/>
      <c r="D50" s="216"/>
      <c r="E50" s="134"/>
      <c r="F50" s="134"/>
      <c r="G50" s="134"/>
      <c r="H50" s="134"/>
      <c r="I50" s="134"/>
      <c r="J50" s="134"/>
      <c r="K50" s="134"/>
      <c r="L50" s="88"/>
      <c r="M50" s="259" t="s">
        <v>144</v>
      </c>
      <c r="N50" s="56"/>
      <c r="O50" s="56"/>
      <c r="P50" s="56"/>
      <c r="Q50" s="57">
        <v>20000</v>
      </c>
      <c r="R50" s="318"/>
      <c r="S50" s="61" t="s">
        <v>25</v>
      </c>
      <c r="T50" s="61" t="s">
        <v>26</v>
      </c>
      <c r="U50" s="57">
        <v>1</v>
      </c>
      <c r="V50" s="61" t="s">
        <v>145</v>
      </c>
      <c r="W50" s="57" t="s">
        <v>26</v>
      </c>
      <c r="X50" s="57">
        <v>3</v>
      </c>
      <c r="Y50" s="258" t="s">
        <v>146</v>
      </c>
      <c r="Z50" s="57" t="s">
        <v>27</v>
      </c>
      <c r="AA50" s="258"/>
      <c r="AB50" s="57"/>
      <c r="AC50" s="57">
        <v>0</v>
      </c>
      <c r="AD50" s="64" t="s">
        <v>68</v>
      </c>
      <c r="AE50" s="21"/>
      <c r="AF50" s="20"/>
      <c r="AG50" s="20"/>
    </row>
    <row r="51" spans="1:33" s="12" customFormat="1" ht="21" customHeight="1">
      <c r="A51" s="51"/>
      <c r="B51" s="406"/>
      <c r="C51" s="406"/>
      <c r="D51" s="216"/>
      <c r="E51" s="134"/>
      <c r="F51" s="134"/>
      <c r="G51" s="134"/>
      <c r="H51" s="134"/>
      <c r="I51" s="134"/>
      <c r="J51" s="134"/>
      <c r="K51" s="134"/>
      <c r="L51" s="88"/>
      <c r="AD51" s="330"/>
      <c r="AE51" s="2"/>
    </row>
    <row r="52" spans="1:33" s="12" customFormat="1" ht="21" customHeight="1">
      <c r="A52" s="51"/>
      <c r="B52" s="406"/>
      <c r="C52" s="405" t="s">
        <v>43</v>
      </c>
      <c r="D52" s="218">
        <v>2001</v>
      </c>
      <c r="E52" s="139">
        <f>ROUND(AC52/1000,0)</f>
        <v>1829</v>
      </c>
      <c r="F52" s="139">
        <f>(AC53+AC54)/1000</f>
        <v>1329.37</v>
      </c>
      <c r="G52" s="139">
        <v>0</v>
      </c>
      <c r="H52" s="139">
        <f>AC55/1000</f>
        <v>500</v>
      </c>
      <c r="I52" s="139">
        <v>0</v>
      </c>
      <c r="J52" s="139">
        <v>0</v>
      </c>
      <c r="K52" s="139">
        <f>E52-D52</f>
        <v>-172</v>
      </c>
      <c r="L52" s="147">
        <f>IF(D52=0,0,K52/D52)</f>
        <v>-8.5957021489255367E-2</v>
      </c>
      <c r="M52" s="122" t="s">
        <v>44</v>
      </c>
      <c r="N52" s="119"/>
      <c r="O52" s="119"/>
      <c r="P52" s="119"/>
      <c r="Q52" s="119"/>
      <c r="R52" s="261"/>
      <c r="S52" s="111"/>
      <c r="T52" s="111"/>
      <c r="U52" s="111"/>
      <c r="V52" s="111"/>
      <c r="W52" s="111"/>
      <c r="X52" s="293" t="s">
        <v>185</v>
      </c>
      <c r="Y52" s="239"/>
      <c r="Z52" s="239"/>
      <c r="AA52" s="239"/>
      <c r="AB52" s="241"/>
      <c r="AC52" s="241">
        <f>SUM(AC53:AC55)</f>
        <v>1829370</v>
      </c>
      <c r="AD52" s="240" t="s">
        <v>25</v>
      </c>
      <c r="AE52" s="1"/>
    </row>
    <row r="53" spans="1:33" s="12" customFormat="1" ht="21" customHeight="1">
      <c r="A53" s="51"/>
      <c r="B53" s="406"/>
      <c r="C53" s="406" t="s">
        <v>150</v>
      </c>
      <c r="D53" s="216"/>
      <c r="E53" s="134"/>
      <c r="F53" s="134"/>
      <c r="G53" s="134"/>
      <c r="H53" s="134"/>
      <c r="I53" s="134"/>
      <c r="J53" s="134"/>
      <c r="K53" s="134"/>
      <c r="L53" s="88"/>
      <c r="M53" s="221" t="s">
        <v>186</v>
      </c>
      <c r="N53" s="56"/>
      <c r="O53" s="56"/>
      <c r="P53" s="56"/>
      <c r="Q53" s="57"/>
      <c r="R53" s="318"/>
      <c r="S53" s="61"/>
      <c r="T53" s="57"/>
      <c r="U53" s="477"/>
      <c r="V53" s="478"/>
      <c r="W53" s="57"/>
      <c r="X53" s="110"/>
      <c r="Y53" s="110"/>
      <c r="Z53" s="110"/>
      <c r="AA53" s="110" t="s">
        <v>359</v>
      </c>
      <c r="AB53" s="110"/>
      <c r="AC53" s="110">
        <v>1329370</v>
      </c>
      <c r="AD53" s="149" t="s">
        <v>25</v>
      </c>
      <c r="AE53" s="1"/>
    </row>
    <row r="54" spans="1:33" s="12" customFormat="1" ht="21" customHeight="1">
      <c r="A54" s="51"/>
      <c r="B54" s="406"/>
      <c r="C54" s="406"/>
      <c r="D54" s="216"/>
      <c r="E54" s="134"/>
      <c r="F54" s="134"/>
      <c r="G54" s="134"/>
      <c r="H54" s="134"/>
      <c r="I54" s="134"/>
      <c r="J54" s="134"/>
      <c r="K54" s="134"/>
      <c r="L54" s="88"/>
      <c r="M54" s="310" t="s">
        <v>242</v>
      </c>
      <c r="N54" s="292"/>
      <c r="O54" s="292"/>
      <c r="P54" s="292"/>
      <c r="Q54" s="291"/>
      <c r="R54" s="318"/>
      <c r="S54" s="61"/>
      <c r="T54" s="61"/>
      <c r="U54" s="291"/>
      <c r="V54" s="292"/>
      <c r="W54" s="291"/>
      <c r="X54" s="291"/>
      <c r="Y54" s="291"/>
      <c r="Z54" s="291"/>
      <c r="AA54" s="379" t="s">
        <v>359</v>
      </c>
      <c r="AB54" s="291"/>
      <c r="AC54" s="291">
        <v>0</v>
      </c>
      <c r="AD54" s="64" t="s">
        <v>188</v>
      </c>
      <c r="AE54" s="21"/>
    </row>
    <row r="55" spans="1:33" s="12" customFormat="1" ht="21" customHeight="1">
      <c r="A55" s="51"/>
      <c r="B55" s="406"/>
      <c r="C55" s="406"/>
      <c r="D55" s="216"/>
      <c r="E55" s="134"/>
      <c r="F55" s="134"/>
      <c r="G55" s="134"/>
      <c r="H55" s="134"/>
      <c r="I55" s="134"/>
      <c r="J55" s="134"/>
      <c r="K55" s="134"/>
      <c r="L55" s="88"/>
      <c r="M55" s="310" t="s">
        <v>243</v>
      </c>
      <c r="N55" s="310"/>
      <c r="O55" s="310"/>
      <c r="P55" s="310"/>
      <c r="Q55" s="309"/>
      <c r="R55" s="318"/>
      <c r="S55" s="61"/>
      <c r="T55" s="61"/>
      <c r="U55" s="309"/>
      <c r="V55" s="310"/>
      <c r="W55" s="309"/>
      <c r="X55" s="309"/>
      <c r="Y55" s="309"/>
      <c r="Z55" s="309"/>
      <c r="AA55" s="379" t="s">
        <v>358</v>
      </c>
      <c r="AB55" s="309"/>
      <c r="AC55" s="309">
        <v>500000</v>
      </c>
      <c r="AD55" s="64" t="s">
        <v>234</v>
      </c>
      <c r="AE55" s="21"/>
    </row>
    <row r="56" spans="1:33" s="12" customFormat="1" ht="21" customHeight="1">
      <c r="A56" s="51"/>
      <c r="B56" s="406"/>
      <c r="C56" s="66"/>
      <c r="D56" s="217"/>
      <c r="E56" s="137"/>
      <c r="F56" s="137"/>
      <c r="G56" s="137"/>
      <c r="H56" s="137"/>
      <c r="I56" s="137"/>
      <c r="J56" s="137"/>
      <c r="K56" s="137"/>
      <c r="L56" s="106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1"/>
      <c r="AD56" s="162"/>
      <c r="AE56" s="1"/>
    </row>
    <row r="57" spans="1:33" s="12" customFormat="1" ht="21" customHeight="1">
      <c r="A57" s="51"/>
      <c r="B57" s="406"/>
      <c r="C57" s="406" t="s">
        <v>41</v>
      </c>
      <c r="D57" s="216">
        <v>3213</v>
      </c>
      <c r="E57" s="134">
        <f>ROUND(AC57/1000,0)</f>
        <v>3340</v>
      </c>
      <c r="F57" s="134">
        <f>(AC59+AC58)/1000</f>
        <v>2950</v>
      </c>
      <c r="G57" s="134">
        <v>0</v>
      </c>
      <c r="H57" s="134">
        <f>(AC60+AC61)/1000</f>
        <v>390</v>
      </c>
      <c r="I57" s="134">
        <v>0</v>
      </c>
      <c r="J57" s="134">
        <v>0</v>
      </c>
      <c r="K57" s="134">
        <f>E57-D57</f>
        <v>127</v>
      </c>
      <c r="L57" s="88">
        <f>IF(D57=0,0,K57/D57)</f>
        <v>3.9526921879863057E-2</v>
      </c>
      <c r="M57" s="142" t="s">
        <v>45</v>
      </c>
      <c r="N57" s="38"/>
      <c r="O57" s="38"/>
      <c r="P57" s="38"/>
      <c r="Q57" s="38"/>
      <c r="R57" s="257"/>
      <c r="S57" s="39"/>
      <c r="T57" s="39"/>
      <c r="U57" s="39"/>
      <c r="V57" s="39"/>
      <c r="W57" s="39"/>
      <c r="X57" s="239" t="s">
        <v>139</v>
      </c>
      <c r="Y57" s="239"/>
      <c r="Z57" s="239"/>
      <c r="AA57" s="239"/>
      <c r="AB57" s="241"/>
      <c r="AC57" s="241">
        <f>SUM(AC58:AC61)</f>
        <v>3340000</v>
      </c>
      <c r="AD57" s="240" t="s">
        <v>25</v>
      </c>
      <c r="AE57" s="1"/>
    </row>
    <row r="58" spans="1:33" s="12" customFormat="1" ht="21" customHeight="1">
      <c r="A58" s="51"/>
      <c r="B58" s="406"/>
      <c r="C58" s="406"/>
      <c r="D58" s="216"/>
      <c r="E58" s="134"/>
      <c r="F58" s="134"/>
      <c r="G58" s="134"/>
      <c r="H58" s="134"/>
      <c r="I58" s="134"/>
      <c r="J58" s="134"/>
      <c r="K58" s="134"/>
      <c r="L58" s="88"/>
      <c r="M58" s="221" t="s">
        <v>341</v>
      </c>
      <c r="N58" s="56"/>
      <c r="O58" s="56"/>
      <c r="P58" s="56"/>
      <c r="Q58" s="157">
        <v>45000</v>
      </c>
      <c r="R58" s="157"/>
      <c r="S58" s="158" t="s">
        <v>25</v>
      </c>
      <c r="T58" s="158" t="s">
        <v>26</v>
      </c>
      <c r="U58" s="157">
        <v>10</v>
      </c>
      <c r="V58" s="156" t="s">
        <v>29</v>
      </c>
      <c r="W58" s="157" t="s">
        <v>27</v>
      </c>
      <c r="X58" s="57"/>
      <c r="Y58" s="57"/>
      <c r="Z58" s="154"/>
      <c r="AA58" s="379" t="s">
        <v>359</v>
      </c>
      <c r="AB58" s="57"/>
      <c r="AC58" s="57">
        <f>ROUNDUP(Q58*U58,1)</f>
        <v>450000</v>
      </c>
      <c r="AD58" s="64" t="s">
        <v>25</v>
      </c>
      <c r="AE58" s="1"/>
    </row>
    <row r="59" spans="1:33" s="12" customFormat="1" ht="21" customHeight="1">
      <c r="A59" s="51"/>
      <c r="B59" s="406"/>
      <c r="C59" s="406"/>
      <c r="D59" s="216"/>
      <c r="E59" s="134"/>
      <c r="F59" s="134"/>
      <c r="G59" s="134"/>
      <c r="H59" s="134"/>
      <c r="I59" s="134"/>
      <c r="J59" s="134"/>
      <c r="K59" s="134"/>
      <c r="L59" s="88"/>
      <c r="M59" s="84" t="s">
        <v>342</v>
      </c>
      <c r="N59" s="197"/>
      <c r="O59" s="197"/>
      <c r="P59" s="197"/>
      <c r="Q59" s="258">
        <v>250000</v>
      </c>
      <c r="R59" s="318"/>
      <c r="S59" s="61" t="s">
        <v>58</v>
      </c>
      <c r="T59" s="61" t="s">
        <v>26</v>
      </c>
      <c r="U59" s="258">
        <v>10</v>
      </c>
      <c r="V59" s="259" t="s">
        <v>0</v>
      </c>
      <c r="W59" s="258" t="s">
        <v>27</v>
      </c>
      <c r="X59" s="258"/>
      <c r="Y59" s="258"/>
      <c r="Z59" s="258"/>
      <c r="AA59" s="379" t="s">
        <v>359</v>
      </c>
      <c r="AB59" s="258"/>
      <c r="AC59" s="258">
        <f>Q59*U59</f>
        <v>2500000</v>
      </c>
      <c r="AD59" s="64" t="s">
        <v>114</v>
      </c>
      <c r="AE59" s="1"/>
    </row>
    <row r="60" spans="1:33" s="12" customFormat="1" ht="21" customHeight="1">
      <c r="A60" s="51"/>
      <c r="B60" s="406"/>
      <c r="C60" s="406"/>
      <c r="D60" s="216"/>
      <c r="E60" s="134"/>
      <c r="F60" s="134"/>
      <c r="G60" s="134"/>
      <c r="H60" s="134"/>
      <c r="I60" s="134"/>
      <c r="J60" s="134"/>
      <c r="K60" s="134"/>
      <c r="L60" s="88"/>
      <c r="M60" s="351" t="s">
        <v>343</v>
      </c>
      <c r="N60" s="351"/>
      <c r="O60" s="351"/>
      <c r="P60" s="351"/>
      <c r="Q60" s="157">
        <v>45000</v>
      </c>
      <c r="R60" s="157"/>
      <c r="S60" s="158" t="s">
        <v>25</v>
      </c>
      <c r="T60" s="158" t="s">
        <v>26</v>
      </c>
      <c r="U60" s="157">
        <v>2</v>
      </c>
      <c r="V60" s="156" t="s">
        <v>29</v>
      </c>
      <c r="W60" s="157" t="s">
        <v>27</v>
      </c>
      <c r="X60" s="350"/>
      <c r="Y60" s="350"/>
      <c r="Z60" s="350"/>
      <c r="AA60" s="379" t="s">
        <v>358</v>
      </c>
      <c r="AB60" s="350"/>
      <c r="AC60" s="350">
        <f>ROUNDUP(Q60*U60,1)</f>
        <v>90000</v>
      </c>
      <c r="AD60" s="64" t="s">
        <v>25</v>
      </c>
      <c r="AE60" s="1"/>
    </row>
    <row r="61" spans="1:33" s="12" customFormat="1" ht="21" customHeight="1">
      <c r="A61" s="51"/>
      <c r="B61" s="406"/>
      <c r="C61" s="406"/>
      <c r="D61" s="216"/>
      <c r="E61" s="134"/>
      <c r="F61" s="134"/>
      <c r="G61" s="134"/>
      <c r="H61" s="134"/>
      <c r="I61" s="134"/>
      <c r="J61" s="134"/>
      <c r="K61" s="134"/>
      <c r="L61" s="88"/>
      <c r="M61" s="351" t="s">
        <v>344</v>
      </c>
      <c r="N61" s="351"/>
      <c r="O61" s="351"/>
      <c r="P61" s="351"/>
      <c r="Q61" s="350">
        <v>150000</v>
      </c>
      <c r="R61" s="350"/>
      <c r="S61" s="61" t="s">
        <v>58</v>
      </c>
      <c r="T61" s="61" t="s">
        <v>26</v>
      </c>
      <c r="U61" s="350">
        <v>2</v>
      </c>
      <c r="V61" s="351" t="s">
        <v>0</v>
      </c>
      <c r="W61" s="350" t="s">
        <v>27</v>
      </c>
      <c r="X61" s="350"/>
      <c r="Y61" s="350"/>
      <c r="Z61" s="350"/>
      <c r="AA61" s="379" t="s">
        <v>358</v>
      </c>
      <c r="AB61" s="350"/>
      <c r="AC61" s="350">
        <f>Q61*U61</f>
        <v>300000</v>
      </c>
      <c r="AD61" s="64" t="s">
        <v>58</v>
      </c>
      <c r="AE61" s="1"/>
    </row>
    <row r="62" spans="1:33" s="15" customFormat="1" ht="21" customHeight="1">
      <c r="A62" s="51"/>
      <c r="B62" s="406"/>
      <c r="C62" s="406"/>
      <c r="D62" s="216"/>
      <c r="E62" s="134"/>
      <c r="F62" s="134"/>
      <c r="G62" s="134"/>
      <c r="H62" s="134"/>
      <c r="I62" s="134"/>
      <c r="J62" s="134"/>
      <c r="K62" s="134"/>
      <c r="L62" s="88"/>
      <c r="M62" s="146"/>
      <c r="N62" s="56"/>
      <c r="O62" s="56"/>
      <c r="P62" s="56"/>
      <c r="Q62" s="57"/>
      <c r="R62" s="318"/>
      <c r="S62" s="61"/>
      <c r="T62" s="61"/>
      <c r="U62" s="57"/>
      <c r="V62" s="56"/>
      <c r="W62" s="57"/>
      <c r="X62" s="57"/>
      <c r="Y62" s="57"/>
      <c r="Z62" s="57"/>
      <c r="AA62" s="179"/>
      <c r="AB62" s="57"/>
      <c r="AC62" s="57"/>
      <c r="AD62" s="64"/>
      <c r="AE62" s="4"/>
    </row>
    <row r="63" spans="1:33" ht="21" customHeight="1">
      <c r="A63" s="51"/>
      <c r="B63" s="406"/>
      <c r="C63" s="405" t="s">
        <v>15</v>
      </c>
      <c r="D63" s="218">
        <v>336</v>
      </c>
      <c r="E63" s="139">
        <f>ROUND(AC63/1000,0)</f>
        <v>336</v>
      </c>
      <c r="F63" s="139">
        <f>(AC66+AC67+AC68+AC64+AC65+AC69)/1000</f>
        <v>335.96</v>
      </c>
      <c r="G63" s="139">
        <v>0</v>
      </c>
      <c r="H63" s="139">
        <f>(F63)/1000</f>
        <v>0.33595999999999998</v>
      </c>
      <c r="I63" s="139">
        <v>0</v>
      </c>
      <c r="J63" s="139">
        <v>0</v>
      </c>
      <c r="K63" s="264">
        <f>E63-D63</f>
        <v>0</v>
      </c>
      <c r="L63" s="147">
        <f>IF(D63=0,0,K63/D63)</f>
        <v>0</v>
      </c>
      <c r="M63" s="122" t="s">
        <v>46</v>
      </c>
      <c r="N63" s="119"/>
      <c r="O63" s="119"/>
      <c r="P63" s="119"/>
      <c r="Q63" s="119"/>
      <c r="R63" s="261"/>
      <c r="S63" s="111"/>
      <c r="T63" s="111"/>
      <c r="U63" s="111"/>
      <c r="V63" s="111"/>
      <c r="W63" s="111"/>
      <c r="X63" s="239" t="s">
        <v>139</v>
      </c>
      <c r="Y63" s="239"/>
      <c r="Z63" s="239"/>
      <c r="AA63" s="239"/>
      <c r="AB63" s="241"/>
      <c r="AC63" s="241">
        <f>SUM(AC64:AC69)</f>
        <v>335960</v>
      </c>
      <c r="AD63" s="240" t="s">
        <v>25</v>
      </c>
    </row>
    <row r="64" spans="1:33" s="12" customFormat="1" ht="21" customHeight="1">
      <c r="A64" s="51"/>
      <c r="B64" s="406"/>
      <c r="C64" s="406"/>
      <c r="D64" s="216"/>
      <c r="E64" s="134"/>
      <c r="F64" s="134"/>
      <c r="G64" s="134"/>
      <c r="H64" s="134"/>
      <c r="I64" s="134"/>
      <c r="J64" s="134"/>
      <c r="K64" s="134"/>
      <c r="L64" s="88"/>
      <c r="M64" s="292" t="s">
        <v>189</v>
      </c>
      <c r="N64" s="163"/>
      <c r="O64" s="163"/>
      <c r="P64" s="163"/>
      <c r="Q64" s="157">
        <v>43200</v>
      </c>
      <c r="R64" s="157"/>
      <c r="S64" s="158" t="s">
        <v>25</v>
      </c>
      <c r="T64" s="158" t="s">
        <v>26</v>
      </c>
      <c r="U64" s="157">
        <v>1</v>
      </c>
      <c r="V64" s="156" t="s">
        <v>184</v>
      </c>
      <c r="W64" s="157" t="s">
        <v>27</v>
      </c>
      <c r="X64" s="57"/>
      <c r="Y64" s="57"/>
      <c r="Z64" s="56"/>
      <c r="AA64" s="56"/>
      <c r="AB64" s="57"/>
      <c r="AC64" s="57">
        <f>Q64*U64</f>
        <v>43200</v>
      </c>
      <c r="AD64" s="64" t="s">
        <v>188</v>
      </c>
      <c r="AE64" s="1"/>
    </row>
    <row r="65" spans="1:31" s="12" customFormat="1" ht="21" customHeight="1">
      <c r="A65" s="51"/>
      <c r="B65" s="406"/>
      <c r="C65" s="406"/>
      <c r="D65" s="216"/>
      <c r="E65" s="134"/>
      <c r="F65" s="134"/>
      <c r="G65" s="134"/>
      <c r="H65" s="134"/>
      <c r="I65" s="134"/>
      <c r="J65" s="134"/>
      <c r="K65" s="134"/>
      <c r="L65" s="88"/>
      <c r="M65" s="302" t="s">
        <v>190</v>
      </c>
      <c r="N65" s="34"/>
      <c r="O65" s="34"/>
      <c r="P65" s="34"/>
      <c r="Q65" s="157">
        <v>73400</v>
      </c>
      <c r="R65" s="157"/>
      <c r="S65" s="158" t="s">
        <v>25</v>
      </c>
      <c r="T65" s="158" t="s">
        <v>26</v>
      </c>
      <c r="U65" s="157">
        <v>1</v>
      </c>
      <c r="V65" s="156" t="s">
        <v>184</v>
      </c>
      <c r="W65" s="157" t="s">
        <v>27</v>
      </c>
      <c r="X65" s="291"/>
      <c r="Y65" s="291"/>
      <c r="Z65" s="292"/>
      <c r="AA65" s="292"/>
      <c r="AB65" s="291"/>
      <c r="AC65" s="291">
        <f>Q65*U65</f>
        <v>73400</v>
      </c>
      <c r="AD65" s="64" t="s">
        <v>188</v>
      </c>
      <c r="AE65" s="1"/>
    </row>
    <row r="66" spans="1:31" s="12" customFormat="1" ht="21" customHeight="1">
      <c r="A66" s="51"/>
      <c r="B66" s="406"/>
      <c r="C66" s="406"/>
      <c r="D66" s="216"/>
      <c r="E66" s="134"/>
      <c r="F66" s="134"/>
      <c r="G66" s="134"/>
      <c r="H66" s="134"/>
      <c r="I66" s="134"/>
      <c r="J66" s="134"/>
      <c r="K66" s="134"/>
      <c r="L66" s="88"/>
      <c r="M66" s="292" t="s">
        <v>191</v>
      </c>
      <c r="N66" s="34"/>
      <c r="O66" s="34"/>
      <c r="P66" s="34"/>
      <c r="Q66" s="157">
        <v>110000</v>
      </c>
      <c r="R66" s="157"/>
      <c r="S66" s="158" t="s">
        <v>25</v>
      </c>
      <c r="T66" s="158" t="s">
        <v>26</v>
      </c>
      <c r="U66" s="157">
        <v>1</v>
      </c>
      <c r="V66" s="156" t="s">
        <v>184</v>
      </c>
      <c r="W66" s="157" t="s">
        <v>27</v>
      </c>
      <c r="X66" s="57"/>
      <c r="Y66" s="57"/>
      <c r="Z66" s="56"/>
      <c r="AA66" s="56"/>
      <c r="AB66" s="57"/>
      <c r="AC66" s="291">
        <f t="shared" ref="AC66:AC68" si="7">Q66*U66</f>
        <v>110000</v>
      </c>
      <c r="AD66" s="64" t="s">
        <v>25</v>
      </c>
      <c r="AE66" s="1"/>
    </row>
    <row r="67" spans="1:31" s="12" customFormat="1" ht="21" customHeight="1">
      <c r="A67" s="51"/>
      <c r="B67" s="406"/>
      <c r="C67" s="406"/>
      <c r="D67" s="216"/>
      <c r="E67" s="134"/>
      <c r="F67" s="134"/>
      <c r="G67" s="134"/>
      <c r="H67" s="134"/>
      <c r="I67" s="134"/>
      <c r="J67" s="134"/>
      <c r="K67" s="134"/>
      <c r="L67" s="88"/>
      <c r="M67" s="292" t="s">
        <v>192</v>
      </c>
      <c r="N67" s="163"/>
      <c r="O67" s="163"/>
      <c r="P67" s="163"/>
      <c r="Q67" s="157">
        <v>55000</v>
      </c>
      <c r="R67" s="157"/>
      <c r="S67" s="158" t="s">
        <v>25</v>
      </c>
      <c r="T67" s="158" t="s">
        <v>26</v>
      </c>
      <c r="U67" s="157">
        <v>1</v>
      </c>
      <c r="V67" s="156" t="s">
        <v>184</v>
      </c>
      <c r="W67" s="157" t="s">
        <v>27</v>
      </c>
      <c r="X67" s="57"/>
      <c r="Y67" s="57"/>
      <c r="Z67" s="56"/>
      <c r="AA67" s="56"/>
      <c r="AB67" s="57"/>
      <c r="AC67" s="291">
        <f t="shared" si="7"/>
        <v>55000</v>
      </c>
      <c r="AD67" s="64" t="s">
        <v>25</v>
      </c>
      <c r="AE67" s="1"/>
    </row>
    <row r="68" spans="1:31" s="12" customFormat="1" ht="21" customHeight="1">
      <c r="A68" s="51"/>
      <c r="B68" s="406"/>
      <c r="C68" s="406"/>
      <c r="D68" s="216"/>
      <c r="E68" s="134"/>
      <c r="F68" s="134"/>
      <c r="G68" s="134"/>
      <c r="H68" s="134"/>
      <c r="I68" s="134"/>
      <c r="J68" s="134"/>
      <c r="K68" s="134"/>
      <c r="L68" s="88"/>
      <c r="M68" s="292" t="s">
        <v>193</v>
      </c>
      <c r="N68" s="34"/>
      <c r="O68" s="34"/>
      <c r="P68" s="34"/>
      <c r="Q68" s="157">
        <v>28600</v>
      </c>
      <c r="R68" s="157"/>
      <c r="S68" s="158" t="s">
        <v>25</v>
      </c>
      <c r="T68" s="158" t="s">
        <v>26</v>
      </c>
      <c r="U68" s="157">
        <v>1</v>
      </c>
      <c r="V68" s="156" t="s">
        <v>184</v>
      </c>
      <c r="W68" s="157" t="s">
        <v>27</v>
      </c>
      <c r="X68" s="57"/>
      <c r="Y68" s="57"/>
      <c r="Z68" s="56"/>
      <c r="AA68" s="56"/>
      <c r="AB68" s="57"/>
      <c r="AC68" s="291">
        <f t="shared" si="7"/>
        <v>28600</v>
      </c>
      <c r="AD68" s="64" t="s">
        <v>25</v>
      </c>
      <c r="AE68" s="1"/>
    </row>
    <row r="69" spans="1:31" s="12" customFormat="1" ht="21" customHeight="1">
      <c r="A69" s="51"/>
      <c r="B69" s="406"/>
      <c r="C69" s="406"/>
      <c r="D69" s="216"/>
      <c r="E69" s="134"/>
      <c r="F69" s="134"/>
      <c r="G69" s="134"/>
      <c r="H69" s="134"/>
      <c r="I69" s="134"/>
      <c r="J69" s="134"/>
      <c r="K69" s="134"/>
      <c r="L69" s="88"/>
      <c r="M69" s="349" t="s">
        <v>323</v>
      </c>
      <c r="N69" s="34"/>
      <c r="O69" s="34"/>
      <c r="P69" s="34"/>
      <c r="Q69" s="157">
        <v>25760</v>
      </c>
      <c r="R69" s="157"/>
      <c r="S69" s="158" t="s">
        <v>25</v>
      </c>
      <c r="T69" s="158" t="s">
        <v>26</v>
      </c>
      <c r="U69" s="157">
        <v>1</v>
      </c>
      <c r="V69" s="156" t="s">
        <v>76</v>
      </c>
      <c r="W69" s="157" t="s">
        <v>27</v>
      </c>
      <c r="X69" s="348"/>
      <c r="Y69" s="348"/>
      <c r="Z69" s="349"/>
      <c r="AA69" s="349"/>
      <c r="AB69" s="348"/>
      <c r="AC69" s="348">
        <f t="shared" ref="AC69" si="8">Q69*U69</f>
        <v>25760</v>
      </c>
      <c r="AD69" s="64" t="s">
        <v>68</v>
      </c>
      <c r="AE69" s="1"/>
    </row>
    <row r="70" spans="1:31" s="12" customFormat="1" ht="21" customHeight="1">
      <c r="A70" s="51"/>
      <c r="B70" s="406"/>
      <c r="C70" s="406"/>
      <c r="D70" s="216"/>
      <c r="E70" s="134"/>
      <c r="F70" s="134"/>
      <c r="G70" s="134"/>
      <c r="H70" s="134"/>
      <c r="I70" s="134"/>
      <c r="J70" s="134"/>
      <c r="K70" s="134"/>
      <c r="L70" s="88"/>
      <c r="M70" s="155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93"/>
      <c r="Y70" s="93"/>
      <c r="Z70" s="93"/>
      <c r="AA70" s="93"/>
      <c r="AB70" s="93"/>
      <c r="AC70" s="57"/>
      <c r="AD70" s="64"/>
      <c r="AE70" s="1"/>
    </row>
    <row r="71" spans="1:31" s="12" customFormat="1" ht="21" customHeight="1">
      <c r="A71" s="51"/>
      <c r="B71" s="406"/>
      <c r="C71" s="405" t="s">
        <v>47</v>
      </c>
      <c r="D71" s="218">
        <v>0</v>
      </c>
      <c r="E71" s="139">
        <f>ROUND(AC71/1000,0)</f>
        <v>0</v>
      </c>
      <c r="F71" s="139">
        <v>0</v>
      </c>
      <c r="G71" s="139">
        <v>0</v>
      </c>
      <c r="H71" s="139">
        <v>0</v>
      </c>
      <c r="I71" s="139">
        <v>0</v>
      </c>
      <c r="J71" s="139">
        <v>0</v>
      </c>
      <c r="K71" s="139">
        <f>E71-D71</f>
        <v>0</v>
      </c>
      <c r="L71" s="147">
        <f>IF(D71=0,0,K71/D71)</f>
        <v>0</v>
      </c>
      <c r="M71" s="122" t="s">
        <v>48</v>
      </c>
      <c r="N71" s="119"/>
      <c r="O71" s="119"/>
      <c r="P71" s="119"/>
      <c r="Q71" s="119"/>
      <c r="R71" s="261"/>
      <c r="S71" s="111"/>
      <c r="T71" s="111"/>
      <c r="U71" s="111"/>
      <c r="V71" s="111"/>
      <c r="W71" s="111"/>
      <c r="X71" s="239" t="s">
        <v>139</v>
      </c>
      <c r="Y71" s="239"/>
      <c r="Z71" s="239"/>
      <c r="AA71" s="239"/>
      <c r="AB71" s="241"/>
      <c r="AC71" s="241">
        <f>SUM(AC72:AC72)</f>
        <v>0</v>
      </c>
      <c r="AD71" s="240" t="s">
        <v>25</v>
      </c>
      <c r="AE71" s="1"/>
    </row>
    <row r="72" spans="1:31" s="12" customFormat="1" ht="21" customHeight="1">
      <c r="A72" s="51"/>
      <c r="B72" s="406"/>
      <c r="C72" s="406"/>
      <c r="D72" s="135"/>
      <c r="E72" s="134"/>
      <c r="F72" s="134"/>
      <c r="G72" s="134"/>
      <c r="H72" s="134"/>
      <c r="I72" s="134"/>
      <c r="J72" s="134"/>
      <c r="K72" s="134"/>
      <c r="L72" s="88"/>
      <c r="M72" s="292" t="s">
        <v>194</v>
      </c>
      <c r="N72" s="56"/>
      <c r="O72" s="56"/>
      <c r="P72" s="56"/>
      <c r="Q72" s="157">
        <v>0</v>
      </c>
      <c r="R72" s="157"/>
      <c r="S72" s="158" t="s">
        <v>25</v>
      </c>
      <c r="T72" s="158" t="s">
        <v>26</v>
      </c>
      <c r="U72" s="157">
        <v>12</v>
      </c>
      <c r="V72" s="156" t="s">
        <v>187</v>
      </c>
      <c r="W72" s="157" t="s">
        <v>27</v>
      </c>
      <c r="X72" s="57"/>
      <c r="Y72" s="57"/>
      <c r="Z72" s="57"/>
      <c r="AA72" s="57"/>
      <c r="AB72" s="57"/>
      <c r="AC72" s="57">
        <f>Q72*U72</f>
        <v>0</v>
      </c>
      <c r="AD72" s="64" t="s">
        <v>25</v>
      </c>
      <c r="AE72" s="1"/>
    </row>
    <row r="73" spans="1:31" s="12" customFormat="1" ht="21" customHeight="1">
      <c r="A73" s="51"/>
      <c r="B73" s="406"/>
      <c r="C73" s="66"/>
      <c r="D73" s="164"/>
      <c r="E73" s="137"/>
      <c r="F73" s="137"/>
      <c r="G73" s="137"/>
      <c r="H73" s="137"/>
      <c r="I73" s="137"/>
      <c r="J73" s="137"/>
      <c r="K73" s="137"/>
      <c r="L73" s="106"/>
      <c r="M73" s="99"/>
      <c r="N73" s="99"/>
      <c r="O73" s="99"/>
      <c r="P73" s="99"/>
      <c r="Q73" s="98"/>
      <c r="R73" s="315"/>
      <c r="S73" s="107"/>
      <c r="T73" s="98"/>
      <c r="U73" s="473"/>
      <c r="V73" s="474"/>
      <c r="W73" s="98"/>
      <c r="X73" s="98"/>
      <c r="Y73" s="98"/>
      <c r="Z73" s="98"/>
      <c r="AA73" s="165"/>
      <c r="AB73" s="98"/>
      <c r="AC73" s="98"/>
      <c r="AD73" s="91"/>
      <c r="AE73" s="1"/>
    </row>
    <row r="74" spans="1:31" s="12" customFormat="1" ht="21" customHeight="1">
      <c r="A74" s="51"/>
      <c r="B74" s="406"/>
      <c r="C74" s="405" t="s">
        <v>99</v>
      </c>
      <c r="D74" s="166">
        <v>0</v>
      </c>
      <c r="E74" s="139">
        <f>ROUND(AC74/1000,0)</f>
        <v>20</v>
      </c>
      <c r="F74" s="139">
        <f>AC75/1000</f>
        <v>20</v>
      </c>
      <c r="G74" s="139">
        <v>0</v>
      </c>
      <c r="H74" s="139">
        <v>0</v>
      </c>
      <c r="I74" s="139">
        <v>0</v>
      </c>
      <c r="J74" s="139">
        <v>0</v>
      </c>
      <c r="K74" s="139">
        <f>E74-D74</f>
        <v>20</v>
      </c>
      <c r="L74" s="147">
        <f>IF(D74=0,0,K74/D74)</f>
        <v>0</v>
      </c>
      <c r="M74" s="142" t="s">
        <v>100</v>
      </c>
      <c r="N74" s="119"/>
      <c r="O74" s="119"/>
      <c r="P74" s="119"/>
      <c r="Q74" s="119"/>
      <c r="R74" s="261"/>
      <c r="S74" s="111"/>
      <c r="T74" s="111"/>
      <c r="U74" s="111"/>
      <c r="V74" s="111"/>
      <c r="W74" s="111"/>
      <c r="X74" s="239" t="s">
        <v>139</v>
      </c>
      <c r="Y74" s="239"/>
      <c r="Z74" s="239"/>
      <c r="AA74" s="239"/>
      <c r="AB74" s="241"/>
      <c r="AC74" s="241">
        <f>SUM(AC75)</f>
        <v>20000</v>
      </c>
      <c r="AD74" s="240" t="s">
        <v>25</v>
      </c>
      <c r="AE74" s="1"/>
    </row>
    <row r="75" spans="1:31" s="12" customFormat="1" ht="21" customHeight="1">
      <c r="A75" s="51"/>
      <c r="B75" s="406"/>
      <c r="C75" s="406"/>
      <c r="D75" s="167"/>
      <c r="E75" s="134"/>
      <c r="F75" s="134"/>
      <c r="G75" s="134"/>
      <c r="H75" s="134"/>
      <c r="I75" s="134"/>
      <c r="J75" s="134"/>
      <c r="K75" s="134"/>
      <c r="L75" s="88"/>
      <c r="M75" s="292" t="s">
        <v>195</v>
      </c>
      <c r="N75" s="155"/>
      <c r="O75" s="155"/>
      <c r="P75" s="155"/>
      <c r="Q75" s="143"/>
      <c r="R75" s="143"/>
      <c r="S75" s="154"/>
      <c r="T75" s="154"/>
      <c r="U75" s="154"/>
      <c r="V75" s="154"/>
      <c r="W75" s="154"/>
      <c r="X75" s="154"/>
      <c r="Y75" s="154"/>
      <c r="Z75" s="154"/>
      <c r="AA75" s="154"/>
      <c r="AB75" s="85"/>
      <c r="AC75" s="85">
        <v>20000</v>
      </c>
      <c r="AD75" s="64" t="s">
        <v>188</v>
      </c>
      <c r="AE75" s="1"/>
    </row>
    <row r="76" spans="1:31" s="12" customFormat="1" ht="20.25" customHeight="1">
      <c r="A76" s="51"/>
      <c r="B76" s="406"/>
      <c r="C76" s="406"/>
      <c r="D76" s="167"/>
      <c r="E76" s="134"/>
      <c r="F76" s="134"/>
      <c r="G76" s="134"/>
      <c r="H76" s="134"/>
      <c r="I76" s="134"/>
      <c r="J76" s="134"/>
      <c r="K76" s="134"/>
      <c r="L76" s="88"/>
      <c r="M76" s="409"/>
      <c r="N76" s="410"/>
      <c r="O76" s="410"/>
      <c r="P76" s="410"/>
      <c r="Q76" s="410"/>
      <c r="R76" s="410"/>
      <c r="S76" s="410"/>
      <c r="T76" s="410"/>
      <c r="U76" s="410"/>
      <c r="V76" s="410"/>
      <c r="W76" s="410"/>
      <c r="X76" s="410"/>
      <c r="Y76" s="410"/>
      <c r="Z76" s="410"/>
      <c r="AA76" s="410"/>
      <c r="AB76" s="410"/>
      <c r="AC76" s="410"/>
      <c r="AD76" s="330"/>
      <c r="AE76" s="2"/>
    </row>
    <row r="77" spans="1:31" s="12" customFormat="1" ht="21" customHeight="1">
      <c r="A77" s="138" t="s">
        <v>49</v>
      </c>
      <c r="B77" s="472" t="s">
        <v>21</v>
      </c>
      <c r="C77" s="472"/>
      <c r="D77" s="267">
        <f>D78</f>
        <v>3508</v>
      </c>
      <c r="E77" s="267">
        <f>E78</f>
        <v>3000</v>
      </c>
      <c r="F77" s="267">
        <f>F78</f>
        <v>0</v>
      </c>
      <c r="G77" s="267">
        <f>G78</f>
        <v>3000</v>
      </c>
      <c r="H77" s="267">
        <f>H78</f>
        <v>0</v>
      </c>
      <c r="I77" s="267">
        <v>0</v>
      </c>
      <c r="J77" s="267">
        <f t="shared" ref="J77" si="9">J78</f>
        <v>0</v>
      </c>
      <c r="K77" s="267">
        <f>E77-D77</f>
        <v>-508</v>
      </c>
      <c r="L77" s="231">
        <f>IF(D77=0,0,K77/D77)</f>
        <v>-0.14481185860889395</v>
      </c>
      <c r="M77" s="257" t="s">
        <v>147</v>
      </c>
      <c r="N77" s="38"/>
      <c r="O77" s="38"/>
      <c r="P77" s="38"/>
      <c r="Q77" s="39"/>
      <c r="R77" s="25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>
        <f>AC78</f>
        <v>3000000</v>
      </c>
      <c r="AD77" s="40" t="s">
        <v>25</v>
      </c>
      <c r="AE77" s="2"/>
    </row>
    <row r="78" spans="1:31" s="12" customFormat="1" ht="21" customHeight="1">
      <c r="A78" s="266" t="s">
        <v>154</v>
      </c>
      <c r="B78" s="406" t="s">
        <v>18</v>
      </c>
      <c r="C78" s="406" t="s">
        <v>148</v>
      </c>
      <c r="D78" s="216">
        <f>D79+D82+D85</f>
        <v>3508</v>
      </c>
      <c r="E78" s="134">
        <f>SUM(E79,E82,E85)</f>
        <v>3000</v>
      </c>
      <c r="F78" s="134">
        <f>F79+F82+F85</f>
        <v>0</v>
      </c>
      <c r="G78" s="134">
        <f>SUM(G79,G82,G85)</f>
        <v>3000</v>
      </c>
      <c r="H78" s="134">
        <f>H85</f>
        <v>0</v>
      </c>
      <c r="I78" s="134">
        <v>0</v>
      </c>
      <c r="J78" s="134">
        <f>SUM(J79,J82,J85)</f>
        <v>0</v>
      </c>
      <c r="K78" s="134">
        <f>E78-D78</f>
        <v>-508</v>
      </c>
      <c r="L78" s="88">
        <f>IF(D78=0,0,K78/D78)</f>
        <v>-0.14481185860889395</v>
      </c>
      <c r="M78" s="261" t="s">
        <v>149</v>
      </c>
      <c r="N78" s="119"/>
      <c r="O78" s="119"/>
      <c r="P78" s="119"/>
      <c r="Q78" s="119"/>
      <c r="R78" s="261"/>
      <c r="S78" s="111"/>
      <c r="T78" s="111"/>
      <c r="U78" s="111"/>
      <c r="V78" s="111"/>
      <c r="W78" s="111"/>
      <c r="X78" s="111"/>
      <c r="Y78" s="111"/>
      <c r="Z78" s="111"/>
      <c r="AA78" s="111"/>
      <c r="AB78" s="120"/>
      <c r="AC78" s="120">
        <f>SUM(AC79,AC82,AC85)</f>
        <v>3000000</v>
      </c>
      <c r="AD78" s="121" t="s">
        <v>25</v>
      </c>
      <c r="AE78" s="1"/>
    </row>
    <row r="79" spans="1:31" s="12" customFormat="1" ht="21" customHeight="1">
      <c r="A79" s="51"/>
      <c r="B79" s="406"/>
      <c r="C79" s="405" t="s">
        <v>149</v>
      </c>
      <c r="D79" s="264">
        <v>0</v>
      </c>
      <c r="E79" s="264">
        <v>0</v>
      </c>
      <c r="F79" s="264">
        <f>ROUND(AC80/1000,0)</f>
        <v>0</v>
      </c>
      <c r="G79" s="264">
        <v>0</v>
      </c>
      <c r="H79" s="264">
        <v>0</v>
      </c>
      <c r="I79" s="264">
        <v>0</v>
      </c>
      <c r="J79" s="264">
        <v>0</v>
      </c>
      <c r="K79" s="264">
        <f>E79-D79</f>
        <v>0</v>
      </c>
      <c r="L79" s="265">
        <f>IF(D79=0,0,K79/D79)</f>
        <v>0</v>
      </c>
      <c r="M79" s="122" t="s">
        <v>50</v>
      </c>
      <c r="N79" s="261"/>
      <c r="O79" s="261"/>
      <c r="P79" s="261"/>
      <c r="Q79" s="261"/>
      <c r="R79" s="261"/>
      <c r="S79" s="260"/>
      <c r="T79" s="260"/>
      <c r="U79" s="260"/>
      <c r="V79" s="260"/>
      <c r="W79" s="260"/>
      <c r="X79" s="239" t="s">
        <v>139</v>
      </c>
      <c r="Y79" s="239"/>
      <c r="Z79" s="239"/>
      <c r="AA79" s="239"/>
      <c r="AB79" s="241"/>
      <c r="AC79" s="241">
        <f>SUM(AC80:AC80)</f>
        <v>0</v>
      </c>
      <c r="AD79" s="240" t="s">
        <v>25</v>
      </c>
      <c r="AE79" s="1"/>
    </row>
    <row r="80" spans="1:31" s="12" customFormat="1" ht="21" customHeight="1">
      <c r="A80" s="51"/>
      <c r="B80" s="406"/>
      <c r="C80" s="406"/>
      <c r="D80" s="135"/>
      <c r="E80" s="134"/>
      <c r="F80" s="134"/>
      <c r="G80" s="134"/>
      <c r="H80" s="134"/>
      <c r="I80" s="134"/>
      <c r="J80" s="134"/>
      <c r="K80" s="134"/>
      <c r="L80" s="88"/>
      <c r="M80" s="328" t="s">
        <v>291</v>
      </c>
      <c r="N80" s="194"/>
      <c r="O80" s="194"/>
      <c r="P80" s="194"/>
      <c r="Q80" s="194"/>
      <c r="R80" s="257"/>
      <c r="S80" s="193"/>
      <c r="T80" s="193"/>
      <c r="U80" s="193"/>
      <c r="V80" s="193"/>
      <c r="W80" s="193"/>
      <c r="X80" s="193"/>
      <c r="Y80" s="193"/>
      <c r="Z80" s="193"/>
      <c r="AA80" s="195"/>
      <c r="AB80" s="58"/>
      <c r="AC80" s="85">
        <v>0</v>
      </c>
      <c r="AD80" s="64" t="s">
        <v>113</v>
      </c>
      <c r="AE80" s="2"/>
    </row>
    <row r="81" spans="1:31" s="12" customFormat="1" ht="21" customHeight="1">
      <c r="A81" s="51"/>
      <c r="B81" s="406"/>
      <c r="C81" s="406"/>
      <c r="D81" s="216"/>
      <c r="E81" s="134"/>
      <c r="F81" s="134"/>
      <c r="G81" s="134"/>
      <c r="H81" s="134"/>
      <c r="I81" s="134"/>
      <c r="J81" s="134"/>
      <c r="K81" s="134"/>
      <c r="L81" s="88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68"/>
      <c r="AD81" s="153"/>
      <c r="AE81" s="2"/>
    </row>
    <row r="82" spans="1:31" s="12" customFormat="1" ht="21" customHeight="1">
      <c r="A82" s="51"/>
      <c r="B82" s="406"/>
      <c r="C82" s="405" t="s">
        <v>19</v>
      </c>
      <c r="D82" s="218">
        <v>1394</v>
      </c>
      <c r="E82" s="139">
        <f>F82+G82+H82+J82</f>
        <v>3000</v>
      </c>
      <c r="F82" s="139">
        <f>AC84/1000</f>
        <v>0</v>
      </c>
      <c r="G82" s="139">
        <f>(AC83)/1000</f>
        <v>3000</v>
      </c>
      <c r="H82" s="139">
        <f>AC87/1000</f>
        <v>0</v>
      </c>
      <c r="I82" s="139">
        <v>0</v>
      </c>
      <c r="J82" s="139">
        <v>0</v>
      </c>
      <c r="K82" s="139">
        <f>E82-D82</f>
        <v>1606</v>
      </c>
      <c r="L82" s="147">
        <f>IF(D82=0,0,K82/D82)</f>
        <v>1.1520803443328551</v>
      </c>
      <c r="M82" s="122" t="s">
        <v>51</v>
      </c>
      <c r="N82" s="119"/>
      <c r="O82" s="119"/>
      <c r="P82" s="119"/>
      <c r="Q82" s="119"/>
      <c r="R82" s="261"/>
      <c r="S82" s="111"/>
      <c r="T82" s="111"/>
      <c r="U82" s="111"/>
      <c r="V82" s="111"/>
      <c r="W82" s="111"/>
      <c r="X82" s="239" t="s">
        <v>139</v>
      </c>
      <c r="Y82" s="239"/>
      <c r="Z82" s="239"/>
      <c r="AA82" s="239"/>
      <c r="AB82" s="241"/>
      <c r="AC82" s="241">
        <f>SUM(AC83:AC84)</f>
        <v>3000000</v>
      </c>
      <c r="AD82" s="240" t="s">
        <v>25</v>
      </c>
      <c r="AE82" s="1"/>
    </row>
    <row r="83" spans="1:31" s="12" customFormat="1" ht="21" customHeight="1">
      <c r="A83" s="51"/>
      <c r="B83" s="406"/>
      <c r="C83" s="406"/>
      <c r="D83" s="135"/>
      <c r="E83" s="134"/>
      <c r="F83" s="134"/>
      <c r="G83" s="134"/>
      <c r="H83" s="134"/>
      <c r="I83" s="134"/>
      <c r="J83" s="134"/>
      <c r="K83" s="134"/>
      <c r="L83" s="88"/>
      <c r="M83" s="381" t="s">
        <v>368</v>
      </c>
      <c r="N83" s="56"/>
      <c r="O83" s="56"/>
      <c r="P83" s="38"/>
      <c r="Q83" s="38"/>
      <c r="R83" s="257"/>
      <c r="S83" s="39"/>
      <c r="T83" s="39"/>
      <c r="U83" s="39"/>
      <c r="V83" s="39"/>
      <c r="W83" s="39"/>
      <c r="X83" s="39"/>
      <c r="Y83" s="39"/>
      <c r="Z83" s="39"/>
      <c r="AA83" s="258"/>
      <c r="AB83" s="58"/>
      <c r="AC83" s="85">
        <v>3000000</v>
      </c>
      <c r="AD83" s="64" t="s">
        <v>25</v>
      </c>
      <c r="AE83" s="2"/>
    </row>
    <row r="84" spans="1:31" s="12" customFormat="1" ht="21" customHeight="1">
      <c r="A84" s="51"/>
      <c r="B84" s="406"/>
      <c r="C84" s="406"/>
      <c r="D84" s="135"/>
      <c r="E84" s="134"/>
      <c r="F84" s="134"/>
      <c r="G84" s="137"/>
      <c r="H84" s="134"/>
      <c r="I84" s="134"/>
      <c r="J84" s="134"/>
      <c r="K84" s="134"/>
      <c r="L84" s="88"/>
      <c r="M84" s="351"/>
      <c r="N84" s="56"/>
      <c r="O84" s="56"/>
      <c r="P84" s="155"/>
      <c r="Q84" s="56"/>
      <c r="R84" s="319"/>
      <c r="S84" s="57"/>
      <c r="T84" s="39"/>
      <c r="U84" s="39"/>
      <c r="V84" s="39"/>
      <c r="W84" s="39"/>
      <c r="X84" s="39"/>
      <c r="Y84" s="39"/>
      <c r="Z84" s="39"/>
      <c r="AA84" s="258"/>
      <c r="AB84" s="58"/>
      <c r="AC84" s="85">
        <v>0</v>
      </c>
      <c r="AD84" s="64" t="s">
        <v>86</v>
      </c>
      <c r="AE84" s="2"/>
    </row>
    <row r="85" spans="1:31" s="12" customFormat="1" ht="21" customHeight="1">
      <c r="A85" s="51"/>
      <c r="B85" s="406"/>
      <c r="C85" s="405" t="s">
        <v>52</v>
      </c>
      <c r="D85" s="218">
        <v>2114</v>
      </c>
      <c r="E85" s="139">
        <f>F85+G85+J85</f>
        <v>0</v>
      </c>
      <c r="F85" s="139">
        <f>ROUND(AC86/1000,0)</f>
        <v>0</v>
      </c>
      <c r="G85" s="358">
        <f>AC87/1000</f>
        <v>0</v>
      </c>
      <c r="H85" s="139">
        <f>AC88/1000</f>
        <v>0</v>
      </c>
      <c r="I85" s="139">
        <v>0</v>
      </c>
      <c r="J85" s="139">
        <v>0</v>
      </c>
      <c r="K85" s="139">
        <f>E85-D85</f>
        <v>-2114</v>
      </c>
      <c r="L85" s="147">
        <f>IF(D85=0,0,K85/D85)</f>
        <v>-1</v>
      </c>
      <c r="M85" s="122" t="s">
        <v>53</v>
      </c>
      <c r="N85" s="119"/>
      <c r="O85" s="119"/>
      <c r="P85" s="119"/>
      <c r="Q85" s="119"/>
      <c r="R85" s="261"/>
      <c r="S85" s="111"/>
      <c r="T85" s="111"/>
      <c r="U85" s="111"/>
      <c r="V85" s="111"/>
      <c r="W85" s="111"/>
      <c r="X85" s="239" t="s">
        <v>139</v>
      </c>
      <c r="Y85" s="239"/>
      <c r="Z85" s="239"/>
      <c r="AA85" s="239"/>
      <c r="AB85" s="241"/>
      <c r="AC85" s="241">
        <f>SUM(AC86:AC87)</f>
        <v>0</v>
      </c>
      <c r="AD85" s="240" t="s">
        <v>25</v>
      </c>
      <c r="AE85" s="1"/>
    </row>
    <row r="86" spans="1:31" s="1" customFormat="1" ht="21" customHeight="1">
      <c r="A86" s="51"/>
      <c r="B86" s="406"/>
      <c r="C86" s="406" t="s">
        <v>160</v>
      </c>
      <c r="D86" s="216"/>
      <c r="E86" s="134"/>
      <c r="F86" s="134"/>
      <c r="G86" s="134"/>
      <c r="H86" s="134"/>
      <c r="I86" s="134"/>
      <c r="J86" s="134"/>
      <c r="K86" s="134"/>
      <c r="L86" s="88"/>
      <c r="M86" s="351" t="s">
        <v>345</v>
      </c>
      <c r="N86" s="56"/>
      <c r="O86" s="56"/>
      <c r="P86" s="56"/>
      <c r="Q86" s="57"/>
      <c r="R86" s="318"/>
      <c r="S86" s="61"/>
      <c r="T86" s="61"/>
      <c r="U86" s="57"/>
      <c r="V86" s="56"/>
      <c r="W86" s="57"/>
      <c r="X86" s="57"/>
      <c r="Y86" s="57"/>
      <c r="Z86" s="57"/>
      <c r="AA86" s="154"/>
      <c r="AB86" s="57"/>
      <c r="AC86" s="258">
        <v>0</v>
      </c>
      <c r="AD86" s="64" t="s">
        <v>25</v>
      </c>
      <c r="AE86" s="2"/>
    </row>
    <row r="87" spans="1:31" s="1" customFormat="1" ht="21" customHeight="1">
      <c r="A87" s="51"/>
      <c r="B87" s="406"/>
      <c r="C87" s="406"/>
      <c r="D87" s="216"/>
      <c r="E87" s="134"/>
      <c r="F87" s="134"/>
      <c r="G87" s="134"/>
      <c r="H87" s="134"/>
      <c r="I87" s="134"/>
      <c r="J87" s="134"/>
      <c r="K87" s="134"/>
      <c r="L87" s="88"/>
      <c r="M87" s="351" t="s">
        <v>346</v>
      </c>
      <c r="N87" s="351"/>
      <c r="O87" s="351"/>
      <c r="P87" s="351"/>
      <c r="Q87" s="350"/>
      <c r="R87" s="350"/>
      <c r="S87" s="61"/>
      <c r="T87" s="61"/>
      <c r="U87" s="350"/>
      <c r="V87" s="351"/>
      <c r="W87" s="350"/>
      <c r="X87" s="350"/>
      <c r="Y87" s="350"/>
      <c r="Z87" s="350"/>
      <c r="AA87" s="350"/>
      <c r="AB87" s="350"/>
      <c r="AC87" s="350">
        <v>0</v>
      </c>
      <c r="AD87" s="64" t="s">
        <v>25</v>
      </c>
      <c r="AE87" s="2"/>
    </row>
    <row r="88" spans="1:31" s="1" customFormat="1" ht="21" customHeight="1">
      <c r="A88" s="51"/>
      <c r="B88" s="406"/>
      <c r="C88" s="406"/>
      <c r="D88" s="216"/>
      <c r="E88" s="134"/>
      <c r="F88" s="134"/>
      <c r="G88" s="134"/>
      <c r="H88" s="134"/>
      <c r="I88" s="134"/>
      <c r="J88" s="134"/>
      <c r="K88" s="134"/>
      <c r="L88" s="88"/>
      <c r="M88" s="213"/>
      <c r="N88" s="56"/>
      <c r="O88" s="56"/>
      <c r="P88" s="56"/>
      <c r="Q88" s="57"/>
      <c r="R88" s="318"/>
      <c r="S88" s="61"/>
      <c r="T88" s="61"/>
      <c r="U88" s="57"/>
      <c r="V88" s="56"/>
      <c r="W88" s="57"/>
      <c r="X88" s="57"/>
      <c r="Y88" s="57"/>
      <c r="Z88" s="57"/>
      <c r="AA88" s="154"/>
      <c r="AB88" s="57"/>
      <c r="AC88" s="57"/>
      <c r="AD88" s="64"/>
      <c r="AE88" s="2"/>
    </row>
    <row r="89" spans="1:31" s="12" customFormat="1" ht="21" customHeight="1">
      <c r="A89" s="138" t="s">
        <v>20</v>
      </c>
      <c r="B89" s="470" t="s">
        <v>21</v>
      </c>
      <c r="C89" s="471"/>
      <c r="D89" s="268">
        <f>SUM(D90,D110)</f>
        <v>15938</v>
      </c>
      <c r="E89" s="268">
        <f>SUM(E90,E110)</f>
        <v>15408.2</v>
      </c>
      <c r="F89" s="268">
        <f>SUM(F90,F110)</f>
        <v>8779.2000000000007</v>
      </c>
      <c r="G89" s="268">
        <f>SUM(G90,G110)</f>
        <v>0</v>
      </c>
      <c r="H89" s="268">
        <f>SUM(H90,H110)</f>
        <v>6413</v>
      </c>
      <c r="I89" s="268">
        <f>I90</f>
        <v>0</v>
      </c>
      <c r="J89" s="268">
        <f>SUM(J90,J110)</f>
        <v>0</v>
      </c>
      <c r="K89" s="268">
        <f>SUM(K90,K96,K100,K103,K107)</f>
        <v>874.40000000000077</v>
      </c>
      <c r="L89" s="269">
        <f>IF(D89=0,0,K89/D89)</f>
        <v>5.4862592546116251E-2</v>
      </c>
      <c r="M89" s="261" t="s">
        <v>151</v>
      </c>
      <c r="N89" s="119"/>
      <c r="O89" s="119"/>
      <c r="P89" s="119"/>
      <c r="Q89" s="119"/>
      <c r="R89" s="26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>
        <f>SUM(AC90,AC110)</f>
        <v>15408200</v>
      </c>
      <c r="AD89" s="121" t="s">
        <v>25</v>
      </c>
      <c r="AE89" s="14"/>
    </row>
    <row r="90" spans="1:31" s="12" customFormat="1" ht="21" customHeight="1">
      <c r="A90" s="51"/>
      <c r="B90" s="405" t="s">
        <v>105</v>
      </c>
      <c r="C90" s="405" t="s">
        <v>152</v>
      </c>
      <c r="D90" s="139">
        <f>SUM(D91,D96,D100,D103,D107)</f>
        <v>12218</v>
      </c>
      <c r="E90" s="139">
        <f>SUM(E91,E96,E100,E103,E107)</f>
        <v>12657.2</v>
      </c>
      <c r="F90" s="139">
        <f>SUM(F91,F96,F100,F103,F107)</f>
        <v>8779.2000000000007</v>
      </c>
      <c r="G90" s="139">
        <f>SUM(G91,G96,G100,G103,G107)</f>
        <v>0</v>
      </c>
      <c r="H90" s="139">
        <f>SUM(H91,H96,H100,H103,H107)</f>
        <v>3878</v>
      </c>
      <c r="I90" s="139">
        <f>I91</f>
        <v>0</v>
      </c>
      <c r="J90" s="139">
        <f>SUM(J91,J96,J100,J103,J107)</f>
        <v>0</v>
      </c>
      <c r="K90" s="139">
        <f>E90-D90</f>
        <v>439.20000000000073</v>
      </c>
      <c r="L90" s="147">
        <f>IF(D90=0,0,K90/D90)</f>
        <v>3.5946963496480661E-2</v>
      </c>
      <c r="M90" s="119"/>
      <c r="N90" s="119"/>
      <c r="O90" s="119"/>
      <c r="P90" s="119"/>
      <c r="Q90" s="119"/>
      <c r="R90" s="261"/>
      <c r="S90" s="111"/>
      <c r="T90" s="111"/>
      <c r="U90" s="111"/>
      <c r="V90" s="111"/>
      <c r="W90" s="111"/>
      <c r="X90" s="111" t="s">
        <v>28</v>
      </c>
      <c r="Y90" s="111"/>
      <c r="Z90" s="111"/>
      <c r="AA90" s="111"/>
      <c r="AB90" s="120"/>
      <c r="AC90" s="120">
        <f>SUM(AC91,AC96,AC100,AC103,AC107)</f>
        <v>12657200</v>
      </c>
      <c r="AD90" s="121" t="s">
        <v>25</v>
      </c>
      <c r="AE90" s="1"/>
    </row>
    <row r="91" spans="1:31" s="12" customFormat="1" ht="21" customHeight="1">
      <c r="A91" s="51"/>
      <c r="B91" s="406"/>
      <c r="C91" s="405" t="s">
        <v>60</v>
      </c>
      <c r="D91" s="218">
        <v>11156</v>
      </c>
      <c r="E91" s="139">
        <f>SUM(F91,G91,H91,J91,I91)</f>
        <v>11160</v>
      </c>
      <c r="F91" s="139">
        <f>(AC92)/1000</f>
        <v>7500</v>
      </c>
      <c r="G91" s="139">
        <v>0</v>
      </c>
      <c r="H91" s="139">
        <f>(AC93+AC94)/1000</f>
        <v>3660</v>
      </c>
      <c r="I91" s="139">
        <f>AC99/1000</f>
        <v>0</v>
      </c>
      <c r="J91" s="139">
        <v>0</v>
      </c>
      <c r="K91" s="139">
        <f>E91-D91</f>
        <v>4</v>
      </c>
      <c r="L91" s="147">
        <f>IF(D91=0,0,K91/D91)</f>
        <v>3.5855145213338117E-4</v>
      </c>
      <c r="M91" s="122" t="s">
        <v>106</v>
      </c>
      <c r="N91" s="261"/>
      <c r="O91" s="261"/>
      <c r="P91" s="261"/>
      <c r="Q91" s="261"/>
      <c r="R91" s="261"/>
      <c r="S91" s="260"/>
      <c r="T91" s="260"/>
      <c r="U91" s="260"/>
      <c r="V91" s="260"/>
      <c r="W91" s="260"/>
      <c r="X91" s="239" t="s">
        <v>139</v>
      </c>
      <c r="Y91" s="239"/>
      <c r="Z91" s="239"/>
      <c r="AA91" s="239"/>
      <c r="AB91" s="241"/>
      <c r="AC91" s="241">
        <f>SUM(AC92:AC94)</f>
        <v>11160000</v>
      </c>
      <c r="AD91" s="240" t="s">
        <v>25</v>
      </c>
      <c r="AE91" s="1"/>
    </row>
    <row r="92" spans="1:31" s="12" customFormat="1" ht="21" customHeight="1">
      <c r="A92" s="51"/>
      <c r="B92" s="406"/>
      <c r="C92" s="406"/>
      <c r="D92" s="135"/>
      <c r="E92" s="134"/>
      <c r="F92" s="134"/>
      <c r="G92" s="134"/>
      <c r="H92" s="134"/>
      <c r="I92" s="134"/>
      <c r="J92" s="134"/>
      <c r="K92" s="134"/>
      <c r="L92" s="88"/>
      <c r="M92" s="292" t="s">
        <v>196</v>
      </c>
      <c r="N92" s="56"/>
      <c r="O92" s="57"/>
      <c r="P92" s="57"/>
      <c r="Q92" s="57">
        <v>125000</v>
      </c>
      <c r="R92" s="318"/>
      <c r="S92" s="57" t="s">
        <v>85</v>
      </c>
      <c r="T92" s="61" t="s">
        <v>87</v>
      </c>
      <c r="U92" s="57">
        <v>12</v>
      </c>
      <c r="V92" s="57" t="s">
        <v>95</v>
      </c>
      <c r="W92" s="61" t="s">
        <v>87</v>
      </c>
      <c r="X92" s="57">
        <v>5</v>
      </c>
      <c r="Y92" s="57" t="s">
        <v>88</v>
      </c>
      <c r="Z92" s="63" t="s">
        <v>89</v>
      </c>
      <c r="AA92" s="57" t="s">
        <v>98</v>
      </c>
      <c r="AB92" s="85"/>
      <c r="AC92" s="85">
        <f>ROUNDDOWN(Q92*U92*X92,-1)</f>
        <v>7500000</v>
      </c>
      <c r="AD92" s="64" t="s">
        <v>25</v>
      </c>
      <c r="AE92" s="2"/>
    </row>
    <row r="93" spans="1:31" s="12" customFormat="1" ht="21" customHeight="1">
      <c r="A93" s="51"/>
      <c r="B93" s="406"/>
      <c r="C93" s="406"/>
      <c r="D93" s="135"/>
      <c r="E93" s="134"/>
      <c r="F93" s="134"/>
      <c r="G93" s="134"/>
      <c r="H93" s="134"/>
      <c r="I93" s="134"/>
      <c r="J93" s="134"/>
      <c r="K93" s="134"/>
      <c r="L93" s="88"/>
      <c r="M93" s="213" t="s">
        <v>112</v>
      </c>
      <c r="N93" s="180"/>
      <c r="O93" s="180"/>
      <c r="P93" s="180"/>
      <c r="Q93" s="179">
        <v>61000</v>
      </c>
      <c r="R93" s="318"/>
      <c r="S93" s="61" t="s">
        <v>25</v>
      </c>
      <c r="T93" s="61" t="s">
        <v>26</v>
      </c>
      <c r="U93" s="179">
        <v>12</v>
      </c>
      <c r="V93" s="179" t="s">
        <v>29</v>
      </c>
      <c r="W93" s="61" t="s">
        <v>26</v>
      </c>
      <c r="X93" s="179">
        <v>5</v>
      </c>
      <c r="Y93" s="179" t="s">
        <v>145</v>
      </c>
      <c r="Z93" s="178" t="s">
        <v>27</v>
      </c>
      <c r="AA93" s="179" t="s">
        <v>111</v>
      </c>
      <c r="AB93" s="179"/>
      <c r="AC93" s="179">
        <f>Q93*U93*X93</f>
        <v>3660000</v>
      </c>
      <c r="AD93" s="159" t="s">
        <v>85</v>
      </c>
      <c r="AE93" s="2"/>
    </row>
    <row r="94" spans="1:31" s="12" customFormat="1" ht="21" customHeight="1">
      <c r="A94" s="51"/>
      <c r="B94" s="406"/>
      <c r="C94" s="406"/>
      <c r="D94" s="135"/>
      <c r="E94" s="134"/>
      <c r="F94" s="134"/>
      <c r="G94" s="134"/>
      <c r="H94" s="134"/>
      <c r="I94" s="134"/>
      <c r="J94" s="134"/>
      <c r="K94" s="134"/>
      <c r="L94" s="88"/>
      <c r="M94" s="304" t="s">
        <v>214</v>
      </c>
      <c r="N94" s="304"/>
      <c r="O94" s="304"/>
      <c r="P94" s="304"/>
      <c r="Q94" s="303"/>
      <c r="R94" s="318"/>
      <c r="S94" s="61"/>
      <c r="T94" s="61"/>
      <c r="U94" s="303"/>
      <c r="V94" s="303"/>
      <c r="W94" s="61"/>
      <c r="X94" s="303"/>
      <c r="Y94" s="303"/>
      <c r="Z94" s="270"/>
      <c r="AA94" s="303"/>
      <c r="AB94" s="303"/>
      <c r="AC94" s="303">
        <v>0</v>
      </c>
      <c r="AD94" s="159" t="s">
        <v>215</v>
      </c>
      <c r="AE94" s="2"/>
    </row>
    <row r="95" spans="1:31" s="12" customFormat="1" ht="21" customHeight="1">
      <c r="A95" s="51"/>
      <c r="B95" s="406"/>
      <c r="C95" s="66"/>
      <c r="D95" s="217"/>
      <c r="E95" s="137"/>
      <c r="F95" s="137"/>
      <c r="G95" s="137"/>
      <c r="H95" s="137"/>
      <c r="I95" s="137"/>
      <c r="J95" s="137"/>
      <c r="K95" s="137"/>
      <c r="L95" s="106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68"/>
      <c r="AD95" s="153"/>
      <c r="AE95" s="2"/>
    </row>
    <row r="96" spans="1:31" s="12" customFormat="1" ht="21" customHeight="1">
      <c r="A96" s="51"/>
      <c r="B96" s="406"/>
      <c r="C96" s="406" t="s">
        <v>107</v>
      </c>
      <c r="D96" s="216">
        <v>621</v>
      </c>
      <c r="E96" s="134">
        <f>SUM(F96,G96,H96,J96)</f>
        <v>1100</v>
      </c>
      <c r="F96" s="134">
        <f>AC97/1000</f>
        <v>1000</v>
      </c>
      <c r="G96" s="134">
        <v>0</v>
      </c>
      <c r="H96" s="134">
        <f>AC98/1000</f>
        <v>100</v>
      </c>
      <c r="I96" s="134">
        <v>0</v>
      </c>
      <c r="J96" s="134">
        <v>0</v>
      </c>
      <c r="K96" s="134">
        <f>E96-D96</f>
        <v>479</v>
      </c>
      <c r="L96" s="88">
        <f>IF(D96=0,0,K96/D96)</f>
        <v>0.77133655394524958</v>
      </c>
      <c r="M96" s="122" t="s">
        <v>108</v>
      </c>
      <c r="N96" s="119"/>
      <c r="O96" s="119"/>
      <c r="P96" s="119"/>
      <c r="Q96" s="119"/>
      <c r="R96" s="261"/>
      <c r="S96" s="111"/>
      <c r="T96" s="111"/>
      <c r="U96" s="111"/>
      <c r="V96" s="111"/>
      <c r="W96" s="111"/>
      <c r="X96" s="239" t="s">
        <v>139</v>
      </c>
      <c r="Y96" s="239"/>
      <c r="Z96" s="239"/>
      <c r="AA96" s="239"/>
      <c r="AB96" s="241"/>
      <c r="AC96" s="241">
        <f>SUM(AC97:AC99)</f>
        <v>1100000</v>
      </c>
      <c r="AD96" s="240" t="s">
        <v>25</v>
      </c>
      <c r="AE96" s="1"/>
    </row>
    <row r="97" spans="1:31" s="12" customFormat="1" ht="21" customHeight="1">
      <c r="A97" s="51"/>
      <c r="B97" s="406"/>
      <c r="C97" s="406" t="s">
        <v>153</v>
      </c>
      <c r="D97" s="216"/>
      <c r="E97" s="134"/>
      <c r="F97" s="134"/>
      <c r="G97" s="134"/>
      <c r="H97" s="134"/>
      <c r="I97" s="134"/>
      <c r="J97" s="134"/>
      <c r="K97" s="134"/>
      <c r="L97" s="88"/>
      <c r="M97" s="292" t="s">
        <v>197</v>
      </c>
      <c r="N97" s="56"/>
      <c r="O97" s="56"/>
      <c r="P97" s="56"/>
      <c r="Q97" s="57"/>
      <c r="R97" s="318"/>
      <c r="S97" s="61"/>
      <c r="T97" s="61"/>
      <c r="U97" s="57"/>
      <c r="V97" s="57"/>
      <c r="W97" s="57"/>
      <c r="X97" s="57"/>
      <c r="Y97" s="57"/>
      <c r="Z97" s="57"/>
      <c r="AA97" s="379" t="s">
        <v>359</v>
      </c>
      <c r="AB97" s="57"/>
      <c r="AC97" s="57">
        <v>1000000</v>
      </c>
      <c r="AD97" s="64" t="s">
        <v>85</v>
      </c>
      <c r="AE97" s="2"/>
    </row>
    <row r="98" spans="1:31" s="12" customFormat="1" ht="21" customHeight="1">
      <c r="A98" s="51"/>
      <c r="B98" s="406"/>
      <c r="C98" s="406"/>
      <c r="D98" s="216"/>
      <c r="E98" s="134"/>
      <c r="F98" s="134"/>
      <c r="G98" s="134"/>
      <c r="H98" s="134"/>
      <c r="I98" s="134"/>
      <c r="J98" s="134"/>
      <c r="K98" s="134"/>
      <c r="L98" s="88"/>
      <c r="M98" s="310" t="s">
        <v>237</v>
      </c>
      <c r="N98" s="310"/>
      <c r="O98" s="310"/>
      <c r="P98" s="310"/>
      <c r="Q98" s="309"/>
      <c r="R98" s="318"/>
      <c r="S98" s="61"/>
      <c r="T98" s="61"/>
      <c r="U98" s="309"/>
      <c r="V98" s="309"/>
      <c r="W98" s="309"/>
      <c r="X98" s="309"/>
      <c r="Y98" s="309"/>
      <c r="Z98" s="309"/>
      <c r="AA98" s="309"/>
      <c r="AB98" s="309"/>
      <c r="AC98" s="309">
        <v>100000</v>
      </c>
      <c r="AD98" s="64" t="s">
        <v>58</v>
      </c>
      <c r="AE98" s="2"/>
    </row>
    <row r="99" spans="1:31" s="12" customFormat="1" ht="21" customHeight="1">
      <c r="A99" s="51"/>
      <c r="B99" s="406"/>
      <c r="C99" s="406"/>
      <c r="D99" s="216"/>
      <c r="E99" s="134"/>
      <c r="F99" s="134"/>
      <c r="G99" s="134"/>
      <c r="H99" s="134"/>
      <c r="I99" s="134"/>
      <c r="J99" s="134"/>
      <c r="K99" s="134"/>
      <c r="L99" s="88"/>
      <c r="M99" s="211"/>
      <c r="N99" s="99"/>
      <c r="O99" s="99"/>
      <c r="P99" s="99"/>
      <c r="Q99" s="98"/>
      <c r="R99" s="315"/>
      <c r="S99" s="107"/>
      <c r="T99" s="61"/>
      <c r="U99" s="90"/>
      <c r="V99" s="98"/>
      <c r="W99" s="98"/>
      <c r="X99" s="98"/>
      <c r="Y99" s="98"/>
      <c r="Z99" s="98"/>
      <c r="AA99" s="196"/>
      <c r="AB99" s="98"/>
      <c r="AC99" s="98"/>
      <c r="AD99" s="91"/>
      <c r="AE99" s="1"/>
    </row>
    <row r="100" spans="1:31" s="12" customFormat="1" ht="21" customHeight="1">
      <c r="A100" s="51"/>
      <c r="B100" s="406"/>
      <c r="C100" s="405" t="s">
        <v>102</v>
      </c>
      <c r="D100" s="218">
        <v>125</v>
      </c>
      <c r="E100" s="139">
        <f>AC100/1000</f>
        <v>100</v>
      </c>
      <c r="F100" s="139">
        <v>0</v>
      </c>
      <c r="G100" s="139">
        <v>0</v>
      </c>
      <c r="H100" s="139">
        <f>AC101/1000</f>
        <v>100</v>
      </c>
      <c r="I100" s="139">
        <v>0</v>
      </c>
      <c r="J100" s="139">
        <v>0</v>
      </c>
      <c r="K100" s="139">
        <f>E100-D100</f>
        <v>-25</v>
      </c>
      <c r="L100" s="147">
        <f>IF(D100=0,0,K100/D100)</f>
        <v>-0.2</v>
      </c>
      <c r="M100" s="122" t="s">
        <v>134</v>
      </c>
      <c r="N100" s="238"/>
      <c r="O100" s="119"/>
      <c r="P100" s="119"/>
      <c r="Q100" s="119"/>
      <c r="R100" s="261"/>
      <c r="S100" s="111"/>
      <c r="T100" s="111"/>
      <c r="U100" s="111"/>
      <c r="V100" s="260"/>
      <c r="W100" s="260"/>
      <c r="X100" s="239" t="s">
        <v>139</v>
      </c>
      <c r="Y100" s="239"/>
      <c r="Z100" s="239"/>
      <c r="AA100" s="239"/>
      <c r="AB100" s="241"/>
      <c r="AC100" s="241">
        <f>SUM(AC101:AC102)</f>
        <v>100000</v>
      </c>
      <c r="AD100" s="240" t="s">
        <v>25</v>
      </c>
      <c r="AE100" s="1"/>
    </row>
    <row r="101" spans="1:31" s="12" customFormat="1" ht="21" customHeight="1">
      <c r="A101" s="51"/>
      <c r="B101" s="406"/>
      <c r="C101" s="406"/>
      <c r="D101" s="135"/>
      <c r="E101" s="134"/>
      <c r="F101" s="134"/>
      <c r="G101" s="134"/>
      <c r="H101" s="134"/>
      <c r="I101" s="134"/>
      <c r="J101" s="134"/>
      <c r="K101" s="134"/>
      <c r="L101" s="88"/>
      <c r="M101" s="292" t="s">
        <v>198</v>
      </c>
      <c r="N101" s="56"/>
      <c r="O101" s="57"/>
      <c r="P101" s="57"/>
      <c r="Q101" s="57">
        <v>25000</v>
      </c>
      <c r="R101" s="318"/>
      <c r="S101" s="57" t="s">
        <v>85</v>
      </c>
      <c r="T101" s="56" t="s">
        <v>87</v>
      </c>
      <c r="U101" s="57">
        <v>4</v>
      </c>
      <c r="V101" s="291" t="s">
        <v>199</v>
      </c>
      <c r="W101" s="292" t="s">
        <v>200</v>
      </c>
      <c r="X101" s="57"/>
      <c r="Y101" s="57"/>
      <c r="Z101" s="57"/>
      <c r="AA101" s="379" t="s">
        <v>358</v>
      </c>
      <c r="AB101" s="85"/>
      <c r="AC101" s="85">
        <f>Q101*U101</f>
        <v>100000</v>
      </c>
      <c r="AD101" s="64" t="s">
        <v>25</v>
      </c>
      <c r="AE101" s="1"/>
    </row>
    <row r="102" spans="1:31" s="12" customFormat="1" ht="21" customHeight="1">
      <c r="A102" s="51"/>
      <c r="B102" s="406"/>
      <c r="C102" s="406"/>
      <c r="D102" s="216"/>
      <c r="E102" s="134"/>
      <c r="F102" s="134"/>
      <c r="G102" s="134"/>
      <c r="H102" s="134"/>
      <c r="I102" s="134"/>
      <c r="J102" s="134"/>
      <c r="K102" s="134"/>
      <c r="L102" s="88"/>
      <c r="M102" s="248"/>
      <c r="N102" s="56"/>
      <c r="O102" s="57"/>
      <c r="P102" s="57"/>
      <c r="Q102" s="57"/>
      <c r="R102" s="318"/>
      <c r="S102" s="57"/>
      <c r="T102" s="56"/>
      <c r="U102" s="57"/>
      <c r="V102" s="57"/>
      <c r="W102" s="56"/>
      <c r="X102" s="57"/>
      <c r="Y102" s="57"/>
      <c r="Z102" s="57"/>
      <c r="AA102" s="247"/>
      <c r="AB102" s="85"/>
      <c r="AC102" s="85"/>
      <c r="AD102" s="64"/>
      <c r="AE102" s="1"/>
    </row>
    <row r="103" spans="1:31" s="12" customFormat="1" ht="21" customHeight="1">
      <c r="A103" s="51"/>
      <c r="B103" s="406"/>
      <c r="C103" s="405" t="s">
        <v>103</v>
      </c>
      <c r="D103" s="218">
        <v>237</v>
      </c>
      <c r="E103" s="139">
        <f>F103+G103+H103+J103</f>
        <v>218</v>
      </c>
      <c r="F103" s="139">
        <f>AC104/1000</f>
        <v>200</v>
      </c>
      <c r="G103" s="139">
        <v>0</v>
      </c>
      <c r="H103" s="139">
        <f>AC105/1000</f>
        <v>18</v>
      </c>
      <c r="I103" s="139">
        <v>0</v>
      </c>
      <c r="J103" s="139">
        <v>0</v>
      </c>
      <c r="K103" s="139">
        <f>E103-D103</f>
        <v>-19</v>
      </c>
      <c r="L103" s="147">
        <f>IF(D103=0,0,K103/D103)</f>
        <v>-8.0168776371308023E-2</v>
      </c>
      <c r="M103" s="122" t="s">
        <v>135</v>
      </c>
      <c r="N103" s="238"/>
      <c r="O103" s="246"/>
      <c r="P103" s="246"/>
      <c r="Q103" s="246"/>
      <c r="R103" s="261"/>
      <c r="S103" s="245"/>
      <c r="T103" s="245"/>
      <c r="U103" s="245"/>
      <c r="V103" s="260"/>
      <c r="W103" s="260"/>
      <c r="X103" s="239" t="s">
        <v>139</v>
      </c>
      <c r="Y103" s="239"/>
      <c r="Z103" s="239"/>
      <c r="AA103" s="239"/>
      <c r="AB103" s="241"/>
      <c r="AC103" s="241">
        <f>SUM(AC104:AC105)</f>
        <v>218000</v>
      </c>
      <c r="AD103" s="240" t="s">
        <v>25</v>
      </c>
      <c r="AE103" s="1"/>
    </row>
    <row r="104" spans="1:31" s="15" customFormat="1" ht="21" customHeight="1">
      <c r="A104" s="51"/>
      <c r="B104" s="406"/>
      <c r="C104" s="406"/>
      <c r="D104" s="216"/>
      <c r="E104" s="134"/>
      <c r="F104" s="134"/>
      <c r="G104" s="134"/>
      <c r="H104" s="134"/>
      <c r="I104" s="134"/>
      <c r="J104" s="134"/>
      <c r="K104" s="134"/>
      <c r="L104" s="88"/>
      <c r="M104" s="292" t="s">
        <v>201</v>
      </c>
      <c r="N104" s="56"/>
      <c r="O104" s="57"/>
      <c r="P104" s="57"/>
      <c r="Q104" s="57">
        <v>40000</v>
      </c>
      <c r="R104" s="318"/>
      <c r="S104" s="57" t="s">
        <v>85</v>
      </c>
      <c r="T104" s="56" t="s">
        <v>87</v>
      </c>
      <c r="U104" s="57">
        <v>1</v>
      </c>
      <c r="V104" s="57" t="s">
        <v>101</v>
      </c>
      <c r="W104" s="56" t="s">
        <v>87</v>
      </c>
      <c r="X104" s="57">
        <v>5</v>
      </c>
      <c r="Y104" s="57" t="s">
        <v>88</v>
      </c>
      <c r="Z104" s="57" t="s">
        <v>89</v>
      </c>
      <c r="AA104" s="379" t="s">
        <v>359</v>
      </c>
      <c r="AB104" s="85"/>
      <c r="AC104" s="85">
        <f>Q104*U104*X104</f>
        <v>200000</v>
      </c>
      <c r="AD104" s="64" t="s">
        <v>25</v>
      </c>
      <c r="AE104" s="5"/>
    </row>
    <row r="105" spans="1:31" s="15" customFormat="1" ht="21" customHeight="1">
      <c r="A105" s="51"/>
      <c r="B105" s="406"/>
      <c r="C105" s="406"/>
      <c r="D105" s="216"/>
      <c r="E105" s="134"/>
      <c r="F105" s="134"/>
      <c r="G105" s="134"/>
      <c r="H105" s="134"/>
      <c r="I105" s="134"/>
      <c r="J105" s="134"/>
      <c r="K105" s="134"/>
      <c r="L105" s="88"/>
      <c r="M105" s="292" t="s">
        <v>202</v>
      </c>
      <c r="N105" s="56"/>
      <c r="O105" s="56"/>
      <c r="P105" s="56"/>
      <c r="Q105" s="247"/>
      <c r="R105" s="318"/>
      <c r="S105" s="61"/>
      <c r="T105" s="61"/>
      <c r="U105" s="247"/>
      <c r="V105" s="247"/>
      <c r="W105" s="242"/>
      <c r="X105" s="169"/>
      <c r="Y105" s="93"/>
      <c r="Z105" s="254"/>
      <c r="AA105" s="379" t="s">
        <v>358</v>
      </c>
      <c r="AB105" s="57"/>
      <c r="AC105" s="57">
        <v>18000</v>
      </c>
      <c r="AD105" s="64" t="s">
        <v>25</v>
      </c>
      <c r="AE105" s="5"/>
    </row>
    <row r="106" spans="1:31" s="12" customFormat="1" ht="21" customHeight="1">
      <c r="A106" s="51"/>
      <c r="B106" s="406"/>
      <c r="C106" s="66"/>
      <c r="D106" s="217"/>
      <c r="E106" s="223"/>
      <c r="F106" s="223"/>
      <c r="G106" s="223"/>
      <c r="H106" s="223"/>
      <c r="I106" s="223"/>
      <c r="J106" s="223"/>
      <c r="K106" s="171"/>
      <c r="L106" s="106"/>
      <c r="M106" s="170"/>
      <c r="N106" s="170"/>
      <c r="O106" s="170"/>
      <c r="P106" s="170"/>
      <c r="Q106" s="170"/>
      <c r="R106" s="170"/>
      <c r="S106" s="172"/>
      <c r="T106" s="57"/>
      <c r="U106" s="63"/>
      <c r="V106" s="57"/>
      <c r="W106" s="57"/>
      <c r="X106" s="57"/>
      <c r="Y106" s="57"/>
      <c r="Z106" s="57"/>
      <c r="AA106" s="57"/>
      <c r="AB106" s="57"/>
      <c r="AC106" s="57"/>
      <c r="AD106" s="64"/>
      <c r="AE106" s="1"/>
    </row>
    <row r="107" spans="1:31" s="12" customFormat="1" ht="21" customHeight="1">
      <c r="A107" s="51"/>
      <c r="B107" s="406"/>
      <c r="C107" s="406" t="s">
        <v>104</v>
      </c>
      <c r="D107" s="167">
        <v>79</v>
      </c>
      <c r="E107" s="134">
        <f>SUM(F107,G107,H107,J107)</f>
        <v>79.2</v>
      </c>
      <c r="F107" s="134">
        <f>AC108/1000</f>
        <v>79.2</v>
      </c>
      <c r="G107" s="134">
        <v>0</v>
      </c>
      <c r="H107" s="134">
        <v>0</v>
      </c>
      <c r="I107" s="134">
        <v>0</v>
      </c>
      <c r="J107" s="134">
        <v>0</v>
      </c>
      <c r="K107" s="134">
        <f>E107-D107</f>
        <v>0.20000000000000284</v>
      </c>
      <c r="L107" s="88">
        <f>IF(D107=0,0,K107/D107)</f>
        <v>2.5316455696202892E-3</v>
      </c>
      <c r="M107" s="122" t="s">
        <v>109</v>
      </c>
      <c r="N107" s="119"/>
      <c r="O107" s="119"/>
      <c r="P107" s="119"/>
      <c r="Q107" s="119"/>
      <c r="R107" s="261"/>
      <c r="S107" s="111"/>
      <c r="T107" s="111"/>
      <c r="U107" s="111"/>
      <c r="V107" s="111"/>
      <c r="W107" s="111"/>
      <c r="X107" s="239" t="s">
        <v>139</v>
      </c>
      <c r="Y107" s="239"/>
      <c r="Z107" s="239"/>
      <c r="AA107" s="239"/>
      <c r="AB107" s="241"/>
      <c r="AC107" s="241">
        <f>SUM(AC108:AC108)</f>
        <v>79200</v>
      </c>
      <c r="AD107" s="240" t="s">
        <v>25</v>
      </c>
      <c r="AE107" s="1"/>
    </row>
    <row r="108" spans="1:31" s="12" customFormat="1" ht="21" customHeight="1">
      <c r="A108" s="51"/>
      <c r="B108" s="406"/>
      <c r="C108" s="406"/>
      <c r="D108" s="216"/>
      <c r="E108" s="134"/>
      <c r="F108" s="134"/>
      <c r="G108" s="134"/>
      <c r="H108" s="134"/>
      <c r="I108" s="134"/>
      <c r="J108" s="134"/>
      <c r="K108" s="134"/>
      <c r="L108" s="88"/>
      <c r="M108" s="292" t="s">
        <v>203</v>
      </c>
      <c r="N108" s="56"/>
      <c r="O108" s="56"/>
      <c r="P108" s="56"/>
      <c r="Q108" s="258">
        <v>13200</v>
      </c>
      <c r="R108" s="318"/>
      <c r="S108" s="61" t="s">
        <v>58</v>
      </c>
      <c r="T108" s="61" t="s">
        <v>26</v>
      </c>
      <c r="U108" s="258">
        <v>6</v>
      </c>
      <c r="V108" s="258" t="s">
        <v>0</v>
      </c>
      <c r="W108" s="255"/>
      <c r="X108" s="169"/>
      <c r="Y108" s="93"/>
      <c r="Z108" s="254" t="s">
        <v>54</v>
      </c>
      <c r="AA108" s="379" t="s">
        <v>359</v>
      </c>
      <c r="AB108" s="258"/>
      <c r="AC108" s="258">
        <f>ROUNDUP(Q108*U108,1)</f>
        <v>79200</v>
      </c>
      <c r="AD108" s="64" t="s">
        <v>25</v>
      </c>
      <c r="AE108" s="1"/>
    </row>
    <row r="109" spans="1:31" s="12" customFormat="1" ht="21" customHeight="1">
      <c r="A109" s="51"/>
      <c r="B109" s="406"/>
      <c r="C109" s="406"/>
      <c r="D109" s="216"/>
      <c r="E109" s="134"/>
      <c r="F109" s="134"/>
      <c r="G109" s="134"/>
      <c r="H109" s="134"/>
      <c r="I109" s="134"/>
      <c r="J109" s="134"/>
      <c r="K109" s="134"/>
      <c r="L109" s="88"/>
      <c r="M109" s="56"/>
      <c r="N109" s="56"/>
      <c r="O109" s="56"/>
      <c r="P109" s="56"/>
      <c r="Q109" s="57"/>
      <c r="R109" s="318"/>
      <c r="S109" s="61"/>
      <c r="T109" s="56"/>
      <c r="U109" s="57"/>
      <c r="V109" s="56"/>
      <c r="W109" s="57"/>
      <c r="X109" s="57"/>
      <c r="Y109" s="57"/>
      <c r="Z109" s="57"/>
      <c r="AA109" s="57"/>
      <c r="AB109" s="57"/>
      <c r="AC109" s="57"/>
      <c r="AD109" s="64"/>
      <c r="AE109" s="1"/>
    </row>
    <row r="110" spans="1:31" s="12" customFormat="1" ht="21" customHeight="1">
      <c r="A110" s="51"/>
      <c r="B110" s="405" t="s">
        <v>110</v>
      </c>
      <c r="C110" s="234" t="s">
        <v>148</v>
      </c>
      <c r="D110" s="236">
        <f>D111</f>
        <v>3720</v>
      </c>
      <c r="E110" s="236">
        <f>E111</f>
        <v>2751</v>
      </c>
      <c r="F110" s="236">
        <f t="shared" ref="F110:J110" si="10">F111</f>
        <v>0</v>
      </c>
      <c r="G110" s="236">
        <f t="shared" si="10"/>
        <v>0</v>
      </c>
      <c r="H110" s="236">
        <f>H111</f>
        <v>2535</v>
      </c>
      <c r="I110" s="236">
        <f>I111</f>
        <v>216</v>
      </c>
      <c r="J110" s="236">
        <f t="shared" si="10"/>
        <v>0</v>
      </c>
      <c r="K110" s="236">
        <f>E110-D110</f>
        <v>-969</v>
      </c>
      <c r="L110" s="237">
        <f>IF(D110=0,0,K110/D110)</f>
        <v>-0.26048387096774195</v>
      </c>
      <c r="M110" s="238"/>
      <c r="N110" s="238"/>
      <c r="O110" s="238"/>
      <c r="P110" s="238"/>
      <c r="Q110" s="238"/>
      <c r="R110" s="317"/>
      <c r="S110" s="239"/>
      <c r="T110" s="239"/>
      <c r="U110" s="239"/>
      <c r="V110" s="239"/>
      <c r="W110" s="239"/>
      <c r="X110" s="239" t="s">
        <v>28</v>
      </c>
      <c r="Y110" s="239"/>
      <c r="Z110" s="239"/>
      <c r="AA110" s="239"/>
      <c r="AB110" s="241"/>
      <c r="AC110" s="241">
        <f>AC111</f>
        <v>2751000</v>
      </c>
      <c r="AD110" s="240" t="s">
        <v>25</v>
      </c>
      <c r="AE110" s="1"/>
    </row>
    <row r="111" spans="1:31" s="12" customFormat="1" ht="26.25" customHeight="1">
      <c r="A111" s="51"/>
      <c r="B111" s="406" t="s">
        <v>131</v>
      </c>
      <c r="C111" s="406" t="s">
        <v>130</v>
      </c>
      <c r="D111" s="216">
        <v>3720</v>
      </c>
      <c r="E111" s="139">
        <f>SUM(F111,G111,H111,J111,I111)</f>
        <v>2751</v>
      </c>
      <c r="F111" s="139">
        <v>0</v>
      </c>
      <c r="G111" s="139">
        <v>0</v>
      </c>
      <c r="H111" s="139">
        <f>(AC114+AC119+AC117+AC127+AC128+AC134+AC135+AC137+AC124+AC129)/1000</f>
        <v>2535</v>
      </c>
      <c r="I111" s="139">
        <f>(AC115+AC116+AC118+AC130+AC133+AC136)/1000</f>
        <v>216</v>
      </c>
      <c r="J111" s="139">
        <v>0</v>
      </c>
      <c r="K111" s="139">
        <f>E111-D111</f>
        <v>-969</v>
      </c>
      <c r="L111" s="147">
        <f>IF(D111=0,0,K111/D111)</f>
        <v>-0.26048387096774195</v>
      </c>
      <c r="M111" s="123" t="s">
        <v>132</v>
      </c>
      <c r="N111" s="142"/>
      <c r="O111" s="38"/>
      <c r="P111" s="34"/>
      <c r="Q111" s="34"/>
      <c r="R111" s="34"/>
      <c r="S111" s="34"/>
      <c r="T111" s="34"/>
      <c r="U111" s="34"/>
      <c r="V111" s="260"/>
      <c r="W111" s="260"/>
      <c r="X111" s="239" t="s">
        <v>139</v>
      </c>
      <c r="Y111" s="124"/>
      <c r="Z111" s="124"/>
      <c r="AA111" s="124"/>
      <c r="AB111" s="144"/>
      <c r="AC111" s="144">
        <f>SUM(AC113,AC123,AC126,AC132)</f>
        <v>2751000</v>
      </c>
      <c r="AD111" s="145" t="s">
        <v>25</v>
      </c>
      <c r="AE111" s="1"/>
    </row>
    <row r="112" spans="1:31" s="16" customFormat="1" ht="24" customHeight="1">
      <c r="A112" s="51"/>
      <c r="B112" s="406"/>
      <c r="C112" s="406" t="s">
        <v>131</v>
      </c>
      <c r="D112" s="219"/>
      <c r="E112" s="134"/>
      <c r="F112" s="134"/>
      <c r="G112" s="134"/>
      <c r="H112" s="134"/>
      <c r="I112" s="134"/>
      <c r="J112" s="134"/>
      <c r="K112" s="134"/>
      <c r="L112" s="88"/>
      <c r="M112" s="248"/>
      <c r="N112" s="56"/>
      <c r="O112" s="56"/>
      <c r="P112" s="56"/>
      <c r="Q112" s="56"/>
      <c r="R112" s="319"/>
      <c r="S112" s="57"/>
      <c r="T112" s="57"/>
      <c r="U112" s="57"/>
      <c r="V112" s="57"/>
      <c r="W112" s="57"/>
      <c r="X112" s="173"/>
      <c r="Y112" s="173"/>
      <c r="Z112" s="173"/>
      <c r="AA112" s="173"/>
      <c r="AB112" s="174"/>
      <c r="AC112" s="174"/>
      <c r="AD112" s="64"/>
      <c r="AE112" s="17"/>
    </row>
    <row r="113" spans="1:32" s="16" customFormat="1" ht="24" customHeight="1">
      <c r="A113" s="51"/>
      <c r="B113" s="406"/>
      <c r="C113" s="406"/>
      <c r="D113" s="219"/>
      <c r="E113" s="134"/>
      <c r="F113" s="134"/>
      <c r="G113" s="134"/>
      <c r="H113" s="134"/>
      <c r="I113" s="134"/>
      <c r="J113" s="134"/>
      <c r="K113" s="134"/>
      <c r="L113" s="88"/>
      <c r="M113" s="89" t="s">
        <v>238</v>
      </c>
      <c r="N113" s="244"/>
      <c r="O113" s="248"/>
      <c r="P113" s="248"/>
      <c r="Q113" s="248"/>
      <c r="R113" s="319"/>
      <c r="S113" s="247"/>
      <c r="T113" s="247"/>
      <c r="U113" s="247"/>
      <c r="V113" s="243" t="s">
        <v>133</v>
      </c>
      <c r="W113" s="243"/>
      <c r="X113" s="243"/>
      <c r="Y113" s="243"/>
      <c r="Z113" s="243"/>
      <c r="AA113" s="243"/>
      <c r="AB113" s="90"/>
      <c r="AC113" s="90">
        <f>SUM(AC114:AC121)</f>
        <v>575000</v>
      </c>
      <c r="AD113" s="91" t="s">
        <v>25</v>
      </c>
      <c r="AE113" s="17"/>
    </row>
    <row r="114" spans="1:32" s="16" customFormat="1" ht="24" customHeight="1">
      <c r="A114" s="51"/>
      <c r="B114" s="406"/>
      <c r="C114" s="406"/>
      <c r="D114" s="219"/>
      <c r="E114" s="134"/>
      <c r="F114" s="134"/>
      <c r="G114" s="134"/>
      <c r="H114" s="134"/>
      <c r="I114" s="134"/>
      <c r="J114" s="134"/>
      <c r="K114" s="134"/>
      <c r="L114" s="88"/>
      <c r="M114" s="292" t="s">
        <v>204</v>
      </c>
      <c r="N114" s="248"/>
      <c r="O114" s="248"/>
      <c r="P114" s="248"/>
      <c r="Q114" s="291">
        <v>7000</v>
      </c>
      <c r="R114" s="318"/>
      <c r="S114" s="291" t="s">
        <v>58</v>
      </c>
      <c r="T114" s="292" t="s">
        <v>59</v>
      </c>
      <c r="U114" s="291">
        <v>4</v>
      </c>
      <c r="V114" s="291" t="s">
        <v>76</v>
      </c>
      <c r="W114" s="292" t="s">
        <v>59</v>
      </c>
      <c r="X114" s="291">
        <v>5</v>
      </c>
      <c r="Y114" s="291" t="s">
        <v>57</v>
      </c>
      <c r="Z114" s="291" t="s">
        <v>54</v>
      </c>
      <c r="AA114" s="379" t="s">
        <v>358</v>
      </c>
      <c r="AB114" s="85"/>
      <c r="AC114" s="85">
        <f t="shared" ref="AC114:AC121" si="11">Q114*U114*X114</f>
        <v>140000</v>
      </c>
      <c r="AD114" s="64" t="s">
        <v>25</v>
      </c>
      <c r="AE114" s="17"/>
    </row>
    <row r="115" spans="1:32" s="16" customFormat="1" ht="24" customHeight="1">
      <c r="A115" s="51"/>
      <c r="B115" s="406"/>
      <c r="C115" s="406"/>
      <c r="D115" s="219"/>
      <c r="E115" s="134"/>
      <c r="F115" s="134"/>
      <c r="G115" s="134"/>
      <c r="H115" s="134"/>
      <c r="I115" s="134"/>
      <c r="J115" s="134"/>
      <c r="K115" s="134"/>
      <c r="L115" s="88"/>
      <c r="M115" s="349" t="s">
        <v>324</v>
      </c>
      <c r="N115" s="349"/>
      <c r="O115" s="349"/>
      <c r="P115" s="349"/>
      <c r="Q115" s="348">
        <v>7000</v>
      </c>
      <c r="R115" s="348"/>
      <c r="S115" s="348" t="s">
        <v>58</v>
      </c>
      <c r="T115" s="349" t="s">
        <v>59</v>
      </c>
      <c r="U115" s="348">
        <v>1</v>
      </c>
      <c r="V115" s="348" t="s">
        <v>76</v>
      </c>
      <c r="W115" s="349" t="s">
        <v>59</v>
      </c>
      <c r="X115" s="348">
        <v>5</v>
      </c>
      <c r="Y115" s="348" t="s">
        <v>57</v>
      </c>
      <c r="Z115" s="348" t="s">
        <v>54</v>
      </c>
      <c r="AA115" s="379" t="s">
        <v>357</v>
      </c>
      <c r="AB115" s="85"/>
      <c r="AC115" s="85">
        <f t="shared" ref="AC115" si="12">Q115*U115*X115</f>
        <v>35000</v>
      </c>
      <c r="AD115" s="64" t="s">
        <v>25</v>
      </c>
      <c r="AE115" s="17"/>
    </row>
    <row r="116" spans="1:32" s="16" customFormat="1" ht="24" customHeight="1">
      <c r="A116" s="51"/>
      <c r="B116" s="406"/>
      <c r="C116" s="406"/>
      <c r="D116" s="219"/>
      <c r="E116" s="134"/>
      <c r="F116" s="134"/>
      <c r="G116" s="134"/>
      <c r="H116" s="134"/>
      <c r="I116" s="134"/>
      <c r="J116" s="134"/>
      <c r="K116" s="134"/>
      <c r="L116" s="88"/>
      <c r="M116" s="349" t="s">
        <v>325</v>
      </c>
      <c r="N116" s="349"/>
      <c r="O116" s="349"/>
      <c r="P116" s="349"/>
      <c r="Q116" s="348">
        <v>10000</v>
      </c>
      <c r="R116" s="348"/>
      <c r="S116" s="348" t="s">
        <v>58</v>
      </c>
      <c r="T116" s="349" t="s">
        <v>59</v>
      </c>
      <c r="U116" s="348">
        <v>1</v>
      </c>
      <c r="V116" s="348" t="s">
        <v>76</v>
      </c>
      <c r="W116" s="349" t="s">
        <v>59</v>
      </c>
      <c r="X116" s="348">
        <v>4</v>
      </c>
      <c r="Y116" s="348" t="s">
        <v>57</v>
      </c>
      <c r="Z116" s="348" t="s">
        <v>54</v>
      </c>
      <c r="AA116" s="379" t="s">
        <v>357</v>
      </c>
      <c r="AB116" s="85"/>
      <c r="AC116" s="85">
        <f t="shared" ref="AC116" si="13">Q116*U116*X116</f>
        <v>40000</v>
      </c>
      <c r="AD116" s="64" t="s">
        <v>25</v>
      </c>
      <c r="AE116" s="17"/>
    </row>
    <row r="117" spans="1:32" s="16" customFormat="1" ht="24" customHeight="1">
      <c r="A117" s="51"/>
      <c r="B117" s="406"/>
      <c r="C117" s="406"/>
      <c r="D117" s="219"/>
      <c r="E117" s="134"/>
      <c r="F117" s="134"/>
      <c r="G117" s="134"/>
      <c r="H117" s="134"/>
      <c r="I117" s="134"/>
      <c r="J117" s="134"/>
      <c r="K117" s="134"/>
      <c r="L117" s="88"/>
      <c r="M117" s="349" t="s">
        <v>326</v>
      </c>
      <c r="N117" s="292"/>
      <c r="O117" s="292"/>
      <c r="P117" s="292"/>
      <c r="Q117" s="291">
        <v>10000</v>
      </c>
      <c r="R117" s="318"/>
      <c r="S117" s="291" t="s">
        <v>58</v>
      </c>
      <c r="T117" s="292" t="s">
        <v>59</v>
      </c>
      <c r="U117" s="291">
        <v>4</v>
      </c>
      <c r="V117" s="291" t="s">
        <v>76</v>
      </c>
      <c r="W117" s="292" t="s">
        <v>59</v>
      </c>
      <c r="X117" s="291">
        <v>4</v>
      </c>
      <c r="Y117" s="291" t="s">
        <v>57</v>
      </c>
      <c r="Z117" s="291" t="s">
        <v>54</v>
      </c>
      <c r="AA117" s="379" t="s">
        <v>358</v>
      </c>
      <c r="AB117" s="85"/>
      <c r="AC117" s="85">
        <f t="shared" si="11"/>
        <v>160000</v>
      </c>
      <c r="AD117" s="64" t="s">
        <v>25</v>
      </c>
      <c r="AE117" s="17"/>
    </row>
    <row r="118" spans="1:32" s="16" customFormat="1" ht="24" customHeight="1">
      <c r="A118" s="51"/>
      <c r="B118" s="406"/>
      <c r="C118" s="406"/>
      <c r="D118" s="219"/>
      <c r="E118" s="134"/>
      <c r="F118" s="134"/>
      <c r="G118" s="134"/>
      <c r="H118" s="134"/>
      <c r="I118" s="134"/>
      <c r="J118" s="134"/>
      <c r="K118" s="134"/>
      <c r="L118" s="88"/>
      <c r="M118" s="349" t="s">
        <v>330</v>
      </c>
      <c r="N118" s="349"/>
      <c r="O118" s="349"/>
      <c r="P118" s="349"/>
      <c r="Q118" s="348">
        <v>8000</v>
      </c>
      <c r="R118" s="348"/>
      <c r="S118" s="348" t="s">
        <v>58</v>
      </c>
      <c r="T118" s="349" t="s">
        <v>59</v>
      </c>
      <c r="U118" s="348">
        <v>1</v>
      </c>
      <c r="V118" s="348" t="s">
        <v>76</v>
      </c>
      <c r="W118" s="349" t="s">
        <v>59</v>
      </c>
      <c r="X118" s="348">
        <v>5</v>
      </c>
      <c r="Y118" s="348" t="s">
        <v>57</v>
      </c>
      <c r="Z118" s="348" t="s">
        <v>54</v>
      </c>
      <c r="AA118" s="379" t="s">
        <v>357</v>
      </c>
      <c r="AB118" s="85"/>
      <c r="AC118" s="85">
        <f t="shared" ref="AC118" si="14">Q118*U118*X118</f>
        <v>40000</v>
      </c>
      <c r="AD118" s="64" t="s">
        <v>25</v>
      </c>
      <c r="AE118" s="17"/>
    </row>
    <row r="119" spans="1:32" s="16" customFormat="1" ht="24" customHeight="1">
      <c r="A119" s="51"/>
      <c r="B119" s="406"/>
      <c r="C119" s="406"/>
      <c r="D119" s="216"/>
      <c r="E119" s="134"/>
      <c r="F119" s="134"/>
      <c r="G119" s="134"/>
      <c r="H119" s="134"/>
      <c r="I119" s="134"/>
      <c r="J119" s="134"/>
      <c r="K119" s="134"/>
      <c r="L119" s="88"/>
      <c r="M119" s="349" t="s">
        <v>327</v>
      </c>
      <c r="N119" s="56"/>
      <c r="O119" s="56"/>
      <c r="P119" s="56"/>
      <c r="Q119" s="291">
        <v>8000</v>
      </c>
      <c r="R119" s="318"/>
      <c r="S119" s="291" t="s">
        <v>58</v>
      </c>
      <c r="T119" s="292" t="s">
        <v>59</v>
      </c>
      <c r="U119" s="291">
        <v>4</v>
      </c>
      <c r="V119" s="291" t="s">
        <v>76</v>
      </c>
      <c r="W119" s="292" t="s">
        <v>59</v>
      </c>
      <c r="X119" s="291">
        <v>5</v>
      </c>
      <c r="Y119" s="291" t="s">
        <v>57</v>
      </c>
      <c r="Z119" s="291" t="s">
        <v>54</v>
      </c>
      <c r="AA119" s="379" t="s">
        <v>358</v>
      </c>
      <c r="AB119" s="85"/>
      <c r="AC119" s="85">
        <f t="shared" si="11"/>
        <v>160000</v>
      </c>
      <c r="AD119" s="64" t="s">
        <v>25</v>
      </c>
      <c r="AE119" s="17"/>
    </row>
    <row r="120" spans="1:32" s="16" customFormat="1" ht="24" customHeight="1">
      <c r="A120" s="51"/>
      <c r="B120" s="406"/>
      <c r="C120" s="406"/>
      <c r="D120" s="216"/>
      <c r="E120" s="134"/>
      <c r="F120" s="134"/>
      <c r="G120" s="134"/>
      <c r="H120" s="134"/>
      <c r="I120" s="134"/>
      <c r="J120" s="134"/>
      <c r="K120" s="134"/>
      <c r="L120" s="88"/>
      <c r="M120" s="349" t="s">
        <v>328</v>
      </c>
      <c r="N120" s="310"/>
      <c r="O120" s="310"/>
      <c r="P120" s="310"/>
      <c r="Q120" s="309">
        <v>0</v>
      </c>
      <c r="R120" s="318"/>
      <c r="S120" s="309" t="s">
        <v>58</v>
      </c>
      <c r="T120" s="310" t="s">
        <v>59</v>
      </c>
      <c r="U120" s="309">
        <v>3</v>
      </c>
      <c r="V120" s="309" t="s">
        <v>76</v>
      </c>
      <c r="W120" s="310" t="s">
        <v>59</v>
      </c>
      <c r="X120" s="309">
        <v>6</v>
      </c>
      <c r="Y120" s="309" t="s">
        <v>57</v>
      </c>
      <c r="Z120" s="309" t="s">
        <v>54</v>
      </c>
      <c r="AA120" s="309"/>
      <c r="AB120" s="85"/>
      <c r="AC120" s="85">
        <f t="shared" si="11"/>
        <v>0</v>
      </c>
      <c r="AD120" s="64" t="s">
        <v>25</v>
      </c>
      <c r="AE120" s="17"/>
    </row>
    <row r="121" spans="1:32" s="16" customFormat="1" ht="24" customHeight="1">
      <c r="A121" s="51"/>
      <c r="B121" s="406"/>
      <c r="C121" s="406"/>
      <c r="D121" s="216"/>
      <c r="E121" s="134"/>
      <c r="F121" s="134"/>
      <c r="G121" s="134"/>
      <c r="H121" s="134"/>
      <c r="I121" s="134"/>
      <c r="J121" s="134"/>
      <c r="K121" s="134"/>
      <c r="L121" s="88"/>
      <c r="M121" s="349" t="s">
        <v>329</v>
      </c>
      <c r="N121" s="310"/>
      <c r="O121" s="310"/>
      <c r="P121" s="310"/>
      <c r="Q121" s="309">
        <v>0</v>
      </c>
      <c r="R121" s="318"/>
      <c r="S121" s="309" t="s">
        <v>58</v>
      </c>
      <c r="T121" s="310" t="s">
        <v>59</v>
      </c>
      <c r="U121" s="309">
        <v>6</v>
      </c>
      <c r="V121" s="309" t="s">
        <v>76</v>
      </c>
      <c r="W121" s="310" t="s">
        <v>59</v>
      </c>
      <c r="X121" s="309">
        <v>6</v>
      </c>
      <c r="Y121" s="309" t="s">
        <v>57</v>
      </c>
      <c r="Z121" s="309" t="s">
        <v>54</v>
      </c>
      <c r="AA121" s="309"/>
      <c r="AB121" s="85"/>
      <c r="AC121" s="85">
        <f t="shared" si="11"/>
        <v>0</v>
      </c>
      <c r="AD121" s="64" t="s">
        <v>25</v>
      </c>
      <c r="AE121" s="17"/>
    </row>
    <row r="122" spans="1:32" s="16" customFormat="1" ht="24" customHeight="1">
      <c r="A122" s="51"/>
      <c r="B122" s="406"/>
      <c r="C122" s="406"/>
      <c r="D122" s="216"/>
      <c r="E122" s="134"/>
      <c r="F122" s="134"/>
      <c r="G122" s="134"/>
      <c r="H122" s="134"/>
      <c r="I122" s="134"/>
      <c r="J122" s="134"/>
      <c r="K122" s="134"/>
      <c r="L122" s="88"/>
      <c r="M122" s="155"/>
      <c r="N122" s="155"/>
      <c r="O122" s="155"/>
      <c r="P122" s="155"/>
      <c r="Q122" s="154"/>
      <c r="R122" s="318"/>
      <c r="S122" s="154"/>
      <c r="T122" s="155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64"/>
      <c r="AE122" s="17"/>
    </row>
    <row r="123" spans="1:32" s="16" customFormat="1" ht="24" customHeight="1">
      <c r="A123" s="51"/>
      <c r="B123" s="406"/>
      <c r="C123" s="406"/>
      <c r="D123" s="216"/>
      <c r="E123" s="134"/>
      <c r="F123" s="134"/>
      <c r="G123" s="134"/>
      <c r="H123" s="134"/>
      <c r="I123" s="134"/>
      <c r="J123" s="134"/>
      <c r="K123" s="134"/>
      <c r="L123" s="88"/>
      <c r="M123" s="89" t="s">
        <v>205</v>
      </c>
      <c r="N123" s="142"/>
      <c r="O123" s="249"/>
      <c r="P123" s="34"/>
      <c r="Q123" s="34"/>
      <c r="R123" s="34"/>
      <c r="S123" s="34"/>
      <c r="T123" s="34"/>
      <c r="U123" s="34"/>
      <c r="V123" s="243" t="s">
        <v>133</v>
      </c>
      <c r="W123" s="243"/>
      <c r="X123" s="243"/>
      <c r="Y123" s="243"/>
      <c r="Z123" s="243"/>
      <c r="AA123" s="243"/>
      <c r="AB123" s="90"/>
      <c r="AC123" s="90">
        <f>SUM(AC124:AC124)</f>
        <v>250000</v>
      </c>
      <c r="AD123" s="91" t="s">
        <v>25</v>
      </c>
      <c r="AE123" s="17"/>
    </row>
    <row r="124" spans="1:32" s="16" customFormat="1" ht="24" customHeight="1">
      <c r="A124" s="51"/>
      <c r="B124" s="406"/>
      <c r="C124" s="406"/>
      <c r="D124" s="219"/>
      <c r="E124" s="134"/>
      <c r="F124" s="134"/>
      <c r="G124" s="134"/>
      <c r="H124" s="134"/>
      <c r="I124" s="134"/>
      <c r="J124" s="134"/>
      <c r="K124" s="134"/>
      <c r="L124" s="88"/>
      <c r="M124" s="292" t="s">
        <v>206</v>
      </c>
      <c r="N124" s="248"/>
      <c r="O124" s="248"/>
      <c r="P124" s="248"/>
      <c r="Q124" s="291">
        <v>50000</v>
      </c>
      <c r="R124" s="318"/>
      <c r="S124" s="61" t="s">
        <v>58</v>
      </c>
      <c r="T124" s="61" t="s">
        <v>26</v>
      </c>
      <c r="U124" s="291">
        <v>5</v>
      </c>
      <c r="V124" s="291" t="s">
        <v>199</v>
      </c>
      <c r="W124" s="270"/>
      <c r="X124" s="169"/>
      <c r="Y124" s="93"/>
      <c r="Z124" s="254" t="s">
        <v>54</v>
      </c>
      <c r="AA124" s="379" t="s">
        <v>358</v>
      </c>
      <c r="AB124" s="291"/>
      <c r="AC124" s="291">
        <f>Q124*U124</f>
        <v>250000</v>
      </c>
      <c r="AD124" s="64" t="s">
        <v>25</v>
      </c>
      <c r="AE124" s="17"/>
    </row>
    <row r="125" spans="1:32" s="16" customFormat="1" ht="24" customHeight="1">
      <c r="A125" s="51"/>
      <c r="B125" s="406"/>
      <c r="C125" s="406"/>
      <c r="D125" s="219"/>
      <c r="E125" s="134"/>
      <c r="F125" s="134"/>
      <c r="G125" s="134"/>
      <c r="H125" s="134"/>
      <c r="I125" s="134"/>
      <c r="J125" s="134"/>
      <c r="K125" s="134"/>
      <c r="L125" s="88"/>
      <c r="M125" s="248"/>
      <c r="N125" s="248"/>
      <c r="O125" s="248"/>
      <c r="P125" s="248"/>
      <c r="Q125" s="248"/>
      <c r="R125" s="319"/>
      <c r="S125" s="247"/>
      <c r="T125" s="247"/>
      <c r="U125" s="247"/>
      <c r="V125" s="247"/>
      <c r="W125" s="247"/>
      <c r="X125" s="173"/>
      <c r="Y125" s="173"/>
      <c r="Z125" s="173"/>
      <c r="AA125" s="173"/>
      <c r="AB125" s="174"/>
      <c r="AC125" s="174"/>
      <c r="AD125" s="64"/>
      <c r="AE125" s="17"/>
      <c r="AF125" s="17"/>
    </row>
    <row r="126" spans="1:32" s="16" customFormat="1" ht="24" customHeight="1">
      <c r="A126" s="51"/>
      <c r="B126" s="406"/>
      <c r="C126" s="406"/>
      <c r="D126" s="216"/>
      <c r="E126" s="134"/>
      <c r="F126" s="134"/>
      <c r="G126" s="134"/>
      <c r="H126" s="134"/>
      <c r="I126" s="134"/>
      <c r="J126" s="134"/>
      <c r="K126" s="134"/>
      <c r="L126" s="88"/>
      <c r="M126" s="89" t="s">
        <v>207</v>
      </c>
      <c r="N126" s="142"/>
      <c r="O126" s="249"/>
      <c r="P126" s="34"/>
      <c r="Q126" s="34"/>
      <c r="R126" s="34"/>
      <c r="S126" s="34"/>
      <c r="T126" s="34"/>
      <c r="U126" s="34"/>
      <c r="V126" s="243" t="s">
        <v>133</v>
      </c>
      <c r="W126" s="243"/>
      <c r="X126" s="243"/>
      <c r="Y126" s="243"/>
      <c r="Z126" s="243"/>
      <c r="AA126" s="243"/>
      <c r="AB126" s="90"/>
      <c r="AC126" s="90">
        <f>SUM(AC127:AC130)</f>
        <v>1525000</v>
      </c>
      <c r="AD126" s="91" t="s">
        <v>25</v>
      </c>
      <c r="AE126" s="17"/>
    </row>
    <row r="127" spans="1:32" s="16" customFormat="1" ht="24" customHeight="1">
      <c r="A127" s="51"/>
      <c r="B127" s="406"/>
      <c r="C127" s="406"/>
      <c r="D127" s="216"/>
      <c r="E127" s="134"/>
      <c r="F127" s="134"/>
      <c r="G127" s="134"/>
      <c r="H127" s="134"/>
      <c r="I127" s="134"/>
      <c r="J127" s="134"/>
      <c r="K127" s="134"/>
      <c r="L127" s="88"/>
      <c r="M127" s="175" t="s">
        <v>208</v>
      </c>
      <c r="N127" s="175"/>
      <c r="O127" s="175"/>
      <c r="P127" s="175"/>
      <c r="Q127" s="291">
        <v>100000</v>
      </c>
      <c r="R127" s="318"/>
      <c r="S127" s="61" t="s">
        <v>58</v>
      </c>
      <c r="T127" s="61" t="s">
        <v>26</v>
      </c>
      <c r="U127" s="291">
        <v>6</v>
      </c>
      <c r="V127" s="291" t="s">
        <v>199</v>
      </c>
      <c r="W127" s="270"/>
      <c r="X127" s="169"/>
      <c r="Y127" s="93"/>
      <c r="Z127" s="254" t="s">
        <v>54</v>
      </c>
      <c r="AA127" s="379" t="s">
        <v>358</v>
      </c>
      <c r="AB127" s="291"/>
      <c r="AC127" s="291">
        <f>Q127*U127</f>
        <v>600000</v>
      </c>
      <c r="AD127" s="64" t="s">
        <v>25</v>
      </c>
      <c r="AE127" s="17"/>
    </row>
    <row r="128" spans="1:32" s="16" customFormat="1" ht="24" customHeight="1">
      <c r="A128" s="51"/>
      <c r="B128" s="406"/>
      <c r="C128" s="406"/>
      <c r="D128" s="216"/>
      <c r="E128" s="134"/>
      <c r="F128" s="134"/>
      <c r="G128" s="134"/>
      <c r="H128" s="134"/>
      <c r="I128" s="134"/>
      <c r="J128" s="134"/>
      <c r="K128" s="134"/>
      <c r="L128" s="88"/>
      <c r="M128" s="175" t="s">
        <v>209</v>
      </c>
      <c r="N128" s="175"/>
      <c r="O128" s="175"/>
      <c r="P128" s="175"/>
      <c r="Q128" s="291">
        <v>425000</v>
      </c>
      <c r="R128" s="318"/>
      <c r="S128" s="61" t="s">
        <v>58</v>
      </c>
      <c r="T128" s="61" t="s">
        <v>26</v>
      </c>
      <c r="U128" s="291">
        <v>1</v>
      </c>
      <c r="V128" s="291" t="s">
        <v>211</v>
      </c>
      <c r="W128" s="270"/>
      <c r="X128" s="169"/>
      <c r="Y128" s="93"/>
      <c r="Z128" s="254" t="s">
        <v>54</v>
      </c>
      <c r="AA128" s="379" t="s">
        <v>358</v>
      </c>
      <c r="AB128" s="291"/>
      <c r="AC128" s="291">
        <f>Q128*U128</f>
        <v>425000</v>
      </c>
      <c r="AD128" s="64" t="s">
        <v>25</v>
      </c>
      <c r="AE128" s="17"/>
    </row>
    <row r="129" spans="1:31" s="16" customFormat="1" ht="24" customHeight="1">
      <c r="A129" s="51"/>
      <c r="B129" s="406"/>
      <c r="C129" s="406"/>
      <c r="D129" s="216"/>
      <c r="E129" s="134"/>
      <c r="F129" s="134"/>
      <c r="G129" s="134"/>
      <c r="H129" s="134"/>
      <c r="I129" s="134"/>
      <c r="J129" s="134"/>
      <c r="K129" s="134"/>
      <c r="L129" s="88"/>
      <c r="M129" s="175" t="s">
        <v>210</v>
      </c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 t="s">
        <v>358</v>
      </c>
      <c r="AB129" s="175"/>
      <c r="AC129" s="176">
        <v>500000</v>
      </c>
      <c r="AD129" s="177" t="s">
        <v>68</v>
      </c>
      <c r="AE129" s="17"/>
    </row>
    <row r="130" spans="1:31" s="16" customFormat="1" ht="24" customHeight="1">
      <c r="A130" s="51"/>
      <c r="B130" s="406"/>
      <c r="C130" s="406"/>
      <c r="D130" s="216"/>
      <c r="E130" s="134"/>
      <c r="F130" s="134"/>
      <c r="G130" s="134"/>
      <c r="H130" s="134"/>
      <c r="I130" s="134"/>
      <c r="J130" s="134"/>
      <c r="K130" s="134"/>
      <c r="L130" s="88"/>
      <c r="M130" s="175" t="s">
        <v>239</v>
      </c>
      <c r="N130" s="175"/>
      <c r="O130" s="175"/>
      <c r="P130" s="175"/>
      <c r="Q130" s="357">
        <v>0</v>
      </c>
      <c r="R130" s="175"/>
      <c r="S130" s="175" t="s">
        <v>232</v>
      </c>
      <c r="T130" s="61" t="s">
        <v>26</v>
      </c>
      <c r="U130" s="175">
        <v>1</v>
      </c>
      <c r="V130" s="175" t="s">
        <v>240</v>
      </c>
      <c r="W130" s="175"/>
      <c r="X130" s="175"/>
      <c r="Y130" s="175"/>
      <c r="Z130" s="175" t="s">
        <v>241</v>
      </c>
      <c r="AA130" s="175"/>
      <c r="AB130" s="175"/>
      <c r="AC130" s="176">
        <f>Q130*U130</f>
        <v>0</v>
      </c>
      <c r="AD130" s="177" t="s">
        <v>234</v>
      </c>
      <c r="AE130" s="17"/>
    </row>
    <row r="131" spans="1:31" s="16" customFormat="1" ht="24" customHeight="1">
      <c r="A131" s="51"/>
      <c r="B131" s="406"/>
      <c r="C131" s="406"/>
      <c r="D131" s="216"/>
      <c r="E131" s="134"/>
      <c r="F131" s="134"/>
      <c r="G131" s="134"/>
      <c r="H131" s="134"/>
      <c r="I131" s="134"/>
      <c r="J131" s="134"/>
      <c r="K131" s="134"/>
      <c r="L131" s="88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6"/>
      <c r="AD131" s="177"/>
      <c r="AE131" s="17"/>
    </row>
    <row r="132" spans="1:31" s="16" customFormat="1" ht="24" customHeight="1">
      <c r="A132" s="51"/>
      <c r="B132" s="406"/>
      <c r="C132" s="406"/>
      <c r="D132" s="216"/>
      <c r="E132" s="134"/>
      <c r="F132" s="134"/>
      <c r="G132" s="134"/>
      <c r="H132" s="134"/>
      <c r="I132" s="134"/>
      <c r="J132" s="134"/>
      <c r="K132" s="134"/>
      <c r="L132" s="88"/>
      <c r="M132" s="89" t="s">
        <v>212</v>
      </c>
      <c r="N132" s="142"/>
      <c r="O132" s="249"/>
      <c r="P132" s="34"/>
      <c r="Q132" s="34"/>
      <c r="R132" s="34"/>
      <c r="S132" s="34"/>
      <c r="T132" s="34"/>
      <c r="U132" s="34"/>
      <c r="V132" s="243" t="s">
        <v>133</v>
      </c>
      <c r="W132" s="243"/>
      <c r="X132" s="243"/>
      <c r="Y132" s="243"/>
      <c r="Z132" s="243"/>
      <c r="AA132" s="243"/>
      <c r="AB132" s="90"/>
      <c r="AC132" s="90">
        <f>SUM(AC133:AC137)</f>
        <v>401000</v>
      </c>
      <c r="AD132" s="91" t="s">
        <v>25</v>
      </c>
      <c r="AE132" s="17"/>
    </row>
    <row r="133" spans="1:31" s="16" customFormat="1" ht="24" customHeight="1">
      <c r="A133" s="51"/>
      <c r="B133" s="406"/>
      <c r="C133" s="406"/>
      <c r="D133" s="216"/>
      <c r="E133" s="134"/>
      <c r="F133" s="134"/>
      <c r="G133" s="134"/>
      <c r="H133" s="134"/>
      <c r="I133" s="134"/>
      <c r="J133" s="134"/>
      <c r="K133" s="134"/>
      <c r="L133" s="88"/>
      <c r="M133" s="175" t="s">
        <v>331</v>
      </c>
      <c r="N133" s="175"/>
      <c r="O133" s="175"/>
      <c r="P133" s="175"/>
      <c r="Q133" s="348">
        <v>0</v>
      </c>
      <c r="R133" s="348"/>
      <c r="S133" s="348" t="s">
        <v>58</v>
      </c>
      <c r="T133" s="349" t="s">
        <v>59</v>
      </c>
      <c r="U133" s="348">
        <v>5</v>
      </c>
      <c r="V133" s="348" t="s">
        <v>57</v>
      </c>
      <c r="W133" s="349" t="s">
        <v>59</v>
      </c>
      <c r="X133" s="348">
        <v>1</v>
      </c>
      <c r="Y133" s="348" t="s">
        <v>76</v>
      </c>
      <c r="Z133" s="348" t="s">
        <v>54</v>
      </c>
      <c r="AA133" s="379" t="s">
        <v>357</v>
      </c>
      <c r="AB133" s="85"/>
      <c r="AC133" s="85">
        <f t="shared" ref="AC133" si="15">Q133*U133*X133</f>
        <v>0</v>
      </c>
      <c r="AD133" s="64" t="s">
        <v>25</v>
      </c>
      <c r="AE133" s="17"/>
    </row>
    <row r="134" spans="1:31" s="16" customFormat="1" ht="24" customHeight="1">
      <c r="A134" s="51"/>
      <c r="B134" s="406"/>
      <c r="C134" s="406"/>
      <c r="D134" s="216"/>
      <c r="E134" s="134"/>
      <c r="F134" s="134"/>
      <c r="G134" s="134"/>
      <c r="H134" s="134"/>
      <c r="I134" s="134"/>
      <c r="J134" s="134"/>
      <c r="K134" s="134"/>
      <c r="L134" s="88"/>
      <c r="M134" s="175" t="s">
        <v>332</v>
      </c>
      <c r="N134" s="175"/>
      <c r="O134" s="175"/>
      <c r="P134" s="175"/>
      <c r="Q134" s="291">
        <v>0</v>
      </c>
      <c r="R134" s="318"/>
      <c r="S134" s="291" t="s">
        <v>58</v>
      </c>
      <c r="T134" s="292" t="s">
        <v>59</v>
      </c>
      <c r="U134" s="291">
        <v>5</v>
      </c>
      <c r="V134" s="291" t="s">
        <v>199</v>
      </c>
      <c r="W134" s="292" t="s">
        <v>59</v>
      </c>
      <c r="X134" s="291">
        <v>6</v>
      </c>
      <c r="Y134" s="291" t="s">
        <v>211</v>
      </c>
      <c r="Z134" s="291" t="s">
        <v>54</v>
      </c>
      <c r="AA134" s="379" t="s">
        <v>358</v>
      </c>
      <c r="AB134" s="85"/>
      <c r="AC134" s="85">
        <f t="shared" ref="AC134" si="16">Q134*U134*X134</f>
        <v>0</v>
      </c>
      <c r="AD134" s="64" t="s">
        <v>25</v>
      </c>
      <c r="AE134" s="17"/>
    </row>
    <row r="135" spans="1:31" s="16" customFormat="1" ht="24" customHeight="1">
      <c r="A135" s="51"/>
      <c r="B135" s="406"/>
      <c r="C135" s="406"/>
      <c r="D135" s="216"/>
      <c r="E135" s="134"/>
      <c r="F135" s="134"/>
      <c r="G135" s="134"/>
      <c r="H135" s="134"/>
      <c r="I135" s="134"/>
      <c r="J135" s="134"/>
      <c r="K135" s="134"/>
      <c r="L135" s="88"/>
      <c r="M135" s="175" t="s">
        <v>333</v>
      </c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 t="s">
        <v>358</v>
      </c>
      <c r="AB135" s="175"/>
      <c r="AC135" s="176">
        <v>200000</v>
      </c>
      <c r="AD135" s="177" t="s">
        <v>68</v>
      </c>
      <c r="AE135" s="17"/>
    </row>
    <row r="136" spans="1:31" s="16" customFormat="1" ht="24" customHeight="1">
      <c r="A136" s="51"/>
      <c r="B136" s="406"/>
      <c r="C136" s="406"/>
      <c r="D136" s="216"/>
      <c r="E136" s="134"/>
      <c r="F136" s="134"/>
      <c r="G136" s="134"/>
      <c r="H136" s="134"/>
      <c r="I136" s="134"/>
      <c r="J136" s="134"/>
      <c r="K136" s="134"/>
      <c r="L136" s="88"/>
      <c r="M136" s="175" t="s">
        <v>355</v>
      </c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 t="s">
        <v>357</v>
      </c>
      <c r="AB136" s="175"/>
      <c r="AC136" s="176">
        <v>101000</v>
      </c>
      <c r="AD136" s="177" t="s">
        <v>58</v>
      </c>
      <c r="AE136" s="17"/>
    </row>
    <row r="137" spans="1:31" s="16" customFormat="1" ht="24" customHeight="1">
      <c r="A137" s="51"/>
      <c r="B137" s="406"/>
      <c r="C137" s="406"/>
      <c r="D137" s="216"/>
      <c r="E137" s="134"/>
      <c r="F137" s="134"/>
      <c r="G137" s="134"/>
      <c r="H137" s="134"/>
      <c r="I137" s="134"/>
      <c r="J137" s="134"/>
      <c r="K137" s="134"/>
      <c r="L137" s="88"/>
      <c r="M137" s="175" t="s">
        <v>356</v>
      </c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 t="s">
        <v>358</v>
      </c>
      <c r="AB137" s="175"/>
      <c r="AC137" s="176">
        <v>100000</v>
      </c>
      <c r="AD137" s="177" t="s">
        <v>68</v>
      </c>
      <c r="AE137" s="17"/>
    </row>
    <row r="138" spans="1:31" s="16" customFormat="1" ht="24" customHeight="1">
      <c r="A138" s="65"/>
      <c r="B138" s="66"/>
      <c r="C138" s="136"/>
      <c r="D138" s="217"/>
      <c r="E138" s="137"/>
      <c r="F138" s="137"/>
      <c r="G138" s="137"/>
      <c r="H138" s="137"/>
      <c r="I138" s="137"/>
      <c r="J138" s="137"/>
      <c r="K138" s="134"/>
      <c r="L138" s="88"/>
      <c r="M138" s="56"/>
      <c r="N138" s="56"/>
      <c r="O138" s="56"/>
      <c r="P138" s="56"/>
      <c r="Q138" s="56"/>
      <c r="R138" s="319"/>
      <c r="S138" s="57"/>
      <c r="T138" s="57"/>
      <c r="U138" s="57"/>
      <c r="V138" s="57"/>
      <c r="W138" s="57"/>
      <c r="X138" s="173"/>
      <c r="Y138" s="173"/>
      <c r="Z138" s="173"/>
      <c r="AA138" s="173"/>
      <c r="AB138" s="174"/>
      <c r="AC138" s="57"/>
      <c r="AD138" s="64"/>
      <c r="AE138" s="17"/>
    </row>
    <row r="139" spans="1:31" s="12" customFormat="1" ht="21" customHeight="1">
      <c r="A139" s="138" t="s">
        <v>155</v>
      </c>
      <c r="B139" s="440" t="s">
        <v>21</v>
      </c>
      <c r="C139" s="441"/>
      <c r="D139" s="236">
        <f>SUM(D140)</f>
        <v>7</v>
      </c>
      <c r="E139" s="236">
        <f>SUM(E140)</f>
        <v>6.89</v>
      </c>
      <c r="F139" s="236">
        <f t="shared" ref="F139:J139" si="17">SUM(F140)</f>
        <v>6.89</v>
      </c>
      <c r="G139" s="236">
        <f t="shared" si="17"/>
        <v>0</v>
      </c>
      <c r="H139" s="236">
        <f t="shared" si="17"/>
        <v>0</v>
      </c>
      <c r="I139" s="236">
        <v>0</v>
      </c>
      <c r="J139" s="236">
        <f t="shared" si="17"/>
        <v>0</v>
      </c>
      <c r="K139" s="236">
        <f>E139-D139</f>
        <v>-0.11000000000000032</v>
      </c>
      <c r="L139" s="237">
        <f>IF(D139=0,0,K139/D139)</f>
        <v>-1.571428571428576E-2</v>
      </c>
      <c r="M139" s="122" t="s">
        <v>158</v>
      </c>
      <c r="N139" s="408"/>
      <c r="O139" s="408"/>
      <c r="P139" s="408"/>
      <c r="Q139" s="407"/>
      <c r="R139" s="407"/>
      <c r="S139" s="407"/>
      <c r="T139" s="407"/>
      <c r="U139" s="407"/>
      <c r="V139" s="407"/>
      <c r="W139" s="407"/>
      <c r="X139" s="407"/>
      <c r="Y139" s="407"/>
      <c r="Z139" s="407"/>
      <c r="AA139" s="407"/>
      <c r="AB139" s="407"/>
      <c r="AC139" s="407">
        <f>SUM(AC140)</f>
        <v>6890</v>
      </c>
      <c r="AD139" s="240" t="s">
        <v>25</v>
      </c>
      <c r="AE139" s="1"/>
    </row>
    <row r="140" spans="1:31" s="12" customFormat="1" ht="21" customHeight="1">
      <c r="A140" s="266" t="s">
        <v>157</v>
      </c>
      <c r="B140" s="406" t="s">
        <v>155</v>
      </c>
      <c r="C140" s="406" t="s">
        <v>155</v>
      </c>
      <c r="D140" s="216">
        <v>7</v>
      </c>
      <c r="E140" s="134">
        <f>AC140/1000</f>
        <v>6.89</v>
      </c>
      <c r="F140" s="134">
        <f>SUM(AC141:AC141)/1000</f>
        <v>6.89</v>
      </c>
      <c r="G140" s="134">
        <v>0</v>
      </c>
      <c r="H140" s="134">
        <v>0</v>
      </c>
      <c r="I140" s="134">
        <v>0</v>
      </c>
      <c r="J140" s="134">
        <v>0</v>
      </c>
      <c r="K140" s="134">
        <f>E140-D140</f>
        <v>-0.11000000000000032</v>
      </c>
      <c r="L140" s="88">
        <f>IF(D140=0,0,K140/D140)</f>
        <v>-1.571428571428576E-2</v>
      </c>
      <c r="M140" s="142" t="s">
        <v>159</v>
      </c>
      <c r="N140" s="38"/>
      <c r="O140" s="38"/>
      <c r="P140" s="38"/>
      <c r="Q140" s="38"/>
      <c r="R140" s="257"/>
      <c r="S140" s="39"/>
      <c r="T140" s="39"/>
      <c r="U140" s="39"/>
      <c r="V140" s="39"/>
      <c r="W140" s="39"/>
      <c r="X140" s="239" t="s">
        <v>139</v>
      </c>
      <c r="Y140" s="124"/>
      <c r="Z140" s="124"/>
      <c r="AA140" s="124"/>
      <c r="AB140" s="144"/>
      <c r="AC140" s="144">
        <f>AC141:AC141</f>
        <v>6890</v>
      </c>
      <c r="AD140" s="145" t="s">
        <v>25</v>
      </c>
      <c r="AE140" s="1"/>
    </row>
    <row r="141" spans="1:31" ht="21" customHeight="1">
      <c r="A141" s="51"/>
      <c r="B141" s="406" t="s">
        <v>156</v>
      </c>
      <c r="C141" s="406" t="s">
        <v>156</v>
      </c>
      <c r="D141" s="216"/>
      <c r="E141" s="134"/>
      <c r="F141" s="134"/>
      <c r="G141" s="134"/>
      <c r="H141" s="134"/>
      <c r="I141" s="134"/>
      <c r="J141" s="134"/>
      <c r="K141" s="134"/>
      <c r="L141" s="88"/>
      <c r="M141" s="328" t="s">
        <v>213</v>
      </c>
      <c r="N141" s="328"/>
      <c r="O141" s="328"/>
      <c r="P141" s="328"/>
      <c r="Q141" s="327"/>
      <c r="R141" s="327"/>
      <c r="S141" s="327"/>
      <c r="T141" s="327"/>
      <c r="U141" s="327"/>
      <c r="V141" s="327"/>
      <c r="W141" s="327"/>
      <c r="X141" s="327"/>
      <c r="Y141" s="327"/>
      <c r="Z141" s="327"/>
      <c r="AA141" s="327"/>
      <c r="AB141" s="327"/>
      <c r="AC141" s="327">
        <v>6890</v>
      </c>
      <c r="AD141" s="64" t="s">
        <v>25</v>
      </c>
    </row>
    <row r="142" spans="1:31" ht="21" customHeight="1" thickBot="1">
      <c r="A142" s="411"/>
      <c r="B142" s="337"/>
      <c r="C142" s="337"/>
      <c r="D142" s="338"/>
      <c r="E142" s="338"/>
      <c r="F142" s="338"/>
      <c r="G142" s="338"/>
      <c r="H142" s="338"/>
      <c r="I142" s="338"/>
      <c r="J142" s="338"/>
      <c r="K142" s="338"/>
      <c r="L142" s="339"/>
      <c r="M142" s="340"/>
      <c r="N142" s="334"/>
      <c r="O142" s="334"/>
      <c r="P142" s="334"/>
      <c r="Q142" s="335"/>
      <c r="R142" s="335"/>
      <c r="S142" s="335"/>
      <c r="T142" s="335"/>
      <c r="U142" s="335"/>
      <c r="V142" s="335"/>
      <c r="W142" s="335"/>
      <c r="X142" s="335"/>
      <c r="Y142" s="335"/>
      <c r="Z142" s="335"/>
      <c r="AA142" s="335"/>
      <c r="AB142" s="335"/>
      <c r="AC142" s="335"/>
      <c r="AD142" s="336"/>
    </row>
  </sheetData>
  <mergeCells count="14">
    <mergeCell ref="B139:C139"/>
    <mergeCell ref="B89:C89"/>
    <mergeCell ref="B77:C77"/>
    <mergeCell ref="U73:V73"/>
    <mergeCell ref="U48:V48"/>
    <mergeCell ref="U53:V53"/>
    <mergeCell ref="M2:AD3"/>
    <mergeCell ref="A1:C1"/>
    <mergeCell ref="B5:C5"/>
    <mergeCell ref="A4:C4"/>
    <mergeCell ref="K2:L2"/>
    <mergeCell ref="A2:C2"/>
    <mergeCell ref="D2:D3"/>
    <mergeCell ref="E2:J2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scaleWithDoc="0" alignWithMargins="0">
    <oddFooter>&amp;C&amp;P/&amp;N&amp;R&amp;9장애인공동생활가정 몬띠의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22"/>
  <sheetViews>
    <sheetView topLeftCell="A4" workbookViewId="0">
      <selection activeCell="B19" sqref="B19"/>
    </sheetView>
  </sheetViews>
  <sheetFormatPr defaultRowHeight="13.5"/>
  <cols>
    <col min="1" max="1" width="7.5546875" customWidth="1"/>
    <col min="2" max="2" width="9.21875" customWidth="1"/>
    <col min="3" max="3" width="9.77734375" customWidth="1"/>
    <col min="4" max="4" width="10.109375" customWidth="1"/>
    <col min="5" max="5" width="10.33203125" customWidth="1"/>
    <col min="6" max="6" width="7.21875" customWidth="1"/>
    <col min="7" max="7" width="6.6640625" customWidth="1"/>
    <col min="8" max="8" width="9.33203125" customWidth="1"/>
    <col min="9" max="9" width="11.6640625" customWidth="1"/>
    <col min="10" max="10" width="11.88671875" customWidth="1"/>
    <col min="11" max="11" width="11.109375" customWidth="1"/>
    <col min="12" max="12" width="8.77734375" customWidth="1"/>
  </cols>
  <sheetData>
    <row r="1" spans="1:12" ht="26.25">
      <c r="A1" s="343" t="s">
        <v>350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5" t="s">
        <v>245</v>
      </c>
    </row>
    <row r="2" spans="1:12" ht="8.25" customHeight="1" thickBot="1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12" ht="16.5">
      <c r="A3" s="498" t="s">
        <v>246</v>
      </c>
      <c r="B3" s="499"/>
      <c r="C3" s="499"/>
      <c r="D3" s="499"/>
      <c r="E3" s="500"/>
      <c r="F3" s="500"/>
      <c r="G3" s="498" t="s">
        <v>247</v>
      </c>
      <c r="H3" s="499"/>
      <c r="I3" s="499"/>
      <c r="J3" s="499"/>
      <c r="K3" s="500"/>
      <c r="L3" s="501"/>
    </row>
    <row r="4" spans="1:12" ht="13.5" customHeight="1">
      <c r="A4" s="502" t="s">
        <v>373</v>
      </c>
      <c r="B4" s="503"/>
      <c r="C4" s="506" t="s">
        <v>348</v>
      </c>
      <c r="D4" s="506" t="s">
        <v>374</v>
      </c>
      <c r="E4" s="508" t="s">
        <v>375</v>
      </c>
      <c r="F4" s="510" t="s">
        <v>376</v>
      </c>
      <c r="G4" s="502" t="s">
        <v>373</v>
      </c>
      <c r="H4" s="503"/>
      <c r="I4" s="506" t="s">
        <v>378</v>
      </c>
      <c r="J4" s="506" t="s">
        <v>374</v>
      </c>
      <c r="K4" s="503" t="s">
        <v>377</v>
      </c>
      <c r="L4" s="512" t="s">
        <v>376</v>
      </c>
    </row>
    <row r="5" spans="1:12" ht="25.5" customHeight="1" thickBot="1">
      <c r="A5" s="504"/>
      <c r="B5" s="505"/>
      <c r="C5" s="507"/>
      <c r="D5" s="507"/>
      <c r="E5" s="509"/>
      <c r="F5" s="511"/>
      <c r="G5" s="504"/>
      <c r="H5" s="505"/>
      <c r="I5" s="507"/>
      <c r="J5" s="507"/>
      <c r="K5" s="505"/>
      <c r="L5" s="513"/>
    </row>
    <row r="6" spans="1:12" ht="14.25" thickTop="1">
      <c r="A6" s="484" t="s">
        <v>250</v>
      </c>
      <c r="B6" s="488"/>
      <c r="C6" s="360">
        <f>SUM(C7:C16)</f>
        <v>65081166</v>
      </c>
      <c r="D6" s="360">
        <f>SUM(D7:D16)</f>
        <v>65635130</v>
      </c>
      <c r="E6" s="361">
        <f>SUM(E7:E16)</f>
        <v>553964</v>
      </c>
      <c r="F6" s="362"/>
      <c r="G6" s="484" t="s">
        <v>250</v>
      </c>
      <c r="H6" s="488"/>
      <c r="I6" s="360">
        <f>SUM(I7:I20)</f>
        <v>65081166</v>
      </c>
      <c r="J6" s="360">
        <f>SUM(J7:J20)</f>
        <v>65635130</v>
      </c>
      <c r="K6" s="361">
        <f>SUM(K7:K20)</f>
        <v>553964</v>
      </c>
      <c r="L6" s="363"/>
    </row>
    <row r="7" spans="1:12" ht="31.5">
      <c r="A7" s="364" t="s">
        <v>315</v>
      </c>
      <c r="B7" s="365" t="s">
        <v>315</v>
      </c>
      <c r="C7" s="366">
        <v>9000000</v>
      </c>
      <c r="D7" s="366">
        <v>7200000</v>
      </c>
      <c r="E7" s="367">
        <f>D7-C7</f>
        <v>-1800000</v>
      </c>
      <c r="F7" s="389" t="s">
        <v>379</v>
      </c>
      <c r="G7" s="482" t="s">
        <v>299</v>
      </c>
      <c r="H7" s="365" t="s">
        <v>302</v>
      </c>
      <c r="I7" s="366">
        <v>40008440</v>
      </c>
      <c r="J7" s="366">
        <v>41444630</v>
      </c>
      <c r="K7" s="368">
        <f>J7-I7</f>
        <v>1436190</v>
      </c>
      <c r="L7" s="369" t="s">
        <v>372</v>
      </c>
    </row>
    <row r="8" spans="1:12" ht="25.5" customHeight="1">
      <c r="A8" s="489" t="s">
        <v>396</v>
      </c>
      <c r="B8" s="365" t="s">
        <v>365</v>
      </c>
      <c r="C8" s="366">
        <v>15190185</v>
      </c>
      <c r="D8" s="366">
        <v>3825000</v>
      </c>
      <c r="E8" s="367">
        <f>D8-C8</f>
        <v>-11365185</v>
      </c>
      <c r="F8" s="389" t="s">
        <v>380</v>
      </c>
      <c r="G8" s="483"/>
      <c r="H8" s="365" t="s">
        <v>399</v>
      </c>
      <c r="I8" s="366">
        <v>0</v>
      </c>
      <c r="J8" s="366">
        <v>200000</v>
      </c>
      <c r="K8" s="368">
        <f>J8-I8</f>
        <v>200000</v>
      </c>
      <c r="L8" s="514" t="s">
        <v>400</v>
      </c>
    </row>
    <row r="9" spans="1:12" ht="45.75" customHeight="1">
      <c r="A9" s="491"/>
      <c r="B9" s="365" t="s">
        <v>366</v>
      </c>
      <c r="C9" s="366">
        <v>35443815</v>
      </c>
      <c r="D9" s="366">
        <v>49300000</v>
      </c>
      <c r="E9" s="367">
        <f>D9-C9</f>
        <v>13856185</v>
      </c>
      <c r="F9" s="389" t="s">
        <v>381</v>
      </c>
      <c r="G9" s="483"/>
      <c r="H9" s="365" t="s">
        <v>303</v>
      </c>
      <c r="I9" s="366">
        <v>70080</v>
      </c>
      <c r="J9" s="366">
        <v>50080</v>
      </c>
      <c r="K9" s="368">
        <f>J9-I9</f>
        <v>-20000</v>
      </c>
      <c r="L9" s="371"/>
    </row>
    <row r="10" spans="1:12" ht="23.25" customHeight="1">
      <c r="A10" s="490" t="s">
        <v>397</v>
      </c>
      <c r="B10" s="365" t="s">
        <v>383</v>
      </c>
      <c r="C10" s="366">
        <v>0</v>
      </c>
      <c r="D10" s="366">
        <v>0</v>
      </c>
      <c r="E10" s="367">
        <f t="shared" ref="E10:E16" si="0">D10-C10</f>
        <v>0</v>
      </c>
      <c r="F10" s="367"/>
      <c r="G10" s="484"/>
      <c r="H10" s="365" t="s">
        <v>304</v>
      </c>
      <c r="I10" s="366">
        <v>5549846</v>
      </c>
      <c r="J10" s="372">
        <v>5525330</v>
      </c>
      <c r="K10" s="368">
        <f>J10-I10</f>
        <v>-24516</v>
      </c>
      <c r="L10" s="371" t="s">
        <v>349</v>
      </c>
    </row>
    <row r="11" spans="1:12" ht="19.5" customHeight="1">
      <c r="A11" s="490"/>
      <c r="B11" s="365" t="s">
        <v>382</v>
      </c>
      <c r="C11" s="366">
        <v>100000</v>
      </c>
      <c r="D11" s="366">
        <v>200000</v>
      </c>
      <c r="E11" s="367">
        <f t="shared" si="0"/>
        <v>100000</v>
      </c>
      <c r="F11" s="367"/>
      <c r="G11" s="489" t="s">
        <v>298</v>
      </c>
      <c r="H11" s="365" t="s">
        <v>305</v>
      </c>
      <c r="I11" s="366">
        <v>0</v>
      </c>
      <c r="J11" s="366">
        <v>0</v>
      </c>
      <c r="K11" s="368">
        <f t="shared" ref="K11:K20" si="1">J11-I11</f>
        <v>0</v>
      </c>
      <c r="L11" s="371"/>
    </row>
    <row r="12" spans="1:12" ht="25.5" customHeight="1">
      <c r="A12" s="373" t="s">
        <v>317</v>
      </c>
      <c r="B12" s="365" t="s">
        <v>384</v>
      </c>
      <c r="C12" s="366">
        <v>4818810</v>
      </c>
      <c r="D12" s="366">
        <v>4976240</v>
      </c>
      <c r="E12" s="367">
        <f t="shared" si="0"/>
        <v>157430</v>
      </c>
      <c r="F12" s="370"/>
      <c r="G12" s="490"/>
      <c r="H12" s="365" t="s">
        <v>307</v>
      </c>
      <c r="I12" s="366">
        <v>1394000</v>
      </c>
      <c r="J12" s="366">
        <v>3000000</v>
      </c>
      <c r="K12" s="368">
        <f t="shared" ref="K12:K17" si="2">J12-I12</f>
        <v>1606000</v>
      </c>
      <c r="L12" s="371" t="s">
        <v>370</v>
      </c>
    </row>
    <row r="13" spans="1:12" ht="26.25" customHeight="1">
      <c r="A13" s="482" t="s">
        <v>318</v>
      </c>
      <c r="B13" s="485" t="s">
        <v>385</v>
      </c>
      <c r="C13" s="492">
        <v>517356</v>
      </c>
      <c r="D13" s="492">
        <v>122890</v>
      </c>
      <c r="E13" s="495">
        <f>D13-C13</f>
        <v>-394466</v>
      </c>
      <c r="F13" s="479" t="s">
        <v>369</v>
      </c>
      <c r="G13" s="491"/>
      <c r="H13" s="365" t="s">
        <v>306</v>
      </c>
      <c r="I13" s="366">
        <v>2114000</v>
      </c>
      <c r="J13" s="366">
        <v>0</v>
      </c>
      <c r="K13" s="368">
        <f t="shared" si="2"/>
        <v>-2114000</v>
      </c>
      <c r="L13" s="371" t="s">
        <v>371</v>
      </c>
    </row>
    <row r="14" spans="1:12" ht="20.25" customHeight="1">
      <c r="A14" s="483"/>
      <c r="B14" s="486"/>
      <c r="C14" s="493"/>
      <c r="D14" s="493"/>
      <c r="E14" s="496"/>
      <c r="F14" s="480"/>
      <c r="G14" s="482" t="s">
        <v>300</v>
      </c>
      <c r="H14" s="365" t="s">
        <v>308</v>
      </c>
      <c r="I14" s="366">
        <v>11155740</v>
      </c>
      <c r="J14" s="366">
        <v>11160000</v>
      </c>
      <c r="K14" s="368">
        <f t="shared" si="2"/>
        <v>4260</v>
      </c>
      <c r="L14" s="371"/>
    </row>
    <row r="15" spans="1:12" ht="26.25" customHeight="1">
      <c r="A15" s="484"/>
      <c r="B15" s="487"/>
      <c r="C15" s="494"/>
      <c r="D15" s="494"/>
      <c r="E15" s="497"/>
      <c r="F15" s="481"/>
      <c r="G15" s="483"/>
      <c r="H15" s="365" t="s">
        <v>309</v>
      </c>
      <c r="I15" s="366">
        <v>620820</v>
      </c>
      <c r="J15" s="366">
        <v>1100000</v>
      </c>
      <c r="K15" s="368">
        <f t="shared" si="2"/>
        <v>479180</v>
      </c>
      <c r="L15" s="514" t="s">
        <v>401</v>
      </c>
    </row>
    <row r="16" spans="1:12" ht="18.75" customHeight="1" thickBot="1">
      <c r="A16" s="387" t="s">
        <v>319</v>
      </c>
      <c r="B16" s="377" t="s">
        <v>316</v>
      </c>
      <c r="C16" s="374">
        <v>11000</v>
      </c>
      <c r="D16" s="374">
        <v>11000</v>
      </c>
      <c r="E16" s="378">
        <f t="shared" si="0"/>
        <v>0</v>
      </c>
      <c r="F16" s="388"/>
      <c r="G16" s="483"/>
      <c r="H16" s="365" t="s">
        <v>310</v>
      </c>
      <c r="I16" s="366">
        <v>125000</v>
      </c>
      <c r="J16" s="366">
        <v>100000</v>
      </c>
      <c r="K16" s="368">
        <f t="shared" si="2"/>
        <v>-25000</v>
      </c>
      <c r="L16" s="371"/>
    </row>
    <row r="17" spans="1:12" ht="24.75" customHeight="1">
      <c r="A17" s="515"/>
      <c r="B17" s="390"/>
      <c r="C17" s="390"/>
      <c r="D17" s="390"/>
      <c r="E17" s="390"/>
      <c r="F17" s="391"/>
      <c r="G17" s="483"/>
      <c r="H17" s="365" t="s">
        <v>311</v>
      </c>
      <c r="I17" s="366">
        <v>237100</v>
      </c>
      <c r="J17" s="366">
        <v>218000</v>
      </c>
      <c r="K17" s="368">
        <f t="shared" si="2"/>
        <v>-19100</v>
      </c>
      <c r="L17" s="371"/>
    </row>
    <row r="18" spans="1:12" ht="15" customHeight="1">
      <c r="A18" s="392"/>
      <c r="B18" s="392"/>
      <c r="C18" s="392"/>
      <c r="D18" s="392"/>
      <c r="E18" s="392"/>
      <c r="F18" s="393"/>
      <c r="G18" s="483"/>
      <c r="H18" s="365" t="s">
        <v>312</v>
      </c>
      <c r="I18" s="366">
        <v>79200</v>
      </c>
      <c r="J18" s="366">
        <v>79200</v>
      </c>
      <c r="K18" s="368">
        <f t="shared" si="1"/>
        <v>0</v>
      </c>
      <c r="L18" s="371"/>
    </row>
    <row r="19" spans="1:12" ht="27" customHeight="1">
      <c r="A19" s="392"/>
      <c r="B19" s="392"/>
      <c r="C19" s="392"/>
      <c r="D19" s="392"/>
      <c r="E19" s="392"/>
      <c r="F19" s="393"/>
      <c r="G19" s="484"/>
      <c r="H19" s="365" t="s">
        <v>313</v>
      </c>
      <c r="I19" s="366">
        <v>3720050</v>
      </c>
      <c r="J19" s="366">
        <v>2751000</v>
      </c>
      <c r="K19" s="368">
        <f>J19-I19</f>
        <v>-969050</v>
      </c>
      <c r="L19" s="371" t="s">
        <v>297</v>
      </c>
    </row>
    <row r="20" spans="1:12" ht="30" customHeight="1" thickBot="1">
      <c r="A20" s="392"/>
      <c r="B20" s="392"/>
      <c r="C20" s="392"/>
      <c r="D20" s="392"/>
      <c r="E20" s="392"/>
      <c r="F20" s="392"/>
      <c r="G20" s="376" t="s">
        <v>301</v>
      </c>
      <c r="H20" s="377" t="s">
        <v>314</v>
      </c>
      <c r="I20" s="374">
        <v>6890</v>
      </c>
      <c r="J20" s="374">
        <v>6890</v>
      </c>
      <c r="K20" s="378">
        <f t="shared" si="1"/>
        <v>0</v>
      </c>
      <c r="L20" s="375"/>
    </row>
    <row r="21" spans="1:12" ht="34.5" customHeight="1">
      <c r="A21" s="392"/>
      <c r="B21" s="392"/>
      <c r="C21" s="392"/>
      <c r="D21" s="392"/>
      <c r="E21" s="392"/>
      <c r="F21" s="392"/>
      <c r="G21" s="390"/>
    </row>
    <row r="22" spans="1:12" ht="29.25" customHeight="1">
      <c r="G22" s="392"/>
    </row>
  </sheetData>
  <mergeCells count="25">
    <mergeCell ref="A3:F3"/>
    <mergeCell ref="G3:L3"/>
    <mergeCell ref="A4:B5"/>
    <mergeCell ref="C4:C5"/>
    <mergeCell ref="D4:D5"/>
    <mergeCell ref="E4:E5"/>
    <mergeCell ref="F4:F5"/>
    <mergeCell ref="G4:H5"/>
    <mergeCell ref="I4:I5"/>
    <mergeCell ref="J4:J5"/>
    <mergeCell ref="K4:K5"/>
    <mergeCell ref="L4:L5"/>
    <mergeCell ref="F13:F15"/>
    <mergeCell ref="A13:A15"/>
    <mergeCell ref="B13:B15"/>
    <mergeCell ref="A6:B6"/>
    <mergeCell ref="G6:H6"/>
    <mergeCell ref="G7:G10"/>
    <mergeCell ref="G11:G13"/>
    <mergeCell ref="A8:A9"/>
    <mergeCell ref="A10:A11"/>
    <mergeCell ref="C13:C15"/>
    <mergeCell ref="D13:D15"/>
    <mergeCell ref="E13:E15"/>
    <mergeCell ref="G14:G1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세입세출총괄표</vt:lpstr>
      <vt:lpstr>세입</vt:lpstr>
      <vt:lpstr>세출</vt:lpstr>
      <vt:lpstr>증감사유</vt:lpstr>
      <vt:lpstr>세입!Print_Area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revision>65</cp:revision>
  <cp:lastPrinted>2013-12-17T13:39:08Z</cp:lastPrinted>
  <dcterms:created xsi:type="dcterms:W3CDTF">2003-12-18T04:11:57Z</dcterms:created>
  <dcterms:modified xsi:type="dcterms:W3CDTF">2013-12-17T13:39:12Z</dcterms:modified>
</cp:coreProperties>
</file>