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6875" windowHeight="9015"/>
  </bookViews>
  <sheets>
    <sheet name="세입세출총괄표" sheetId="18" r:id="rId1"/>
    <sheet name="세입" sheetId="4" r:id="rId2"/>
    <sheet name="세출" sheetId="5" r:id="rId3"/>
    <sheet name="증감사유" sheetId="19" r:id="rId4"/>
  </sheets>
  <externalReferences>
    <externalReference r:id="rId5"/>
  </externalReferences>
  <definedNames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[1]세입!#REF!</definedName>
    <definedName name="가계보조수당">세입!#REF!</definedName>
    <definedName name="가족수당" localSheetId="2">세출!$AD$25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[1]세입!#REF!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0">[1]세입!#REF!</definedName>
    <definedName name="사회보험" localSheetId="3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[1]세입!#REF!</definedName>
    <definedName name="수정제수당총액">세입!#REF!</definedName>
    <definedName name="연장근로수당" localSheetId="2">세출!$AD$29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세출!$AD$84</definedName>
    <definedName name="증감사유1">[1]세입!#REF!</definedName>
    <definedName name="직원급식비" localSheetId="0">[1]세입!#REF!</definedName>
    <definedName name="직원급식비" localSheetId="3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[1]세입!#REF!</definedName>
    <definedName name="특수근무수당3">세입!#REF!</definedName>
    <definedName name="프로그램지원금" localSheetId="1">세입!#REF!</definedName>
    <definedName name="_xlnm.Print_Area" localSheetId="1">세입!$A$1:$Y$272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I205" i="5"/>
  <c r="AD207"/>
  <c r="J205" s="1"/>
  <c r="AD166"/>
  <c r="AD40"/>
  <c r="S50" s="1"/>
  <c r="S53"/>
  <c r="AD53" s="1"/>
  <c r="AD211"/>
  <c r="AD44"/>
  <c r="AD231"/>
  <c r="X242" i="4"/>
  <c r="X187"/>
  <c r="X186" s="1"/>
  <c r="AD39" i="5" l="1"/>
  <c r="M191" i="4"/>
  <c r="X191" s="1"/>
  <c r="X184" l="1"/>
  <c r="X150"/>
  <c r="X120" l="1"/>
  <c r="X106"/>
  <c r="X105"/>
  <c r="X104"/>
  <c r="X48"/>
  <c r="X46"/>
  <c r="X16"/>
  <c r="AD313" i="5"/>
  <c r="AD249"/>
  <c r="AD320"/>
  <c r="AD179"/>
  <c r="AD87"/>
  <c r="AD91"/>
  <c r="AD90"/>
  <c r="X205" i="4"/>
  <c r="X199"/>
  <c r="X114" l="1"/>
  <c r="K7" i="19" l="1"/>
  <c r="J7"/>
  <c r="E7" l="1"/>
  <c r="D7"/>
  <c r="AD114" i="5" l="1"/>
  <c r="L342"/>
  <c r="K342"/>
  <c r="J342"/>
  <c r="I342"/>
  <c r="H342"/>
  <c r="G342"/>
  <c r="F342"/>
  <c r="AD206"/>
  <c r="I7" i="18"/>
  <c r="D7"/>
  <c r="AD46" i="5" l="1"/>
  <c r="X220" i="4" l="1"/>
  <c r="AD324" i="5"/>
  <c r="X53" i="4"/>
  <c r="X89"/>
  <c r="X82" l="1"/>
  <c r="X21"/>
  <c r="D242" i="5"/>
  <c r="D341"/>
  <c r="D337"/>
  <c r="D323"/>
  <c r="D183"/>
  <c r="D182" s="1"/>
  <c r="E216" i="4"/>
  <c r="E265"/>
  <c r="E253"/>
  <c r="E250"/>
  <c r="H247"/>
  <c r="E246"/>
  <c r="H246" s="1"/>
  <c r="E241"/>
  <c r="E167"/>
  <c r="E171"/>
  <c r="E147"/>
  <c r="E156"/>
  <c r="E143"/>
  <c r="E78"/>
  <c r="E166" l="1"/>
  <c r="E146"/>
  <c r="E249"/>
  <c r="E215"/>
  <c r="E17"/>
  <c r="H251"/>
  <c r="H250"/>
  <c r="H168"/>
  <c r="H167"/>
  <c r="H164"/>
  <c r="H161"/>
  <c r="H144"/>
  <c r="H143"/>
  <c r="E12"/>
  <c r="X212"/>
  <c r="X210"/>
  <c r="X209"/>
  <c r="X208"/>
  <c r="X203"/>
  <c r="X198"/>
  <c r="X197"/>
  <c r="X196"/>
  <c r="X195"/>
  <c r="X194"/>
  <c r="X183"/>
  <c r="X182" s="1"/>
  <c r="X174"/>
  <c r="M180" s="1"/>
  <c r="X180" s="1"/>
  <c r="X155"/>
  <c r="X154" s="1"/>
  <c r="F154" s="1"/>
  <c r="G154" s="1"/>
  <c r="H154" s="1"/>
  <c r="X270"/>
  <c r="X269"/>
  <c r="X268"/>
  <c r="X267"/>
  <c r="E11" l="1"/>
  <c r="X266"/>
  <c r="F266" s="1"/>
  <c r="F265" s="1"/>
  <c r="G265" s="1"/>
  <c r="H265" s="1"/>
  <c r="X202"/>
  <c r="X207"/>
  <c r="X193"/>
  <c r="M175"/>
  <c r="X175" s="1"/>
  <c r="M176"/>
  <c r="X176" s="1"/>
  <c r="M177" s="1"/>
  <c r="X177" s="1"/>
  <c r="M178"/>
  <c r="X178" s="1"/>
  <c r="M179"/>
  <c r="X179" s="1"/>
  <c r="M190" l="1"/>
  <c r="X190" s="1"/>
  <c r="X189" s="1"/>
  <c r="G266"/>
  <c r="H266" s="1"/>
  <c r="X173"/>
  <c r="X172" l="1"/>
  <c r="F172" s="1"/>
  <c r="F171" s="1"/>
  <c r="G171" s="1"/>
  <c r="H171" s="1"/>
  <c r="X254"/>
  <c r="F254" s="1"/>
  <c r="X241"/>
  <c r="X237"/>
  <c r="F237" s="1"/>
  <c r="G237" s="1"/>
  <c r="H237" s="1"/>
  <c r="X233"/>
  <c r="F233" s="1"/>
  <c r="G233" s="1"/>
  <c r="H233" s="1"/>
  <c r="F220"/>
  <c r="G220" s="1"/>
  <c r="H220" s="1"/>
  <c r="X217"/>
  <c r="F217" s="1"/>
  <c r="G217" s="1"/>
  <c r="H217" s="1"/>
  <c r="E163"/>
  <c r="H163" s="1"/>
  <c r="E160"/>
  <c r="H160" s="1"/>
  <c r="X163"/>
  <c r="X161"/>
  <c r="X160" s="1"/>
  <c r="F164"/>
  <c r="F161"/>
  <c r="X141"/>
  <c r="X137"/>
  <c r="X76"/>
  <c r="X75" s="1"/>
  <c r="F75" s="1"/>
  <c r="G75" s="1"/>
  <c r="H75" s="1"/>
  <c r="X134"/>
  <c r="X133"/>
  <c r="X132"/>
  <c r="X131"/>
  <c r="X73"/>
  <c r="X72"/>
  <c r="X71"/>
  <c r="X70"/>
  <c r="M122"/>
  <c r="M128" s="1"/>
  <c r="X128" s="1"/>
  <c r="X119"/>
  <c r="X118"/>
  <c r="X117"/>
  <c r="X115"/>
  <c r="X59"/>
  <c r="X54"/>
  <c r="M61"/>
  <c r="M67" s="1"/>
  <c r="X67" s="1"/>
  <c r="X58"/>
  <c r="X57"/>
  <c r="X56"/>
  <c r="X107"/>
  <c r="X43"/>
  <c r="X109"/>
  <c r="X44"/>
  <c r="X45"/>
  <c r="X101"/>
  <c r="X100"/>
  <c r="X40"/>
  <c r="X39"/>
  <c r="X87"/>
  <c r="M91"/>
  <c r="X88"/>
  <c r="X85"/>
  <c r="M30"/>
  <c r="X30" s="1"/>
  <c r="X28"/>
  <c r="X27"/>
  <c r="X26"/>
  <c r="G172" l="1"/>
  <c r="H172" s="1"/>
  <c r="M97"/>
  <c r="X97" s="1"/>
  <c r="X91"/>
  <c r="X90" s="1"/>
  <c r="M36"/>
  <c r="X36" s="1"/>
  <c r="X29"/>
  <c r="F163"/>
  <c r="G163" s="1"/>
  <c r="G164"/>
  <c r="F253"/>
  <c r="G253" s="1"/>
  <c r="H253" s="1"/>
  <c r="G254"/>
  <c r="H254" s="1"/>
  <c r="F160"/>
  <c r="G160" s="1"/>
  <c r="G161"/>
  <c r="X69"/>
  <c r="X25"/>
  <c r="X136"/>
  <c r="F136" s="1"/>
  <c r="G136" s="1"/>
  <c r="H136" s="1"/>
  <c r="X38"/>
  <c r="F38" s="1"/>
  <c r="G38" s="1"/>
  <c r="H38" s="1"/>
  <c r="X99"/>
  <c r="X130"/>
  <c r="X159"/>
  <c r="X216"/>
  <c r="X55"/>
  <c r="X52"/>
  <c r="F242"/>
  <c r="F216"/>
  <c r="G216" s="1"/>
  <c r="H216" s="1"/>
  <c r="E159"/>
  <c r="X61"/>
  <c r="X60" s="1"/>
  <c r="X42"/>
  <c r="F42" s="1"/>
  <c r="G42" s="1"/>
  <c r="H42" s="1"/>
  <c r="X113"/>
  <c r="X116"/>
  <c r="X122"/>
  <c r="X121" s="1"/>
  <c r="M124"/>
  <c r="X124" s="1"/>
  <c r="M125"/>
  <c r="X125" s="1"/>
  <c r="M127"/>
  <c r="X127" s="1"/>
  <c r="M63"/>
  <c r="X63" s="1"/>
  <c r="M64"/>
  <c r="X64" s="1"/>
  <c r="M65" s="1"/>
  <c r="X65" s="1"/>
  <c r="M66"/>
  <c r="X66" s="1"/>
  <c r="X103"/>
  <c r="F103" s="1"/>
  <c r="G103" s="1"/>
  <c r="H103" s="1"/>
  <c r="X86"/>
  <c r="M93"/>
  <c r="X93" s="1"/>
  <c r="M94"/>
  <c r="M96"/>
  <c r="X96" s="1"/>
  <c r="M32"/>
  <c r="X32" s="1"/>
  <c r="M35"/>
  <c r="X35" s="1"/>
  <c r="M33"/>
  <c r="X33" s="1"/>
  <c r="X94" l="1"/>
  <c r="M95" s="1"/>
  <c r="X95" s="1"/>
  <c r="X92" s="1"/>
  <c r="X84" s="1"/>
  <c r="F84" s="1"/>
  <c r="G84" s="1"/>
  <c r="H84" s="1"/>
  <c r="F159"/>
  <c r="G159" s="1"/>
  <c r="E4"/>
  <c r="H159"/>
  <c r="F241"/>
  <c r="G241" s="1"/>
  <c r="H241" s="1"/>
  <c r="G242"/>
  <c r="H242" s="1"/>
  <c r="M126"/>
  <c r="X126" s="1"/>
  <c r="X62"/>
  <c r="X51" s="1"/>
  <c r="X50" s="1"/>
  <c r="F50" s="1"/>
  <c r="G50" s="1"/>
  <c r="H50" s="1"/>
  <c r="X123" l="1"/>
  <c r="X112" s="1"/>
  <c r="X111" s="1"/>
  <c r="F111" l="1"/>
  <c r="G111" s="1"/>
  <c r="H111" s="1"/>
  <c r="X24" l="1"/>
  <c r="M34" l="1"/>
  <c r="X34" l="1"/>
  <c r="X31" s="1"/>
  <c r="X23" s="1"/>
  <c r="F23" s="1"/>
  <c r="G23" s="1"/>
  <c r="H23" s="1"/>
  <c r="X19" l="1"/>
  <c r="X14"/>
  <c r="X9"/>
  <c r="X15"/>
  <c r="X20"/>
  <c r="F144"/>
  <c r="X265"/>
  <c r="X253"/>
  <c r="X252"/>
  <c r="X251" s="1"/>
  <c r="F251" s="1"/>
  <c r="X247"/>
  <c r="X171"/>
  <c r="X168"/>
  <c r="X143"/>
  <c r="F99" s="1"/>
  <c r="G99" s="1"/>
  <c r="H99" s="1"/>
  <c r="X81"/>
  <c r="X80"/>
  <c r="F250" l="1"/>
  <c r="G251"/>
  <c r="F143"/>
  <c r="G143" s="1"/>
  <c r="G144"/>
  <c r="X167"/>
  <c r="F168"/>
  <c r="X246"/>
  <c r="X215" s="1"/>
  <c r="F247"/>
  <c r="X13"/>
  <c r="X79"/>
  <c r="X18"/>
  <c r="X17" s="1"/>
  <c r="X250"/>
  <c r="X249" s="1"/>
  <c r="X166"/>
  <c r="F249" l="1"/>
  <c r="G249" s="1"/>
  <c r="H249" s="1"/>
  <c r="G250"/>
  <c r="F246"/>
  <c r="G247"/>
  <c r="F167"/>
  <c r="G168"/>
  <c r="F79"/>
  <c r="X78"/>
  <c r="F13"/>
  <c r="X12"/>
  <c r="F18"/>
  <c r="F9"/>
  <c r="G9" s="1"/>
  <c r="H9"/>
  <c r="X7"/>
  <c r="L22" i="19"/>
  <c r="L21"/>
  <c r="L20"/>
  <c r="L19"/>
  <c r="L18"/>
  <c r="L17"/>
  <c r="L16"/>
  <c r="F16"/>
  <c r="L15"/>
  <c r="F15"/>
  <c r="L14"/>
  <c r="F14"/>
  <c r="L13"/>
  <c r="F13"/>
  <c r="L12"/>
  <c r="F12"/>
  <c r="L11"/>
  <c r="F11"/>
  <c r="L10"/>
  <c r="F10"/>
  <c r="L9"/>
  <c r="F9"/>
  <c r="L8"/>
  <c r="F8"/>
  <c r="L7"/>
  <c r="F7"/>
  <c r="X11" i="4" l="1"/>
  <c r="F166"/>
  <c r="G166" s="1"/>
  <c r="H166" s="1"/>
  <c r="G167"/>
  <c r="F215"/>
  <c r="G215" s="1"/>
  <c r="H215" s="1"/>
  <c r="G246"/>
  <c r="F78"/>
  <c r="G78" s="1"/>
  <c r="H78" s="1"/>
  <c r="G79"/>
  <c r="H79" s="1"/>
  <c r="F17"/>
  <c r="G17" s="1"/>
  <c r="H17" s="1"/>
  <c r="G18"/>
  <c r="H18" s="1"/>
  <c r="F12"/>
  <c r="G12" s="1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AD50" i="5"/>
  <c r="AD159"/>
  <c r="AD89"/>
  <c r="G82" s="1"/>
  <c r="AD233"/>
  <c r="AD189"/>
  <c r="AD171"/>
  <c r="AD170"/>
  <c r="AD169"/>
  <c r="AD161"/>
  <c r="AD158"/>
  <c r="AD93"/>
  <c r="I163" l="1"/>
  <c r="X157" i="4"/>
  <c r="X149"/>
  <c r="AD212" i="5"/>
  <c r="F205" s="1"/>
  <c r="AD208"/>
  <c r="AD279"/>
  <c r="AD21"/>
  <c r="D204"/>
  <c r="D203" s="1"/>
  <c r="D111"/>
  <c r="D100"/>
  <c r="S59"/>
  <c r="AD59" s="1"/>
  <c r="X148" i="4" l="1"/>
  <c r="X147" s="1"/>
  <c r="X156"/>
  <c r="F157"/>
  <c r="S64" i="5"/>
  <c r="S58"/>
  <c r="AD58" s="1"/>
  <c r="F341"/>
  <c r="G341"/>
  <c r="H341"/>
  <c r="I341"/>
  <c r="J341"/>
  <c r="K341"/>
  <c r="L341"/>
  <c r="AD342"/>
  <c r="AD341" s="1"/>
  <c r="F337"/>
  <c r="G337"/>
  <c r="H337"/>
  <c r="I337"/>
  <c r="J337"/>
  <c r="K337"/>
  <c r="L337"/>
  <c r="AD338"/>
  <c r="I323"/>
  <c r="J323"/>
  <c r="K323"/>
  <c r="L323"/>
  <c r="H323"/>
  <c r="G323"/>
  <c r="F323"/>
  <c r="F111"/>
  <c r="G111"/>
  <c r="H111"/>
  <c r="I111"/>
  <c r="J111"/>
  <c r="G242"/>
  <c r="H242"/>
  <c r="I242"/>
  <c r="J242"/>
  <c r="K242"/>
  <c r="L242"/>
  <c r="G204"/>
  <c r="K204"/>
  <c r="AD240"/>
  <c r="AD239"/>
  <c r="AD238"/>
  <c r="AD226"/>
  <c r="I225" s="1"/>
  <c r="AD218"/>
  <c r="AD215"/>
  <c r="AD196"/>
  <c r="AD195"/>
  <c r="F183"/>
  <c r="F182" s="1"/>
  <c r="G183"/>
  <c r="G182" s="1"/>
  <c r="H183"/>
  <c r="H182" s="1"/>
  <c r="I183"/>
  <c r="I182" s="1"/>
  <c r="J183"/>
  <c r="J182" s="1"/>
  <c r="K183"/>
  <c r="K182" s="1"/>
  <c r="L183"/>
  <c r="L182" s="1"/>
  <c r="AD187"/>
  <c r="AD184"/>
  <c r="E184" s="1"/>
  <c r="M184" s="1"/>
  <c r="N184" s="1"/>
  <c r="AD165"/>
  <c r="AD157"/>
  <c r="AD137"/>
  <c r="AD136"/>
  <c r="AD138"/>
  <c r="AD140"/>
  <c r="AD139"/>
  <c r="AD128"/>
  <c r="AD113"/>
  <c r="H6"/>
  <c r="J6"/>
  <c r="F100"/>
  <c r="G100"/>
  <c r="H100"/>
  <c r="I100"/>
  <c r="J100"/>
  <c r="L100"/>
  <c r="AD101"/>
  <c r="K101" s="1"/>
  <c r="AD135" l="1"/>
  <c r="S74"/>
  <c r="AD74" s="1"/>
  <c r="AD64"/>
  <c r="S69" s="1"/>
  <c r="AD69" s="1"/>
  <c r="S63"/>
  <c r="S73" s="1"/>
  <c r="S78" s="1"/>
  <c r="F156" i="4"/>
  <c r="G156" s="1"/>
  <c r="H156" s="1"/>
  <c r="G157"/>
  <c r="H157" s="1"/>
  <c r="X146"/>
  <c r="F148"/>
  <c r="E342" i="5"/>
  <c r="K203"/>
  <c r="J5"/>
  <c r="G203"/>
  <c r="H5"/>
  <c r="AD237"/>
  <c r="AD194"/>
  <c r="AD183" s="1"/>
  <c r="AD112"/>
  <c r="AD80"/>
  <c r="AD78"/>
  <c r="AD75"/>
  <c r="AD73"/>
  <c r="AD65"/>
  <c r="S70" s="1"/>
  <c r="AD70" s="1"/>
  <c r="AD63"/>
  <c r="S68" s="1"/>
  <c r="AD68" s="1"/>
  <c r="AD60"/>
  <c r="S79" l="1"/>
  <c r="AD79" s="1"/>
  <c r="F147" i="4"/>
  <c r="G148"/>
  <c r="H148" s="1"/>
  <c r="F243" i="5"/>
  <c r="AD309"/>
  <c r="J204"/>
  <c r="J203" s="1"/>
  <c r="J4" s="1"/>
  <c r="AD227"/>
  <c r="AD232"/>
  <c r="I229" s="1"/>
  <c r="I204" s="1"/>
  <c r="I203" s="1"/>
  <c r="AD298"/>
  <c r="AD291"/>
  <c r="AD287"/>
  <c r="AD273"/>
  <c r="AD271"/>
  <c r="AD264" s="1"/>
  <c r="AD257"/>
  <c r="AD245"/>
  <c r="AD243" l="1"/>
  <c r="F146" i="4"/>
  <c r="G146" s="1"/>
  <c r="H146" s="1"/>
  <c r="G147"/>
  <c r="H147" s="1"/>
  <c r="F242" i="5"/>
  <c r="H225"/>
  <c r="AD225"/>
  <c r="E225" s="1"/>
  <c r="AD242" l="1"/>
  <c r="E243"/>
  <c r="K55"/>
  <c r="F55"/>
  <c r="G55"/>
  <c r="G20"/>
  <c r="F20"/>
  <c r="AD7"/>
  <c r="E7" s="1"/>
  <c r="K7"/>
  <c r="G7"/>
  <c r="F7"/>
  <c r="E242" l="1"/>
  <c r="M243"/>
  <c r="N243" s="1"/>
  <c r="X6" i="4"/>
  <c r="X5" s="1"/>
  <c r="F5" l="1"/>
  <c r="F4" s="1"/>
  <c r="X4"/>
  <c r="M7" i="5"/>
  <c r="AD48"/>
  <c r="AD37"/>
  <c r="AD35" s="1"/>
  <c r="AD36"/>
  <c r="AD77"/>
  <c r="AD72"/>
  <c r="AD67"/>
  <c r="AD62"/>
  <c r="AD57"/>
  <c r="AD45"/>
  <c r="G42" s="1"/>
  <c r="AD29"/>
  <c r="G5" i="4" l="1"/>
  <c r="G4" s="1"/>
  <c r="H4" s="1"/>
  <c r="AD52" i="5"/>
  <c r="I42" s="1"/>
  <c r="AD55"/>
  <c r="E55" s="1"/>
  <c r="M55" s="1"/>
  <c r="N55" s="1"/>
  <c r="AD43"/>
  <c r="S49" l="1"/>
  <c r="AD49" s="1"/>
  <c r="AD47" s="1"/>
  <c r="AD42" s="1"/>
  <c r="E42" s="1"/>
  <c r="K20"/>
  <c r="F42"/>
  <c r="F6" s="1"/>
  <c r="F5" s="1"/>
  <c r="K42" l="1"/>
  <c r="AD323"/>
  <c r="AD216"/>
  <c r="L205" s="1"/>
  <c r="AD177"/>
  <c r="L111" s="1"/>
  <c r="AD176"/>
  <c r="K163" s="1"/>
  <c r="AD109"/>
  <c r="AD106" s="1"/>
  <c r="AD98"/>
  <c r="I82" s="1"/>
  <c r="I6" s="1"/>
  <c r="I5" s="1"/>
  <c r="I4" s="1"/>
  <c r="AD94"/>
  <c r="AD92"/>
  <c r="AD86"/>
  <c r="AD85"/>
  <c r="AD84"/>
  <c r="AD83"/>
  <c r="K82" s="1"/>
  <c r="AD25"/>
  <c r="AD20" s="1"/>
  <c r="AD18"/>
  <c r="AD16" s="1"/>
  <c r="AD145"/>
  <c r="AD146"/>
  <c r="AD147"/>
  <c r="AD132"/>
  <c r="AD133"/>
  <c r="AD209"/>
  <c r="AD210"/>
  <c r="AD230"/>
  <c r="AD229" s="1"/>
  <c r="E229" s="1"/>
  <c r="L82" l="1"/>
  <c r="L6" s="1"/>
  <c r="L5" s="1"/>
  <c r="K111"/>
  <c r="L204"/>
  <c r="L203" s="1"/>
  <c r="H205"/>
  <c r="H204" s="1"/>
  <c r="H203" s="1"/>
  <c r="H4" s="1"/>
  <c r="AD205"/>
  <c r="E187"/>
  <c r="M187" s="1"/>
  <c r="N187" s="1"/>
  <c r="AD163"/>
  <c r="AD143"/>
  <c r="E143" s="1"/>
  <c r="M143" s="1"/>
  <c r="N143" s="1"/>
  <c r="K100"/>
  <c r="AD100"/>
  <c r="M42"/>
  <c r="N42" s="1"/>
  <c r="M229"/>
  <c r="N229" s="1"/>
  <c r="AD82"/>
  <c r="E82" s="1"/>
  <c r="E20"/>
  <c r="N7"/>
  <c r="E194"/>
  <c r="AD131"/>
  <c r="AD117" s="1"/>
  <c r="E101"/>
  <c r="E112"/>
  <c r="E218"/>
  <c r="M218" s="1"/>
  <c r="N218" s="1"/>
  <c r="E324"/>
  <c r="E106"/>
  <c r="M106" s="1"/>
  <c r="N106" s="1"/>
  <c r="L4" l="1"/>
  <c r="AD111"/>
  <c r="M82"/>
  <c r="N82" s="1"/>
  <c r="G16"/>
  <c r="G6" s="1"/>
  <c r="G5" s="1"/>
  <c r="G4" s="1"/>
  <c r="AD6"/>
  <c r="E205"/>
  <c r="M205" s="1"/>
  <c r="N205" s="1"/>
  <c r="AD204"/>
  <c r="AD203" s="1"/>
  <c r="M112"/>
  <c r="N112" s="1"/>
  <c r="F204"/>
  <c r="F203" s="1"/>
  <c r="F4" s="1"/>
  <c r="M194"/>
  <c r="N194" s="1"/>
  <c r="E183"/>
  <c r="E182" s="1"/>
  <c r="AD182"/>
  <c r="E163"/>
  <c r="M163" s="1"/>
  <c r="N163" s="1"/>
  <c r="E157"/>
  <c r="M157" s="1"/>
  <c r="N157" s="1"/>
  <c r="K6"/>
  <c r="K5" s="1"/>
  <c r="K4" s="1"/>
  <c r="M101"/>
  <c r="N101" s="1"/>
  <c r="E135"/>
  <c r="M135" s="1"/>
  <c r="N135" s="1"/>
  <c r="M225"/>
  <c r="N225" s="1"/>
  <c r="E237"/>
  <c r="M237" s="1"/>
  <c r="N237" s="1"/>
  <c r="M324"/>
  <c r="N324" s="1"/>
  <c r="E323"/>
  <c r="D6"/>
  <c r="D5" s="1"/>
  <c r="D4" s="1"/>
  <c r="E16"/>
  <c r="M242"/>
  <c r="N242" s="1"/>
  <c r="E104"/>
  <c r="M104" s="1"/>
  <c r="N104" s="1"/>
  <c r="H5" i="4"/>
  <c r="E6" i="5" l="1"/>
  <c r="M16"/>
  <c r="AD5"/>
  <c r="M323"/>
  <c r="N323" s="1"/>
  <c r="E338"/>
  <c r="AD337"/>
  <c r="E204"/>
  <c r="E203" s="1"/>
  <c r="M182"/>
  <c r="N182" s="1"/>
  <c r="M183"/>
  <c r="N183" s="1"/>
  <c r="E100"/>
  <c r="M100" s="1"/>
  <c r="N100" s="1"/>
  <c r="M20"/>
  <c r="N20" s="1"/>
  <c r="E117"/>
  <c r="M342"/>
  <c r="N342" s="1"/>
  <c r="E341"/>
  <c r="M341" s="1"/>
  <c r="N341" s="1"/>
  <c r="N16"/>
  <c r="AD4" l="1"/>
  <c r="M204"/>
  <c r="N204" s="1"/>
  <c r="M338"/>
  <c r="N338" s="1"/>
  <c r="E337"/>
  <c r="M337" s="1"/>
  <c r="N337" s="1"/>
  <c r="M117"/>
  <c r="N117" s="1"/>
  <c r="E111"/>
  <c r="M111" s="1"/>
  <c r="N111" s="1"/>
  <c r="M6"/>
  <c r="N6" s="1"/>
  <c r="E5" l="1"/>
  <c r="E4" s="1"/>
  <c r="M203"/>
  <c r="N203" s="1"/>
  <c r="M4" l="1"/>
  <c r="N4" s="1"/>
  <c r="M5"/>
  <c r="N5" s="1"/>
</calcChain>
</file>

<file path=xl/sharedStrings.xml><?xml version="1.0" encoding="utf-8"?>
<sst xmlns="http://schemas.openxmlformats.org/spreadsheetml/2006/main" count="2468" uniqueCount="787">
  <si>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</si>
  <si>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</si>
  <si>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</si>
  <si>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</si>
  <si>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</si>
  <si>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</si>
  <si>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</si>
  <si>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</si>
  <si>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</si>
  <si>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</si>
  <si>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</si>
  <si>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</si>
  <si>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</si>
  <si>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</si>
  <si>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</si>
  <si>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</si>
  <si>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</si>
  <si>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</si>
  <si>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</si>
  <si>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</si>
  <si>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</si>
  <si>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</si>
  <si>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</si>
  <si>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</si>
  <si>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</si>
  <si>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</si>
  <si>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</si>
  <si>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</si>
  <si>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</si>
  <si>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</si>
  <si>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</si>
  <si>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</si>
  <si>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</si>
  <si>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</si>
  <si>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</si>
  <si>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</si>
  <si>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</si>
  <si>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</si>
  <si>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</si>
  <si>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</si>
  <si>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</si>
  <si>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</si>
  <si>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</si>
  <si>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</si>
  <si>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</si>
  <si>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</si>
  <si>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</si>
  <si>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</si>
  <si>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</si>
  <si>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</si>
  <si>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</si>
  <si>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</si>
  <si>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</si>
  <si>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</si>
  <si>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</si>
  <si>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</si>
  <si>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</si>
  <si>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</si>
  <si>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</si>
  <si>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</si>
  <si>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</si>
  <si>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</si>
  <si>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</si>
  <si>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</si>
  <si>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</si>
  <si>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</si>
  <si>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>* 입소비용수입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</si>
  <si>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</si>
  <si>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</si>
  <si>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</si>
  <si>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</si>
  <si>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</si>
  <si>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</si>
  <si>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</si>
  <si>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</si>
  <si>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</si>
  <si>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</si>
  <si>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</si>
  <si>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</si>
  <si>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명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</si>
  <si>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</si>
  <si>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</si>
  <si>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</si>
  <si>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</si>
  <si>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</si>
  <si>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</si>
  <si>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</si>
  <si>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</si>
  <si>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우수직원 포상금(12월)</t>
    <phoneticPr fontId="6" type="noConversion"/>
  </si>
  <si>
    <t>* 직원다이어리구입비</t>
    <phoneticPr fontId="6" type="noConversion"/>
  </si>
  <si>
    <t>*시설연합 행사(둘다섯 해누리)</t>
    <phoneticPr fontId="6" type="noConversion"/>
  </si>
  <si>
    <t>* 직원동아리지원금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</si>
  <si>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</si>
  <si>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</si>
  <si>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</si>
  <si>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</si>
  <si>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</si>
  <si>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</si>
  <si>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</si>
  <si>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</si>
  <si>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</si>
  <si>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</si>
  <si>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</si>
  <si>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</si>
  <si>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</si>
  <si>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</si>
  <si>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</si>
  <si>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</si>
  <si>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</si>
  <si>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</si>
  <si>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</si>
  <si>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</si>
  <si>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>월</t>
    <phoneticPr fontId="6" type="noConversion"/>
  </si>
  <si>
    <t>회  의  비</t>
    <phoneticPr fontId="6" type="noConversion"/>
  </si>
  <si>
    <t>1. 회의관련 다과비등</t>
    <phoneticPr fontId="6" type="noConversion"/>
  </si>
  <si>
    <t>여    비</t>
    <phoneticPr fontId="6" type="noConversion"/>
  </si>
  <si>
    <t>보조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</si>
  <si>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</si>
  <si>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</si>
  <si>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</si>
  <si>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1.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</si>
  <si>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</si>
  <si>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</si>
  <si>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</si>
  <si>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</si>
  <si>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</si>
  <si>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</si>
  <si>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</si>
  <si>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</si>
  <si>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</si>
  <si>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</si>
  <si>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</si>
  <si>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</si>
  <si>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</si>
  <si>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</si>
  <si>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</si>
  <si>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</si>
  <si>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</si>
  <si>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</si>
  <si>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</si>
  <si>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</si>
  <si>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</si>
  <si>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</si>
  <si>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</si>
  <si>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1. 생활용품구입비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</si>
  <si>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</si>
  <si>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</si>
  <si>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</si>
  <si>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</si>
  <si>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2.인건비지원(7종) : 운전원, 조리원 2명</t>
    <phoneticPr fontId="6" type="noConversion"/>
  </si>
  <si>
    <t>3.법인지원직원 : 상담원</t>
    <phoneticPr fontId="6" type="noConversion"/>
  </si>
  <si>
    <t>1.출산휴가 대체인건비(7종)</t>
    <phoneticPr fontId="6" type="noConversion"/>
  </si>
  <si>
    <t>2.간병인비 지원(7종)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</si>
  <si>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</si>
  <si>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</si>
  <si>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2.인건비지원(7종)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</si>
  <si>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</si>
  <si>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</si>
  <si>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</si>
  <si>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</si>
  <si>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</si>
  <si>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</si>
  <si>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</si>
  <si>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</si>
  <si>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2. 운영위원회 참석수당</t>
    <phoneticPr fontId="6" type="noConversion"/>
  </si>
  <si>
    <t>1. 사무용품비(문구류 )</t>
    <phoneticPr fontId="6" type="noConversion"/>
  </si>
  <si>
    <t>4. 유선방송시청료</t>
    <phoneticPr fontId="6" type="noConversion"/>
  </si>
  <si>
    <t>①자동차보험료(32인승, 25인승, 15인승, 마티즈)</t>
    <phoneticPr fontId="6" type="noConversion"/>
  </si>
  <si>
    <t>④자동차세/환경개선부담금(시설,자동차분)</t>
  </si>
  <si>
    <t>1.외부교육</t>
    <phoneticPr fontId="6" type="noConversion"/>
  </si>
  <si>
    <t>4.사업평가 및 계획 워크샵</t>
    <phoneticPr fontId="6" type="noConversion"/>
  </si>
  <si>
    <t>5.타기관 견학 및 실습</t>
    <phoneticPr fontId="6" type="noConversion"/>
  </si>
  <si>
    <t xml:space="preserve">6. 하계직원 교육 강사료, 점심식대 등) 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</si>
  <si>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</si>
  <si>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</si>
  <si>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1. 심야전력요금</t>
    <phoneticPr fontId="6" type="noConversion"/>
  </si>
  <si>
    <t>2. 주방가스요금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</si>
  <si>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</si>
  <si>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</si>
  <si>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월</t>
    <phoneticPr fontId="6" type="noConversion"/>
  </si>
  <si>
    <t>잡수</t>
    <phoneticPr fontId="6" type="noConversion"/>
  </si>
  <si>
    <t>2.주부식비(보충액)</t>
    <phoneticPr fontId="6" type="noConversion"/>
  </si>
  <si>
    <t>1.보조금 운영비 이월금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</si>
  <si>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</si>
  <si>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</si>
  <si>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⑤신원보증보험갱신</t>
    <phoneticPr fontId="6" type="noConversion"/>
  </si>
  <si>
    <t>5. 우편물발송료 및 택배료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</si>
  <si>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</si>
  <si>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</si>
  <si>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</si>
  <si>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</si>
  <si>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</si>
  <si>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</si>
  <si>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</si>
  <si>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</si>
  <si>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</si>
  <si>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</si>
  <si>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</si>
  <si>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</si>
  <si>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</si>
  <si>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</si>
  <si>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</si>
  <si>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</si>
  <si>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</si>
  <si>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</si>
  <si>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</si>
  <si>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</si>
  <si>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</si>
  <si>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</si>
  <si>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</si>
  <si>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</si>
  <si>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</si>
  <si>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</si>
  <si>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</si>
  <si>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</si>
  <si>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</si>
  <si>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 체험홈 전화료</t>
    <phoneticPr fontId="6" type="noConversion"/>
  </si>
  <si>
    <t>1.명절휴가비</t>
    <phoneticPr fontId="6" type="noConversion"/>
  </si>
  <si>
    <t>2.가족수당</t>
    <phoneticPr fontId="6" type="noConversion"/>
  </si>
  <si>
    <t>3.연장근로수당</t>
    <phoneticPr fontId="6" type="noConversion"/>
  </si>
  <si>
    <t>5.직책보조비(법인전입금)</t>
    <phoneticPr fontId="6" type="noConversion"/>
  </si>
  <si>
    <t>3.법인부담금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</si>
  <si>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</si>
  <si>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</si>
  <si>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</si>
  <si>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</si>
  <si>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</si>
  <si>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</si>
  <si>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</si>
  <si>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</si>
  <si>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</si>
  <si>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</si>
  <si>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</si>
  <si>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</si>
  <si>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</si>
  <si>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</si>
  <si>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1. 사회적응프로그램(A)</t>
    <phoneticPr fontId="6" type="noConversion"/>
  </si>
  <si>
    <t>2. 사회적응프로그램(B)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</si>
  <si>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</si>
  <si>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</si>
  <si>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</si>
  <si>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</si>
  <si>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</si>
  <si>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</si>
  <si>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</si>
  <si>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</si>
  <si>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1. 추석/설날 명절 행사</t>
    <phoneticPr fontId="6" type="noConversion"/>
  </si>
  <si>
    <t>2. 가을체육대회</t>
    <phoneticPr fontId="6" type="noConversion"/>
  </si>
  <si>
    <t>4. 연말 송년회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</si>
  <si>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</si>
  <si>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</si>
  <si>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3. 댄스스포츠</t>
    <phoneticPr fontId="6" type="noConversion"/>
  </si>
  <si>
    <t>5. 생일잔치</t>
    <phoneticPr fontId="6" type="noConversion"/>
  </si>
  <si>
    <t>명</t>
    <phoneticPr fontId="6" type="noConversion"/>
  </si>
  <si>
    <t>E. 재활프로그램 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</si>
  <si>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</si>
  <si>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</si>
  <si>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</si>
  <si>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</si>
  <si>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</si>
  <si>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G. 질보장 지원사업</t>
    <phoneticPr fontId="6" type="noConversion"/>
  </si>
  <si>
    <t>1. 자치회의</t>
    <phoneticPr fontId="6" type="noConversion"/>
  </si>
  <si>
    <t>2. 생활실 환경미화</t>
    <phoneticPr fontId="6" type="noConversion"/>
  </si>
  <si>
    <t>원</t>
    <phoneticPr fontId="6" type="noConversion"/>
  </si>
  <si>
    <t>소  계 :</t>
    <phoneticPr fontId="6" type="noConversion"/>
  </si>
  <si>
    <t>H. 특화사업</t>
    <phoneticPr fontId="6" type="noConversion"/>
  </si>
  <si>
    <t>2. 난타</t>
    <phoneticPr fontId="6" type="noConversion"/>
  </si>
  <si>
    <t>I. 물리치료실 몸짱 프로그램</t>
    <phoneticPr fontId="6" type="noConversion"/>
  </si>
  <si>
    <t>=</t>
    <phoneticPr fontId="6" type="noConversion"/>
  </si>
  <si>
    <t>자담</t>
    <phoneticPr fontId="6" type="noConversion"/>
  </si>
  <si>
    <t>회</t>
    <phoneticPr fontId="6" type="noConversion"/>
  </si>
  <si>
    <t>※ 피복비</t>
  </si>
  <si>
    <t>※ 의료비</t>
    <phoneticPr fontId="6" type="noConversion"/>
  </si>
  <si>
    <t>3. 등산(식대 및 간식)</t>
    <phoneticPr fontId="6" type="noConversion"/>
  </si>
  <si>
    <t>4. 마라톤 참가비 및 식대, 간식비</t>
    <phoneticPr fontId="6" type="noConversion"/>
  </si>
  <si>
    <t>j. 이용인 성교육</t>
    <phoneticPr fontId="6" type="noConversion"/>
  </si>
  <si>
    <t>1. 성교육 강사비</t>
    <phoneticPr fontId="6" type="noConversion"/>
  </si>
  <si>
    <t>2. 이용인 성교육(식대 및 다과비 등)</t>
    <phoneticPr fontId="6" type="noConversion"/>
  </si>
  <si>
    <t>1.일반피복비(아쿠아로빅 수영복 포함)</t>
    <phoneticPr fontId="6" type="noConversion"/>
  </si>
  <si>
    <t>원</t>
    <phoneticPr fontId="6" type="noConversion"/>
  </si>
  <si>
    <t>÷</t>
  </si>
  <si>
    <t>* 공익근무요원(회식 및 감사패 등)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</si>
  <si>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</si>
  <si>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</si>
  <si>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</si>
  <si>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</si>
  <si>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</si>
  <si>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</si>
  <si>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</si>
  <si>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</si>
  <si>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</si>
  <si>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</si>
  <si>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</si>
  <si>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>명</t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</si>
  <si>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</si>
  <si>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</si>
  <si>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</si>
  <si>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</si>
  <si>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</si>
  <si>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</si>
  <si>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</si>
  <si>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</si>
  <si>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10. 기타 수용비 및 수수료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</si>
  <si>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</si>
  <si>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</si>
  <si>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13. 퇴직연금 관리 수수료</t>
    <phoneticPr fontId="6" type="noConversion"/>
  </si>
  <si>
    <t>14. CMS가입비,보증보험료,이용료</t>
    <phoneticPr fontId="6" type="noConversion"/>
  </si>
  <si>
    <t>2.차량검사비</t>
    <phoneticPr fontId="6" type="noConversion"/>
  </si>
  <si>
    <t xml:space="preserve"> 1)국립재활원, 한장협, 경장협, 등 </t>
    <phoneticPr fontId="6" type="noConversion"/>
  </si>
  <si>
    <t>7.직무관련교재구입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</si>
  <si>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</si>
  <si>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</si>
  <si>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</si>
  <si>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</si>
  <si>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</si>
  <si>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</si>
  <si>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6.특별위로금(설날,추석)</t>
    <phoneticPr fontId="6" type="noConversion"/>
  </si>
  <si>
    <t>경비</t>
    <phoneticPr fontId="6" type="noConversion"/>
  </si>
  <si>
    <t>3. 체험홈 취사용 가스 등</t>
    <phoneticPr fontId="6" type="noConversion"/>
  </si>
  <si>
    <t>2. 어버이날 행사</t>
    <phoneticPr fontId="6" type="noConversion"/>
  </si>
  <si>
    <t>5. 자원봉사자 가을나들이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</si>
  <si>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</si>
  <si>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</si>
  <si>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</si>
  <si>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</si>
  <si>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</si>
  <si>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</si>
  <si>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1. 부모회의(교육 및 다과비)</t>
    <phoneticPr fontId="6" type="noConversion"/>
  </si>
  <si>
    <t>4.자부담금(후원금)</t>
    <phoneticPr fontId="6" type="noConversion"/>
  </si>
  <si>
    <t>후원</t>
    <phoneticPr fontId="6" type="noConversion"/>
  </si>
  <si>
    <t>3.차량정비 및  관리비, 소모품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</si>
  <si>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</si>
  <si>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</si>
  <si>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</si>
  <si>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</si>
  <si>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</si>
  <si>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</si>
  <si>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</si>
  <si>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</si>
  <si>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5. 재활승마(수원시 보조금으로 진행 \2,000,000)</t>
    <phoneticPr fontId="6" type="noConversion"/>
  </si>
  <si>
    <t>6. 요리경연대회 참가</t>
    <phoneticPr fontId="6" type="noConversion"/>
  </si>
  <si>
    <t>원</t>
    <phoneticPr fontId="6" type="noConversion"/>
  </si>
  <si>
    <t>k. 기타 프로그램 운영비</t>
    <phoneticPr fontId="6" type="noConversion"/>
  </si>
  <si>
    <t>월</t>
    <phoneticPr fontId="6" type="noConversion"/>
  </si>
  <si>
    <t>1.경상보조금 (종사자31명)</t>
    <phoneticPr fontId="6" type="noConversion"/>
  </si>
  <si>
    <t xml:space="preserve"> A.경상보조금 31명</t>
    <phoneticPr fontId="6" type="noConversion"/>
  </si>
  <si>
    <t>1.경상보조금 31명</t>
    <phoneticPr fontId="6" type="noConversion"/>
  </si>
  <si>
    <t xml:space="preserve">  나.직책보조비</t>
    <phoneticPr fontId="6" type="noConversion"/>
  </si>
  <si>
    <t>* 직원 연찬회(2월,4월,6월,8월,10월,12월)</t>
    <phoneticPr fontId="6" type="noConversion"/>
  </si>
  <si>
    <t>* 조리원 위생복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</si>
  <si>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</si>
  <si>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</si>
  <si>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>보조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</si>
  <si>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</si>
  <si>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</si>
  <si>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대</t>
    <phoneticPr fontId="6" type="noConversion"/>
  </si>
  <si>
    <t>원</t>
    <phoneticPr fontId="6" type="noConversion"/>
  </si>
  <si>
    <t>2.사무실 노후 컴퓨터 교체</t>
    <phoneticPr fontId="6" type="noConversion"/>
  </si>
  <si>
    <t>보조</t>
    <phoneticPr fontId="6" type="noConversion"/>
  </si>
  <si>
    <t>1. 경기도재활프로그램사업(도예)</t>
    <phoneticPr fontId="6" type="noConversion"/>
  </si>
  <si>
    <t>자담</t>
    <phoneticPr fontId="6" type="noConversion"/>
  </si>
  <si>
    <t>1. 봉사동아리(사랑담아)</t>
    <phoneticPr fontId="6" type="noConversion"/>
  </si>
  <si>
    <t>2. 요리동아리</t>
    <phoneticPr fontId="6" type="noConversion"/>
  </si>
  <si>
    <t>1. 자원봉사자 교육</t>
    <phoneticPr fontId="6" type="noConversion"/>
  </si>
  <si>
    <t>3. 외부전문가 자문비</t>
    <phoneticPr fontId="6" type="noConversion"/>
  </si>
  <si>
    <t>3. 개원기념일 행사/ 후원자, 봉사자 포상</t>
    <phoneticPr fontId="6" type="noConversion"/>
  </si>
  <si>
    <t>1. 미술치료</t>
    <phoneticPr fontId="6" type="noConversion"/>
  </si>
  <si>
    <t>2.동물매개활동</t>
    <phoneticPr fontId="6" type="noConversion"/>
  </si>
  <si>
    <t>3. 음악치료</t>
    <phoneticPr fontId="6" type="noConversion"/>
  </si>
  <si>
    <t>4. 바별 산타클로스</t>
    <phoneticPr fontId="6" type="noConversion"/>
  </si>
  <si>
    <t>* 직원건강검진비(순수시비)</t>
    <phoneticPr fontId="6" type="noConversion"/>
  </si>
  <si>
    <t>1. 몸짱 원내 프로그램</t>
    <phoneticPr fontId="6" type="noConversion"/>
  </si>
  <si>
    <t>2.잔반이벤트</t>
    <phoneticPr fontId="6" type="noConversion"/>
  </si>
  <si>
    <t>3. 자원봉사자 단체복</t>
    <phoneticPr fontId="6" type="noConversion"/>
  </si>
  <si>
    <t>4. 기타 프로그램</t>
    <phoneticPr fontId="6" type="noConversion"/>
  </si>
  <si>
    <t>4. Paly &amp; Joy</t>
    <phoneticPr fontId="6" type="noConversion"/>
  </si>
  <si>
    <t>5. 심리운동</t>
    <phoneticPr fontId="6" type="noConversion"/>
  </si>
  <si>
    <t>법인</t>
    <phoneticPr fontId="6" type="noConversion"/>
  </si>
  <si>
    <t>원</t>
    <phoneticPr fontId="6" type="noConversion"/>
  </si>
  <si>
    <t>보조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</si>
  <si>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</si>
  <si>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</si>
  <si>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잡수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</si>
  <si>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</si>
  <si>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</si>
  <si>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</si>
  <si>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자담</t>
    <phoneticPr fontId="6" type="noConversion"/>
  </si>
  <si>
    <t>3. 여름캠프</t>
    <phoneticPr fontId="6" type="noConversion"/>
  </si>
  <si>
    <t>4. 가을여행</t>
    <phoneticPr fontId="6" type="noConversion"/>
  </si>
  <si>
    <t>보조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</si>
  <si>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</si>
  <si>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</si>
  <si>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</si>
  <si>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</si>
  <si>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</si>
  <si>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</si>
  <si>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</si>
  <si>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</si>
  <si>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</si>
  <si>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</si>
  <si>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</si>
  <si>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</si>
  <si>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</si>
  <si>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</si>
  <si>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</si>
  <si>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증감</t>
    <phoneticPr fontId="6" type="noConversion"/>
  </si>
  <si>
    <t>증감사유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</si>
  <si>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</si>
  <si>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</si>
  <si>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</si>
  <si>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</si>
  <si>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</si>
  <si>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</si>
  <si>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</si>
  <si>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</si>
  <si>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</si>
  <si>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</si>
  <si>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</si>
  <si>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</si>
  <si>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</si>
  <si>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</si>
  <si>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</si>
  <si>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</si>
  <si>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</si>
  <si>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</si>
  <si>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</si>
  <si>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</si>
  <si>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</si>
  <si>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</si>
  <si>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</si>
  <si>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</si>
  <si>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</si>
  <si>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</si>
  <si>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</si>
  <si>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</si>
  <si>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</si>
  <si>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</si>
  <si>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</si>
  <si>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</si>
  <si>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</si>
  <si>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</si>
  <si>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</si>
  <si>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</si>
  <si>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</si>
  <si>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</si>
  <si>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</si>
  <si>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</si>
  <si>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</si>
  <si>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</si>
  <si>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</si>
  <si>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</si>
  <si>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</si>
  <si>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</si>
  <si>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</si>
  <si>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</si>
  <si>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</si>
  <si>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</si>
  <si>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</si>
  <si>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</si>
  <si>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</si>
  <si>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</si>
  <si>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</si>
  <si>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</si>
  <si>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</si>
  <si>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</si>
  <si>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</si>
  <si>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</si>
  <si>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</si>
  <si>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</si>
  <si>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</si>
  <si>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</si>
  <si>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</si>
  <si>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</si>
  <si>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</si>
  <si>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</si>
  <si>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</si>
  <si>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</si>
  <si>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</si>
  <si>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</si>
  <si>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</si>
  <si>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</si>
  <si>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</si>
  <si>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</si>
  <si>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</si>
  <si>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</si>
  <si>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</si>
  <si>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</si>
  <si>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</si>
  <si>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</si>
  <si>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</si>
  <si>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</si>
  <si>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>원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</si>
  <si>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</si>
  <si>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</si>
  <si>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</si>
  <si>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</si>
  <si>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</si>
  <si>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</si>
  <si>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</si>
  <si>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</si>
  <si>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>×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</si>
  <si>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</si>
  <si>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</si>
  <si>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</si>
  <si>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</si>
  <si>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</si>
  <si>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</si>
  <si>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</si>
  <si>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 xml:space="preserve"> *경상보조금 31명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</si>
  <si>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</si>
  <si>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</si>
  <si>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</si>
  <si>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</si>
  <si>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</si>
  <si>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</si>
  <si>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</si>
  <si>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</si>
  <si>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</si>
  <si>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</si>
  <si>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</si>
  <si>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</si>
  <si>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</si>
  <si>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</si>
  <si>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</si>
  <si>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</si>
  <si>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</si>
  <si>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</si>
  <si>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</si>
  <si>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</si>
  <si>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</si>
  <si>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</si>
  <si>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</si>
  <si>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</si>
  <si>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</si>
  <si>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</si>
  <si>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라. 특수근무수당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</si>
  <si>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</si>
  <si>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</si>
  <si>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</si>
  <si>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*환경개선사업비</t>
    <phoneticPr fontId="6" type="noConversion"/>
  </si>
  <si>
    <t>*간병인비 지원</t>
    <phoneticPr fontId="6" type="noConversion"/>
  </si>
  <si>
    <t>*출산휴가 대체인건비 지원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</si>
  <si>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</si>
  <si>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</si>
  <si>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</si>
  <si>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</si>
  <si>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 xml:space="preserve"> * 경기도 재활프로그램(도예)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</si>
  <si>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</si>
  <si>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</si>
  <si>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가을여행지원금</t>
    <phoneticPr fontId="6" type="noConversion"/>
  </si>
  <si>
    <t xml:space="preserve"> * 시지원 프로그램비(재활승마)</t>
    <phoneticPr fontId="6" type="noConversion"/>
  </si>
  <si>
    <t xml:space="preserve"> * 직원 건강진단비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</si>
  <si>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</si>
  <si>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</si>
  <si>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</si>
  <si>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</si>
  <si>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</si>
  <si>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</si>
  <si>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</si>
  <si>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</si>
  <si>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</si>
  <si>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</si>
  <si>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</si>
  <si>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</si>
  <si>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</si>
  <si>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</si>
  <si>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</si>
  <si>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</si>
  <si>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</si>
  <si>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</si>
  <si>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</si>
  <si>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</si>
  <si>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</si>
  <si>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</si>
  <si>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</si>
  <si>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</si>
  <si>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</si>
  <si>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</si>
  <si>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</si>
  <si>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</si>
  <si>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</si>
  <si>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</si>
  <si>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</si>
  <si>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</si>
  <si>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</si>
  <si>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</si>
  <si>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</si>
  <si>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</si>
  <si>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</si>
  <si>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</si>
  <si>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실습생 20명 실습비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</si>
  <si>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</si>
  <si>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</si>
  <si>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</si>
  <si>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</si>
  <si>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</si>
  <si>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</si>
  <si>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</si>
  <si>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</si>
  <si>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</si>
  <si>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</si>
  <si>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</si>
  <si>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</si>
  <si>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</si>
  <si>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</si>
  <si>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</si>
  <si>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</si>
  <si>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</si>
  <si>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</si>
  <si>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</si>
  <si>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</si>
  <si>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</si>
  <si>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</si>
  <si>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</si>
  <si>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</si>
  <si>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</si>
  <si>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</si>
  <si>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</si>
  <si>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</si>
  <si>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</si>
  <si>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</si>
  <si>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* 직책보조비 퇴직금적립금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</si>
  <si>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</si>
  <si>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</si>
  <si>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</si>
  <si>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</si>
  <si>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</si>
  <si>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</si>
  <si>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*시설연합 행사(둘다섯 해누리)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</si>
  <si>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</si>
  <si>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</si>
  <si>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</si>
  <si>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</si>
  <si>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</si>
  <si>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</si>
  <si>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</si>
  <si>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* 운영위원 참석수당</t>
    <phoneticPr fontId="6" type="noConversion"/>
  </si>
  <si>
    <t>회의비 :</t>
    <phoneticPr fontId="6" type="noConversion"/>
  </si>
  <si>
    <t>* 회의비</t>
    <phoneticPr fontId="6" type="noConversion"/>
  </si>
  <si>
    <t>*생계비</t>
    <phoneticPr fontId="6" type="noConversion"/>
  </si>
  <si>
    <t>*생계비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</si>
  <si>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</si>
  <si>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</si>
  <si>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원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</si>
  <si>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</si>
  <si>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</si>
  <si>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</si>
  <si>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</si>
  <si>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</si>
  <si>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</si>
  <si>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</si>
  <si>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</si>
  <si>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 xml:space="preserve"> * 여름캠프 이월금</t>
    <phoneticPr fontId="6" type="noConversion"/>
  </si>
  <si>
    <t>후원</t>
    <phoneticPr fontId="6" type="noConversion"/>
  </si>
  <si>
    <t>1.생계비</t>
    <phoneticPr fontId="6" type="noConversion"/>
  </si>
  <si>
    <t xml:space="preserve"> *운전원/조리보조원(2명)</t>
    <phoneticPr fontId="6" type="noConversion"/>
  </si>
  <si>
    <t>후원</t>
    <phoneticPr fontId="6" type="noConversion"/>
  </si>
  <si>
    <t>보조</t>
    <phoneticPr fontId="6" type="noConversion"/>
  </si>
  <si>
    <t>3. 역도 프로그램</t>
    <phoneticPr fontId="6" type="noConversion"/>
  </si>
  <si>
    <t>지정</t>
    <phoneticPr fontId="6" type="noConversion"/>
  </si>
  <si>
    <t>4. 콰이어차임</t>
    <phoneticPr fontId="6" type="noConversion"/>
  </si>
  <si>
    <t>5. 야구동아리</t>
    <phoneticPr fontId="6" type="noConversion"/>
  </si>
  <si>
    <t>2. 몸짱 수중운동 프로그램(아쿠아로빅)</t>
    <phoneticPr fontId="6" type="noConversion"/>
  </si>
  <si>
    <t>입소</t>
    <phoneticPr fontId="6" type="noConversion"/>
  </si>
  <si>
    <t>입소</t>
    <phoneticPr fontId="6" type="noConversion"/>
  </si>
  <si>
    <t>보조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</si>
  <si>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</si>
  <si>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</si>
  <si>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</si>
  <si>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</si>
  <si>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</si>
  <si>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</si>
  <si>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</si>
  <si>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</si>
  <si>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</si>
  <si>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</si>
  <si>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9.물리치료기기 수리비</t>
    <phoneticPr fontId="6" type="noConversion"/>
  </si>
  <si>
    <t>10.기타 시설물 관리 및 보수비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</si>
  <si>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</si>
  <si>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</si>
  <si>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</si>
  <si>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2.특별피복비(도비4종)</t>
    <phoneticPr fontId="6" type="noConversion"/>
  </si>
  <si>
    <t>후원</t>
    <phoneticPr fontId="6" type="noConversion"/>
  </si>
  <si>
    <t>후원</t>
    <phoneticPr fontId="6" type="noConversion"/>
  </si>
  <si>
    <t>4. 주방식기류 및 그릇 보강</t>
    <phoneticPr fontId="6" type="noConversion"/>
  </si>
  <si>
    <t>5. 기타 수용기관경비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</si>
  <si>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</si>
  <si>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</si>
  <si>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</si>
  <si>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증감</t>
    <phoneticPr fontId="6" type="noConversion"/>
  </si>
  <si>
    <t>* 입소자 제작 물품판매 수입</t>
    <phoneticPr fontId="6" type="noConversion"/>
  </si>
  <si>
    <t xml:space="preserve">  *체험홈 환경개선 사업 및 차량구입 자금 마련 일일호프 수익금</t>
    <phoneticPr fontId="6" type="noConversion"/>
  </si>
  <si>
    <t>원</t>
    <phoneticPr fontId="6" type="noConversion"/>
  </si>
  <si>
    <t>* 직원하계수련회비용</t>
    <phoneticPr fontId="6" type="noConversion"/>
  </si>
  <si>
    <t>* 장기근속자(10년 : 김인선, 김정금)</t>
    <phoneticPr fontId="6" type="noConversion"/>
  </si>
  <si>
    <t>4.특수근무수당(7종) : 32명</t>
    <phoneticPr fontId="6" type="noConversion"/>
  </si>
  <si>
    <t>* 실무자 워크샵</t>
    <phoneticPr fontId="6" type="noConversion"/>
  </si>
  <si>
    <t>* 장기근속자 포상(10년 김인선, 김정금)</t>
    <phoneticPr fontId="6" type="noConversion"/>
  </si>
  <si>
    <t>보조</t>
    <phoneticPr fontId="6" type="noConversion"/>
  </si>
  <si>
    <t>지후</t>
    <phoneticPr fontId="6" type="noConversion"/>
  </si>
  <si>
    <t>1.물리치료실  및 생활실, 체험홈 저항자전거 구입</t>
    <phoneticPr fontId="6" type="noConversion"/>
  </si>
  <si>
    <t>3. 업무용 소형차량 1대</t>
    <phoneticPr fontId="6" type="noConversion"/>
  </si>
  <si>
    <t>4. 주방 김치냉장고</t>
    <phoneticPr fontId="6" type="noConversion"/>
  </si>
  <si>
    <t xml:space="preserve">5.기타 </t>
    <phoneticPr fontId="6" type="noConversion"/>
  </si>
  <si>
    <t>3. 2층 우노실 자립준비가정 만들기</t>
    <phoneticPr fontId="6" type="noConversion"/>
  </si>
  <si>
    <t>4. 체험홈 환경개선사업(7종 : 붙박이장, 도배, 장판, 주방 싱크대 교체, 에어컨 설치 등)</t>
    <phoneticPr fontId="6" type="noConversion"/>
  </si>
  <si>
    <t>8. 체험홈 환경개선 사업 및 차량구입 자금 마련 일일호프 경비</t>
    <phoneticPr fontId="6" type="noConversion"/>
  </si>
  <si>
    <t>잡수</t>
    <phoneticPr fontId="6" type="noConversion"/>
  </si>
  <si>
    <t>l. 결연사업</t>
    <phoneticPr fontId="6" type="noConversion"/>
  </si>
  <si>
    <t>1. 결연후원금 지급</t>
    <phoneticPr fontId="6" type="noConversion"/>
  </si>
  <si>
    <t>보조</t>
    <phoneticPr fontId="6" type="noConversion"/>
  </si>
  <si>
    <t>보조</t>
    <phoneticPr fontId="6" type="noConversion"/>
  </si>
  <si>
    <t>지후</t>
    <phoneticPr fontId="6" type="noConversion"/>
  </si>
  <si>
    <t>지후</t>
    <phoneticPr fontId="6" type="noConversion"/>
  </si>
  <si>
    <t>&lt;2014년도 본예산 세출내역&gt;</t>
    <phoneticPr fontId="6" type="noConversion"/>
  </si>
  <si>
    <t>&lt;2014년도 본예산 세입내역&gt;</t>
    <phoneticPr fontId="6" type="noConversion"/>
  </si>
  <si>
    <t>2014년 본예산액(단위:천원)</t>
    <phoneticPr fontId="6" type="noConversion"/>
  </si>
  <si>
    <t>2014년
본예산액
(B)
(단위:천원)</t>
    <phoneticPr fontId="6" type="noConversion"/>
  </si>
  <si>
    <t>2013년
2차 주경 예산</t>
    <phoneticPr fontId="28" type="noConversion"/>
  </si>
  <si>
    <t>2014년
본예산</t>
    <phoneticPr fontId="28" type="noConversion"/>
  </si>
  <si>
    <t>2013년
2차 추경액
(A)
(단위:천원)</t>
    <phoneticPr fontId="6" type="noConversion"/>
  </si>
  <si>
    <t>2013년
2차 추경액(A)
(단위:천원)</t>
    <phoneticPr fontId="6" type="noConversion"/>
  </si>
  <si>
    <t>□ 2014년도 세 입 · 세 출 총  괄  표</t>
    <phoneticPr fontId="28" type="noConversion"/>
  </si>
  <si>
    <t>수급자 33명 -&gt;24명 감소</t>
  </si>
  <si>
    <t>실비입소자 21명-&gt;30명 증원</t>
    <phoneticPr fontId="6" type="noConversion"/>
  </si>
  <si>
    <t>업무용 경차 구입/ 체험홈 환경개선 
 자금마련 일일호프?</t>
    <phoneticPr fontId="6" type="noConversion"/>
  </si>
  <si>
    <t>직원 1명 증원 인건비/ 시간외 근무시간 최대 반영</t>
    <phoneticPr fontId="6" type="noConversion"/>
  </si>
  <si>
    <t>체험홈 환경개선/ 자립준비가정 만들기</t>
  </si>
  <si>
    <t>업무용 경차 구입/ 저항자전거 5대/ 주방 김치냉장고 등</t>
    <phoneticPr fontId="6" type="noConversion"/>
  </si>
  <si>
    <t>수급자 33명 -&gt;24명 감소</t>
    <phoneticPr fontId="6" type="noConversion"/>
  </si>
  <si>
    <t>주방 그릇 등 용품 구입비 삭감</t>
    <phoneticPr fontId="6" type="noConversion"/>
  </si>
  <si>
    <t>여름캠프/ 가을여행 대폭 증액</t>
    <phoneticPr fontId="6" type="noConversion"/>
  </si>
  <si>
    <t xml:space="preserve">  *시설비 및 자산취득비 등</t>
    <phoneticPr fontId="6" type="noConversion"/>
  </si>
  <si>
    <t xml:space="preserve">  *역도 및 아쿠아로빅 프로그램비</t>
    <phoneticPr fontId="6" type="noConversion"/>
  </si>
  <si>
    <t xml:space="preserve">  *주임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</si>
  <si>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</si>
  <si>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</si>
  <si>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</si>
  <si>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</si>
  <si>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</si>
  <si>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</si>
  <si>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</si>
  <si>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</si>
  <si>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</si>
  <si>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</si>
  <si>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 xml:space="preserve"> * 예금이자(재활프로그램:도예)</t>
    <phoneticPr fontId="6" type="noConversion"/>
  </si>
  <si>
    <t xml:space="preserve"> * 재활프로그램(도예)이월금</t>
    <phoneticPr fontId="6" type="noConversion"/>
  </si>
  <si>
    <t>보조</t>
    <phoneticPr fontId="6" type="noConversion"/>
  </si>
  <si>
    <t>3.외래진료 및 의약품비 등</t>
    <phoneticPr fontId="6" type="noConversion"/>
  </si>
  <si>
    <t>4.특수검사비</t>
    <phoneticPr fontId="6" type="noConversion"/>
  </si>
  <si>
    <t>5.이용인/직원/봉사자 등 구충제</t>
    <phoneticPr fontId="6" type="noConversion"/>
  </si>
  <si>
    <t>6.재활치료용품(치료용겔/초음파겔/테이핑 테이프 등)</t>
    <phoneticPr fontId="6" type="noConversion"/>
  </si>
  <si>
    <t>(주임)</t>
    <phoneticPr fontId="6" type="noConversion"/>
  </si>
  <si>
    <t xml:space="preserve">  가.특수근무수당</t>
    <phoneticPr fontId="6" type="noConversion"/>
  </si>
  <si>
    <t>후원</t>
    <phoneticPr fontId="6" type="noConversion"/>
  </si>
  <si>
    <t xml:space="preserve">  다.일직근무수당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</si>
  <si>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</si>
  <si>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</si>
  <si>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후원</t>
    <phoneticPr fontId="6" type="noConversion"/>
  </si>
  <si>
    <t>잡수</t>
    <phoneticPr fontId="6" type="noConversion"/>
  </si>
  <si>
    <t xml:space="preserve"> 2)사회복지종사자 피정, 워크숍, 연찬회 등</t>
    <phoneticPr fontId="6" type="noConversion"/>
  </si>
  <si>
    <t>2.내부교육(고용보험 환급과정)</t>
    <phoneticPr fontId="6" type="noConversion"/>
  </si>
  <si>
    <t>후원</t>
    <phoneticPr fontId="6" type="noConversion"/>
  </si>
  <si>
    <t>후원</t>
    <phoneticPr fontId="6" type="noConversion"/>
  </si>
  <si>
    <t xml:space="preserve"> * 교육 및 출장여비</t>
    <phoneticPr fontId="6" type="noConversion"/>
  </si>
  <si>
    <t>회</t>
    <phoneticPr fontId="6" type="noConversion"/>
  </si>
  <si>
    <t>원</t>
    <phoneticPr fontId="6" type="noConversion"/>
  </si>
  <si>
    <t>( 보조금 100만원/ 잡수입 425만원)</t>
    <phoneticPr fontId="6" type="noConversion"/>
  </si>
  <si>
    <t>지후</t>
    <phoneticPr fontId="6" type="noConversion"/>
  </si>
  <si>
    <t>입소</t>
    <phoneticPr fontId="6" type="noConversion"/>
  </si>
  <si>
    <t xml:space="preserve">7.월동대책비(수급자급여) </t>
    <phoneticPr fontId="6" type="noConversion"/>
  </si>
  <si>
    <t>8.직원급식비(직재)</t>
    <phoneticPr fontId="6" type="noConversion"/>
  </si>
  <si>
    <t>9.식권수입</t>
    <phoneticPr fontId="6" type="noConversion"/>
  </si>
  <si>
    <t>1.입소자 건강진단비(4종)</t>
    <phoneticPr fontId="6" type="noConversion"/>
  </si>
  <si>
    <t>잡수</t>
    <phoneticPr fontId="6" type="noConversion"/>
  </si>
  <si>
    <t>원</t>
    <phoneticPr fontId="6" type="noConversion"/>
  </si>
  <si>
    <t>직원 1명 신규채용(증원)에 따른 인건비 증가
 도비 부담비율 : 하향 조정</t>
    <phoneticPr fontId="6" type="noConversion"/>
  </si>
  <si>
    <t>직원 1명 신규채용(증원)에 따른 인건비 증가
 시비 부담비율 : 상향 조정</t>
    <phoneticPr fontId="6" type="noConversion"/>
  </si>
  <si>
    <t>특수근무수당 자금원 변경 : 법인전입금-&gt;후원금</t>
    <phoneticPr fontId="6" type="noConversion"/>
  </si>
  <si>
    <t>입소비용 772만원↑, 보조금 644만원 ↓, 
 잡수입 672만원 ↑, 후원금 992만원 ↓ 등</t>
    <phoneticPr fontId="6" type="noConversion"/>
  </si>
  <si>
    <t>공익 실습비 감소</t>
    <phoneticPr fontId="6" type="noConversion"/>
  </si>
  <si>
    <t>운영위원회 참석수당</t>
    <phoneticPr fontId="6" type="noConversion"/>
  </si>
  <si>
    <t>고용보험 환급과정 직원교육/ 일일호프 준비경비/ 
 중장기발전계획수립 및 운영규정 자문비 등</t>
    <phoneticPr fontId="6" type="noConversion"/>
  </si>
  <si>
    <t>간병비 계정 변경 : 인건비 -&gt;의료비</t>
    <phoneticPr fontId="6" type="noConversion"/>
  </si>
  <si>
    <t>결연후원금-&gt;프로그램 사업비 계정으로 변경</t>
    <phoneticPr fontId="6" type="noConversion"/>
  </si>
  <si>
    <t xml:space="preserve">  *부장</t>
    <phoneticPr fontId="6" type="noConversion"/>
  </si>
  <si>
    <t xml:space="preserve">                  (부장)</t>
    <phoneticPr fontId="6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</si>
</sst>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  <numFmt numFmtId="191" formatCode="0.0%"/>
    <numFmt numFmtId="192" formatCode="&quot;×&quot;0.0%"/>
  </numFmts>
  <fonts count="3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0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5" fillId="0" borderId="8" xfId="3" applyNumberFormat="1" applyFont="1" applyFill="1" applyBorder="1" applyAlignment="1">
      <alignment vertical="center"/>
    </xf>
    <xf numFmtId="41" fontId="15" fillId="0" borderId="8" xfId="0" applyNumberFormat="1" applyFont="1" applyFill="1" applyBorder="1" applyAlignment="1">
      <alignment vertical="center"/>
    </xf>
    <xf numFmtId="9" fontId="15" fillId="0" borderId="8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0" fontId="2" fillId="0" borderId="0" xfId="9">
      <alignment vertical="center"/>
    </xf>
    <xf numFmtId="0" fontId="29" fillId="0" borderId="0" xfId="9" applyFont="1" applyAlignment="1">
      <alignment horizontal="right"/>
    </xf>
    <xf numFmtId="182" fontId="0" fillId="0" borderId="57" xfId="10" applyNumberFormat="1" applyFont="1" applyBorder="1" applyAlignment="1">
      <alignment vertical="center"/>
    </xf>
    <xf numFmtId="182" fontId="0" fillId="0" borderId="37" xfId="10" applyNumberFormat="1" applyFont="1" applyBorder="1" applyAlignment="1">
      <alignment vertical="center"/>
    </xf>
    <xf numFmtId="182" fontId="0" fillId="0" borderId="41" xfId="10" applyNumberFormat="1" applyFont="1" applyBorder="1">
      <alignment vertical="center"/>
    </xf>
    <xf numFmtId="182" fontId="0" fillId="0" borderId="20" xfId="10" applyNumberFormat="1" applyFont="1" applyBorder="1">
      <alignment vertical="center"/>
    </xf>
    <xf numFmtId="182" fontId="0" fillId="0" borderId="18" xfId="10" applyNumberFormat="1" applyFont="1" applyBorder="1">
      <alignment vertical="center"/>
    </xf>
    <xf numFmtId="182" fontId="0" fillId="0" borderId="55" xfId="10" applyNumberFormat="1" applyFont="1" applyBorder="1">
      <alignment vertical="center"/>
    </xf>
    <xf numFmtId="182" fontId="0" fillId="0" borderId="55" xfId="10" applyNumberFormat="1" applyFont="1" applyBorder="1" applyAlignment="1">
      <alignment vertical="center" wrapText="1"/>
    </xf>
    <xf numFmtId="41" fontId="0" fillId="0" borderId="3" xfId="10" applyFont="1" applyBorder="1">
      <alignment vertical="center"/>
    </xf>
    <xf numFmtId="182" fontId="0" fillId="0" borderId="35" xfId="10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8" xfId="1" applyFont="1" applyFill="1" applyBorder="1" applyAlignment="1">
      <alignment vertical="center"/>
    </xf>
    <xf numFmtId="176" fontId="13" fillId="0" borderId="58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3" fillId="0" borderId="15" xfId="7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center" vertical="center"/>
    </xf>
    <xf numFmtId="192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24" fillId="0" borderId="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30" xfId="3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13" fillId="0" borderId="0" xfId="3" applyFont="1" applyFill="1" applyBorder="1" applyAlignment="1">
      <alignment vertical="center"/>
    </xf>
    <xf numFmtId="182" fontId="0" fillId="0" borderId="18" xfId="10" applyNumberFormat="1" applyFont="1" applyBorder="1" applyAlignment="1">
      <alignment vertical="center" wrapText="1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8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2" fillId="0" borderId="52" xfId="9" applyBorder="1" applyAlignment="1">
      <alignment horizontal="center" vertical="center"/>
    </xf>
    <xf numFmtId="0" fontId="2" fillId="0" borderId="30" xfId="9" applyBorder="1" applyAlignment="1">
      <alignment horizontal="center" vertical="center"/>
    </xf>
    <xf numFmtId="0" fontId="2" fillId="0" borderId="31" xfId="9" applyBorder="1" applyAlignment="1">
      <alignment horizontal="center" vertical="center"/>
    </xf>
    <xf numFmtId="0" fontId="2" fillId="0" borderId="25" xfId="9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5" xfId="9" applyBorder="1" applyAlignment="1">
      <alignment horizontal="center" vertical="center"/>
    </xf>
    <xf numFmtId="0" fontId="2" fillId="0" borderId="46" xfId="9" applyBorder="1" applyAlignment="1">
      <alignment horizontal="center" vertical="center"/>
    </xf>
    <xf numFmtId="0" fontId="2" fillId="0" borderId="13" xfId="9" applyBorder="1" applyAlignment="1">
      <alignment horizontal="center" vertical="center"/>
    </xf>
    <xf numFmtId="0" fontId="2" fillId="0" borderId="39" xfId="9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0" fontId="30" fillId="0" borderId="56" xfId="9" applyFont="1" applyBorder="1" applyAlignment="1">
      <alignment horizontal="center" vertical="center" wrapText="1"/>
    </xf>
    <xf numFmtId="0" fontId="30" fillId="0" borderId="18" xfId="9" applyFont="1" applyBorder="1" applyAlignment="1">
      <alignment horizontal="center" vertical="center"/>
    </xf>
    <xf numFmtId="0" fontId="30" fillId="0" borderId="51" xfId="9" applyFont="1" applyBorder="1" applyAlignment="1">
      <alignment horizontal="center" vertical="center"/>
    </xf>
    <xf numFmtId="0" fontId="3" fillId="0" borderId="61" xfId="7" applyBorder="1" applyAlignment="1">
      <alignment horizontal="center" vertical="center"/>
    </xf>
    <xf numFmtId="0" fontId="3" fillId="0" borderId="62" xfId="7" applyBorder="1" applyAlignment="1">
      <alignment horizontal="center" vertical="center"/>
    </xf>
    <xf numFmtId="0" fontId="30" fillId="0" borderId="43" xfId="9" applyFont="1" applyBorder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30" fillId="0" borderId="10" xfId="9" applyFont="1" applyBorder="1" applyAlignment="1">
      <alignment horizontal="center" vertical="center"/>
    </xf>
    <xf numFmtId="0" fontId="30" fillId="0" borderId="9" xfId="9" applyFont="1" applyBorder="1" applyAlignment="1">
      <alignment horizontal="center" vertical="center"/>
    </xf>
    <xf numFmtId="0" fontId="30" fillId="0" borderId="52" xfId="7" applyFont="1" applyBorder="1" applyAlignment="1">
      <alignment horizontal="center" vertical="center"/>
    </xf>
    <xf numFmtId="0" fontId="30" fillId="0" borderId="28" xfId="7" applyFont="1" applyBorder="1" applyAlignment="1">
      <alignment horizontal="center" vertical="center"/>
    </xf>
    <xf numFmtId="0" fontId="30" fillId="0" borderId="59" xfId="7" applyFont="1" applyBorder="1" applyAlignment="1">
      <alignment horizontal="center" vertical="center"/>
    </xf>
    <xf numFmtId="0" fontId="30" fillId="0" borderId="60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E14" sqref="E14"/>
    </sheetView>
  </sheetViews>
  <sheetFormatPr defaultRowHeight="16.5"/>
  <cols>
    <col min="1" max="1" width="1.44140625" style="279" customWidth="1"/>
    <col min="2" max="2" width="11.5546875" style="279" bestFit="1" customWidth="1"/>
    <col min="3" max="3" width="13.33203125" style="279" bestFit="1" customWidth="1"/>
    <col min="4" max="5" width="15.44140625" style="279" bestFit="1" customWidth="1"/>
    <col min="6" max="6" width="14.21875" style="279" bestFit="1" customWidth="1"/>
    <col min="7" max="7" width="9.6640625" style="279" bestFit="1" customWidth="1"/>
    <col min="8" max="8" width="13.33203125" style="279" bestFit="1" customWidth="1"/>
    <col min="9" max="10" width="15.44140625" style="279" bestFit="1" customWidth="1"/>
    <col min="11" max="11" width="13.77734375" style="279" bestFit="1" customWidth="1"/>
    <col min="12" max="16384" width="8.88671875" style="279"/>
  </cols>
  <sheetData>
    <row r="1" spans="2:11" ht="9.9499999999999993" customHeight="1"/>
    <row r="2" spans="2:11" ht="26.25">
      <c r="B2" s="280" t="s">
        <v>722</v>
      </c>
      <c r="K2" s="281" t="s">
        <v>390</v>
      </c>
    </row>
    <row r="3" spans="2:11" ht="9.9499999999999993" customHeight="1" thickBot="1"/>
    <row r="4" spans="2:11" ht="30" customHeight="1">
      <c r="B4" s="460" t="s">
        <v>391</v>
      </c>
      <c r="C4" s="461"/>
      <c r="D4" s="461"/>
      <c r="E4" s="461"/>
      <c r="F4" s="462"/>
      <c r="G4" s="460" t="s">
        <v>392</v>
      </c>
      <c r="H4" s="461"/>
      <c r="I4" s="461"/>
      <c r="J4" s="461"/>
      <c r="K4" s="463"/>
    </row>
    <row r="5" spans="2:11" ht="16.5" customHeight="1">
      <c r="B5" s="464" t="s">
        <v>393</v>
      </c>
      <c r="C5" s="465"/>
      <c r="D5" s="468" t="s">
        <v>718</v>
      </c>
      <c r="E5" s="468" t="s">
        <v>719</v>
      </c>
      <c r="F5" s="470" t="s">
        <v>394</v>
      </c>
      <c r="G5" s="464" t="s">
        <v>393</v>
      </c>
      <c r="H5" s="465"/>
      <c r="I5" s="468" t="s">
        <v>718</v>
      </c>
      <c r="J5" s="468" t="s">
        <v>719</v>
      </c>
      <c r="K5" s="472" t="s">
        <v>394</v>
      </c>
    </row>
    <row r="6" spans="2:11" ht="22.5" customHeight="1" thickBot="1">
      <c r="B6" s="466"/>
      <c r="C6" s="467"/>
      <c r="D6" s="469"/>
      <c r="E6" s="469"/>
      <c r="F6" s="471"/>
      <c r="G6" s="466"/>
      <c r="H6" s="467"/>
      <c r="I6" s="469"/>
      <c r="J6" s="469"/>
      <c r="K6" s="473"/>
    </row>
    <row r="7" spans="2:11" ht="24.95" customHeight="1" thickTop="1">
      <c r="B7" s="476" t="s">
        <v>395</v>
      </c>
      <c r="C7" s="483"/>
      <c r="D7" s="282">
        <f t="shared" ref="D7:E7" si="0">SUM(D8:D16)</f>
        <v>1664373000</v>
      </c>
      <c r="E7" s="282">
        <f t="shared" si="0"/>
        <v>1787572000</v>
      </c>
      <c r="F7" s="283">
        <f>SUM(F8:F16)</f>
        <v>123199000</v>
      </c>
      <c r="G7" s="476" t="s">
        <v>395</v>
      </c>
      <c r="H7" s="483"/>
      <c r="I7" s="282">
        <f t="shared" ref="I7" si="1">SUM(I8:I22)</f>
        <v>1664373000</v>
      </c>
      <c r="J7" s="282">
        <f t="shared" ref="J7:K7" si="2">SUM(J8:J22)</f>
        <v>1787572000</v>
      </c>
      <c r="K7" s="284">
        <f t="shared" si="2"/>
        <v>123199000</v>
      </c>
    </row>
    <row r="8" spans="2:11" ht="24.95" customHeight="1">
      <c r="B8" s="285" t="s">
        <v>396</v>
      </c>
      <c r="C8" s="286" t="s">
        <v>397</v>
      </c>
      <c r="D8" s="287">
        <v>63000000</v>
      </c>
      <c r="E8" s="287">
        <v>90000000</v>
      </c>
      <c r="F8" s="288">
        <f>E8-D8</f>
        <v>27000000</v>
      </c>
      <c r="G8" s="474" t="s">
        <v>398</v>
      </c>
      <c r="H8" s="286" t="s">
        <v>399</v>
      </c>
      <c r="I8" s="287">
        <v>1260360000</v>
      </c>
      <c r="J8" s="287">
        <v>1363738000</v>
      </c>
      <c r="K8" s="289">
        <f>J8-I8</f>
        <v>103378000</v>
      </c>
    </row>
    <row r="9" spans="2:11" ht="24.95" customHeight="1">
      <c r="B9" s="484" t="s">
        <v>400</v>
      </c>
      <c r="C9" s="436" t="s">
        <v>686</v>
      </c>
      <c r="D9" s="287">
        <v>56633000</v>
      </c>
      <c r="E9" s="287">
        <v>45309000</v>
      </c>
      <c r="F9" s="288">
        <f t="shared" ref="F9:F16" si="3">E9-D9</f>
        <v>-11324000</v>
      </c>
      <c r="G9" s="475"/>
      <c r="H9" s="286" t="s">
        <v>401</v>
      </c>
      <c r="I9" s="287">
        <v>2550000</v>
      </c>
      <c r="J9" s="287">
        <v>2950000</v>
      </c>
      <c r="K9" s="289">
        <f t="shared" ref="K9:K21" si="4">J9-I9</f>
        <v>400000</v>
      </c>
    </row>
    <row r="10" spans="2:11" ht="24.95" customHeight="1">
      <c r="B10" s="484"/>
      <c r="C10" s="436" t="s">
        <v>687</v>
      </c>
      <c r="D10" s="287">
        <v>827112000</v>
      </c>
      <c r="E10" s="287">
        <v>737535000</v>
      </c>
      <c r="F10" s="288">
        <f t="shared" si="3"/>
        <v>-89577000</v>
      </c>
      <c r="G10" s="476"/>
      <c r="H10" s="286" t="s">
        <v>187</v>
      </c>
      <c r="I10" s="287">
        <v>76377000</v>
      </c>
      <c r="J10" s="287">
        <v>95911000</v>
      </c>
      <c r="K10" s="289">
        <f t="shared" si="4"/>
        <v>19534000</v>
      </c>
    </row>
    <row r="11" spans="2:11" ht="24.95" customHeight="1">
      <c r="B11" s="484"/>
      <c r="C11" s="436" t="s">
        <v>688</v>
      </c>
      <c r="D11" s="287">
        <v>524859000</v>
      </c>
      <c r="E11" s="287">
        <v>713549000</v>
      </c>
      <c r="F11" s="288">
        <f t="shared" si="3"/>
        <v>188690000</v>
      </c>
      <c r="G11" s="474" t="s">
        <v>188</v>
      </c>
      <c r="H11" s="286" t="s">
        <v>189</v>
      </c>
      <c r="I11" s="287">
        <v>0</v>
      </c>
      <c r="J11" s="287">
        <v>0</v>
      </c>
      <c r="K11" s="289">
        <f t="shared" si="4"/>
        <v>0</v>
      </c>
    </row>
    <row r="12" spans="2:11" ht="24.95" customHeight="1">
      <c r="B12" s="484" t="s">
        <v>190</v>
      </c>
      <c r="C12" s="286" t="s">
        <v>191</v>
      </c>
      <c r="D12" s="287">
        <v>9912000</v>
      </c>
      <c r="E12" s="287">
        <v>30600000</v>
      </c>
      <c r="F12" s="288">
        <f t="shared" si="3"/>
        <v>20688000</v>
      </c>
      <c r="G12" s="475"/>
      <c r="H12" s="286" t="s">
        <v>192</v>
      </c>
      <c r="I12" s="287">
        <v>2540000</v>
      </c>
      <c r="J12" s="287">
        <v>22000000</v>
      </c>
      <c r="K12" s="289">
        <f t="shared" si="4"/>
        <v>19460000</v>
      </c>
    </row>
    <row r="13" spans="2:11" ht="24.95" customHeight="1">
      <c r="B13" s="484"/>
      <c r="C13" s="286" t="s">
        <v>193</v>
      </c>
      <c r="D13" s="287">
        <v>60000000</v>
      </c>
      <c r="E13" s="287">
        <v>60000000</v>
      </c>
      <c r="F13" s="288">
        <f t="shared" si="3"/>
        <v>0</v>
      </c>
      <c r="G13" s="476"/>
      <c r="H13" s="286" t="s">
        <v>194</v>
      </c>
      <c r="I13" s="287">
        <v>25960000</v>
      </c>
      <c r="J13" s="287">
        <v>20812000</v>
      </c>
      <c r="K13" s="289">
        <f t="shared" si="4"/>
        <v>-5148000</v>
      </c>
    </row>
    <row r="14" spans="2:11" ht="24.95" customHeight="1">
      <c r="B14" s="285" t="s">
        <v>195</v>
      </c>
      <c r="C14" s="286" t="s">
        <v>196</v>
      </c>
      <c r="D14" s="287">
        <v>40925000</v>
      </c>
      <c r="E14" s="287">
        <v>31515000</v>
      </c>
      <c r="F14" s="288">
        <f t="shared" si="3"/>
        <v>-9410000</v>
      </c>
      <c r="G14" s="474" t="s">
        <v>197</v>
      </c>
      <c r="H14" s="286" t="s">
        <v>198</v>
      </c>
      <c r="I14" s="287">
        <v>142425000</v>
      </c>
      <c r="J14" s="287">
        <v>129927000</v>
      </c>
      <c r="K14" s="289">
        <f t="shared" si="4"/>
        <v>-12498000</v>
      </c>
    </row>
    <row r="15" spans="2:11" ht="24.95" customHeight="1">
      <c r="B15" s="285" t="s">
        <v>199</v>
      </c>
      <c r="C15" s="286" t="s">
        <v>200</v>
      </c>
      <c r="D15" s="287">
        <v>50482000</v>
      </c>
      <c r="E15" s="287">
        <v>48814000</v>
      </c>
      <c r="F15" s="288">
        <f t="shared" si="3"/>
        <v>-1668000</v>
      </c>
      <c r="G15" s="475"/>
      <c r="H15" s="286" t="s">
        <v>201</v>
      </c>
      <c r="I15" s="287">
        <v>7304000</v>
      </c>
      <c r="J15" s="287">
        <v>6300000</v>
      </c>
      <c r="K15" s="289">
        <f t="shared" si="4"/>
        <v>-1004000</v>
      </c>
    </row>
    <row r="16" spans="2:11" ht="24.95" customHeight="1">
      <c r="B16" s="285" t="s">
        <v>202</v>
      </c>
      <c r="C16" s="286" t="s">
        <v>203</v>
      </c>
      <c r="D16" s="287">
        <v>31450000</v>
      </c>
      <c r="E16" s="287">
        <v>30250000</v>
      </c>
      <c r="F16" s="288">
        <f t="shared" si="3"/>
        <v>-1200000</v>
      </c>
      <c r="G16" s="475"/>
      <c r="H16" s="286" t="s">
        <v>204</v>
      </c>
      <c r="I16" s="287">
        <v>14040000</v>
      </c>
      <c r="J16" s="287">
        <v>14040000</v>
      </c>
      <c r="K16" s="289">
        <f t="shared" si="4"/>
        <v>0</v>
      </c>
    </row>
    <row r="17" spans="2:11" ht="24.95" customHeight="1">
      <c r="B17" s="477"/>
      <c r="C17" s="478"/>
      <c r="D17" s="478"/>
      <c r="E17" s="478"/>
      <c r="F17" s="478"/>
      <c r="G17" s="475"/>
      <c r="H17" s="286" t="s">
        <v>205</v>
      </c>
      <c r="I17" s="287">
        <v>6641000</v>
      </c>
      <c r="J17" s="287">
        <v>11366000</v>
      </c>
      <c r="K17" s="289">
        <f t="shared" si="4"/>
        <v>4725000</v>
      </c>
    </row>
    <row r="18" spans="2:11" ht="24.95" customHeight="1">
      <c r="B18" s="479"/>
      <c r="C18" s="480"/>
      <c r="D18" s="480"/>
      <c r="E18" s="480"/>
      <c r="F18" s="480"/>
      <c r="G18" s="475"/>
      <c r="H18" s="286" t="s">
        <v>206</v>
      </c>
      <c r="I18" s="287">
        <v>23050000</v>
      </c>
      <c r="J18" s="287">
        <v>23052000</v>
      </c>
      <c r="K18" s="289">
        <f t="shared" si="4"/>
        <v>2000</v>
      </c>
    </row>
    <row r="19" spans="2:11" ht="24.95" customHeight="1">
      <c r="B19" s="479"/>
      <c r="C19" s="480"/>
      <c r="D19" s="480"/>
      <c r="E19" s="480"/>
      <c r="F19" s="480"/>
      <c r="G19" s="476"/>
      <c r="H19" s="286" t="s">
        <v>207</v>
      </c>
      <c r="I19" s="287">
        <v>88325000</v>
      </c>
      <c r="J19" s="287">
        <v>89115000</v>
      </c>
      <c r="K19" s="289">
        <f t="shared" si="4"/>
        <v>790000</v>
      </c>
    </row>
    <row r="20" spans="2:11" ht="24.95" customHeight="1">
      <c r="B20" s="479"/>
      <c r="C20" s="480"/>
      <c r="D20" s="480"/>
      <c r="E20" s="480"/>
      <c r="F20" s="480"/>
      <c r="G20" s="290" t="s">
        <v>335</v>
      </c>
      <c r="H20" s="286" t="s">
        <v>208</v>
      </c>
      <c r="I20" s="287">
        <v>14551000</v>
      </c>
      <c r="J20" s="287">
        <v>8111000</v>
      </c>
      <c r="K20" s="289">
        <f t="shared" si="4"/>
        <v>-6440000</v>
      </c>
    </row>
    <row r="21" spans="2:11" ht="24.95" customHeight="1">
      <c r="B21" s="479"/>
      <c r="C21" s="480"/>
      <c r="D21" s="480"/>
      <c r="E21" s="480"/>
      <c r="F21" s="480"/>
      <c r="G21" s="285" t="s">
        <v>209</v>
      </c>
      <c r="H21" s="286" t="s">
        <v>210</v>
      </c>
      <c r="I21" s="287">
        <v>0</v>
      </c>
      <c r="J21" s="287">
        <v>0</v>
      </c>
      <c r="K21" s="289">
        <f t="shared" si="4"/>
        <v>0</v>
      </c>
    </row>
    <row r="22" spans="2:11" ht="24.95" customHeight="1" thickBot="1">
      <c r="B22" s="481"/>
      <c r="C22" s="482"/>
      <c r="D22" s="482"/>
      <c r="E22" s="482"/>
      <c r="F22" s="482"/>
      <c r="G22" s="291" t="s">
        <v>211</v>
      </c>
      <c r="H22" s="292" t="s">
        <v>212</v>
      </c>
      <c r="I22" s="293">
        <v>250000</v>
      </c>
      <c r="J22" s="293">
        <v>250000</v>
      </c>
      <c r="K22" s="294">
        <f>J22-I22</f>
        <v>0</v>
      </c>
    </row>
  </sheetData>
  <mergeCells count="18">
    <mergeCell ref="G14:G19"/>
    <mergeCell ref="B17:F22"/>
    <mergeCell ref="B7:C7"/>
    <mergeCell ref="G7:H7"/>
    <mergeCell ref="G8:G10"/>
    <mergeCell ref="B9:B11"/>
    <mergeCell ref="G11:G13"/>
    <mergeCell ref="B12:B13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83"/>
  <sheetViews>
    <sheetView workbookViewId="0">
      <selection activeCell="P185" sqref="P18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87" t="s">
        <v>715</v>
      </c>
      <c r="B1" s="487"/>
      <c r="C1" s="487"/>
      <c r="D1" s="48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88" t="s">
        <v>68</v>
      </c>
      <c r="B2" s="489"/>
      <c r="C2" s="489"/>
      <c r="D2" s="489"/>
      <c r="E2" s="490" t="s">
        <v>720</v>
      </c>
      <c r="F2" s="498" t="s">
        <v>717</v>
      </c>
      <c r="G2" s="500" t="s">
        <v>23</v>
      </c>
      <c r="H2" s="500"/>
      <c r="I2" s="500" t="s">
        <v>55</v>
      </c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1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407</v>
      </c>
      <c r="D3" s="26" t="s">
        <v>408</v>
      </c>
      <c r="E3" s="491"/>
      <c r="F3" s="499"/>
      <c r="G3" s="201" t="s">
        <v>231</v>
      </c>
      <c r="H3" s="27" t="s">
        <v>4</v>
      </c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3"/>
      <c r="Z3" s="8"/>
    </row>
    <row r="4" spans="1:26" s="3" customFormat="1" ht="19.5" customHeight="1">
      <c r="A4" s="492" t="s">
        <v>24</v>
      </c>
      <c r="B4" s="493"/>
      <c r="C4" s="493"/>
      <c r="D4" s="494"/>
      <c r="E4" s="329">
        <f>SUM(E5,E7,E9,E11,E146,E159,E166,E215,E249)</f>
        <v>1664373</v>
      </c>
      <c r="F4" s="329">
        <f>SUM(F5,F7,F9,F11,F146,F159,F166,F215,F249)</f>
        <v>1787572</v>
      </c>
      <c r="G4" s="329">
        <f>SUM(G5,G7,G9,G11,G146,G159,G166,G215,G249)</f>
        <v>123199</v>
      </c>
      <c r="H4" s="330">
        <f t="shared" ref="H4" si="0">IF(E4=0,0,G4/E4)</f>
        <v>7.4021268069116714E-2</v>
      </c>
      <c r="I4" s="28" t="s">
        <v>337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35">
        <f>SUM(X5,X7,X9,X11,X146,X159,X166,X215,X249)</f>
        <v>1787572000</v>
      </c>
      <c r="Y4" s="30" t="s">
        <v>338</v>
      </c>
      <c r="Z4" s="8"/>
    </row>
    <row r="5" spans="1:26" ht="21" customHeight="1" thickBot="1">
      <c r="A5" s="36" t="s">
        <v>60</v>
      </c>
      <c r="B5" s="37" t="s">
        <v>60</v>
      </c>
      <c r="C5" s="296" t="s">
        <v>229</v>
      </c>
      <c r="D5" s="296" t="s">
        <v>229</v>
      </c>
      <c r="E5" s="323">
        <v>63000</v>
      </c>
      <c r="F5" s="323">
        <f>ROUND(X5/1000,0)</f>
        <v>90000</v>
      </c>
      <c r="G5" s="324">
        <f>F5-E5</f>
        <v>27000</v>
      </c>
      <c r="H5" s="325">
        <f>IF(E5=0,0,G5/E5)</f>
        <v>0.42857142857142855</v>
      </c>
      <c r="I5" s="41" t="s">
        <v>336</v>
      </c>
      <c r="J5" s="195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90000000</v>
      </c>
      <c r="Y5" s="45" t="s">
        <v>25</v>
      </c>
    </row>
    <row r="6" spans="1:26" ht="21" customHeight="1">
      <c r="A6" s="46" t="s">
        <v>61</v>
      </c>
      <c r="B6" s="47" t="s">
        <v>226</v>
      </c>
      <c r="C6" s="48" t="s">
        <v>226</v>
      </c>
      <c r="D6" s="48" t="s">
        <v>226</v>
      </c>
      <c r="E6" s="49"/>
      <c r="F6" s="49"/>
      <c r="G6" s="50"/>
      <c r="H6" s="32"/>
      <c r="I6" s="54" t="s">
        <v>66</v>
      </c>
      <c r="J6" s="55"/>
      <c r="K6" s="56"/>
      <c r="L6" s="56"/>
      <c r="M6" s="333">
        <v>250000</v>
      </c>
      <c r="N6" s="333" t="s">
        <v>57</v>
      </c>
      <c r="O6" s="334" t="s">
        <v>58</v>
      </c>
      <c r="P6" s="333">
        <v>30</v>
      </c>
      <c r="Q6" s="333" t="s">
        <v>56</v>
      </c>
      <c r="R6" s="334" t="s">
        <v>58</v>
      </c>
      <c r="S6" s="57">
        <v>12</v>
      </c>
      <c r="T6" s="367" t="s">
        <v>0</v>
      </c>
      <c r="U6" s="367" t="s">
        <v>53</v>
      </c>
      <c r="V6" s="367"/>
      <c r="W6" s="333"/>
      <c r="X6" s="333">
        <f>M6*P6*S6</f>
        <v>90000000</v>
      </c>
      <c r="Y6" s="59" t="s">
        <v>57</v>
      </c>
    </row>
    <row r="7" spans="1:26" s="11" customFormat="1" ht="19.5" customHeight="1" thickBot="1">
      <c r="A7" s="36" t="s">
        <v>409</v>
      </c>
      <c r="B7" s="37" t="s">
        <v>411</v>
      </c>
      <c r="C7" s="37" t="s">
        <v>409</v>
      </c>
      <c r="D7" s="37" t="s">
        <v>409</v>
      </c>
      <c r="E7" s="323">
        <v>0</v>
      </c>
      <c r="F7" s="323">
        <f>ROUND(X7/1000,0)</f>
        <v>0</v>
      </c>
      <c r="G7" s="324">
        <f>F7-E7</f>
        <v>0</v>
      </c>
      <c r="H7" s="325">
        <f>IF(E7=0,0,G7/E7)</f>
        <v>0</v>
      </c>
      <c r="I7" s="41" t="s">
        <v>413</v>
      </c>
      <c r="J7" s="195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410</v>
      </c>
      <c r="B8" s="61" t="s">
        <v>412</v>
      </c>
      <c r="C8" s="61" t="s">
        <v>410</v>
      </c>
      <c r="D8" s="61" t="s">
        <v>410</v>
      </c>
      <c r="E8" s="49"/>
      <c r="F8" s="49"/>
      <c r="G8" s="50"/>
      <c r="H8" s="32"/>
      <c r="I8" s="54" t="s">
        <v>690</v>
      </c>
      <c r="J8" s="55"/>
      <c r="K8" s="56"/>
      <c r="L8" s="56"/>
      <c r="M8" s="333"/>
      <c r="N8" s="333"/>
      <c r="O8" s="334"/>
      <c r="P8" s="333"/>
      <c r="Q8" s="333"/>
      <c r="R8" s="334"/>
      <c r="S8" s="57"/>
      <c r="T8" s="367"/>
      <c r="U8" s="367"/>
      <c r="V8" s="367"/>
      <c r="W8" s="333"/>
      <c r="X8" s="333">
        <v>0</v>
      </c>
      <c r="Y8" s="59" t="s">
        <v>57</v>
      </c>
    </row>
    <row r="9" spans="1:26" ht="21" customHeight="1" thickBot="1">
      <c r="A9" s="36" t="s">
        <v>415</v>
      </c>
      <c r="B9" s="37" t="s">
        <v>417</v>
      </c>
      <c r="C9" s="37" t="s">
        <v>415</v>
      </c>
      <c r="D9" s="37" t="s">
        <v>415</v>
      </c>
      <c r="E9" s="323">
        <v>0</v>
      </c>
      <c r="F9" s="323">
        <f>ROUND(X9/1000,0)</f>
        <v>0</v>
      </c>
      <c r="G9" s="324">
        <f>F9-E9</f>
        <v>0</v>
      </c>
      <c r="H9" s="325">
        <f>IF(E9=0,0,G9/E9)</f>
        <v>0</v>
      </c>
      <c r="I9" s="41" t="s">
        <v>483</v>
      </c>
      <c r="J9" s="195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480</v>
      </c>
      <c r="B10" s="61" t="s">
        <v>481</v>
      </c>
      <c r="C10" s="61" t="s">
        <v>481</v>
      </c>
      <c r="D10" s="123" t="s">
        <v>481</v>
      </c>
      <c r="E10" s="338"/>
      <c r="F10" s="339">
        <v>0</v>
      </c>
      <c r="G10" s="340"/>
      <c r="H10" s="341"/>
      <c r="I10" s="342"/>
      <c r="J10" s="343"/>
      <c r="K10" s="344"/>
      <c r="L10" s="344"/>
      <c r="M10" s="344"/>
      <c r="N10" s="344"/>
      <c r="O10" s="344"/>
      <c r="P10" s="345"/>
      <c r="Q10" s="345"/>
      <c r="R10" s="345"/>
      <c r="S10" s="345"/>
      <c r="T10" s="345"/>
      <c r="U10" s="345"/>
      <c r="V10" s="345"/>
      <c r="W10" s="346"/>
      <c r="X10" s="346">
        <v>0</v>
      </c>
      <c r="Y10" s="398" t="s">
        <v>482</v>
      </c>
    </row>
    <row r="11" spans="1:26" s="11" customFormat="1" ht="19.5" customHeight="1">
      <c r="A11" s="36" t="s">
        <v>414</v>
      </c>
      <c r="B11" s="37" t="s">
        <v>414</v>
      </c>
      <c r="C11" s="495" t="s">
        <v>596</v>
      </c>
      <c r="D11" s="496"/>
      <c r="E11" s="380">
        <f>SUM(E12,E17,E78,E143)</f>
        <v>1408604</v>
      </c>
      <c r="F11" s="380">
        <f>SUM(F12,F17,F78,F143)</f>
        <v>1496393</v>
      </c>
      <c r="G11" s="381">
        <f t="shared" ref="G11:G13" si="1">F11-E11</f>
        <v>87789</v>
      </c>
      <c r="H11" s="382">
        <f t="shared" ref="H11:H13" si="2">IF(E11=0,0,G11/E11)</f>
        <v>6.2323406720412547E-2</v>
      </c>
      <c r="I11" s="383" t="s">
        <v>597</v>
      </c>
      <c r="J11" s="384"/>
      <c r="K11" s="385"/>
      <c r="L11" s="385"/>
      <c r="M11" s="384"/>
      <c r="N11" s="384"/>
      <c r="O11" s="384"/>
      <c r="P11" s="384"/>
      <c r="Q11" s="384"/>
      <c r="R11" s="386"/>
      <c r="S11" s="386"/>
      <c r="T11" s="386"/>
      <c r="U11" s="386"/>
      <c r="V11" s="386"/>
      <c r="W11" s="386"/>
      <c r="X11" s="387">
        <f>SUM(X12,X17,X78,X143)</f>
        <v>1496393000</v>
      </c>
      <c r="Y11" s="399" t="s">
        <v>25</v>
      </c>
      <c r="Z11" s="6"/>
    </row>
    <row r="12" spans="1:26" s="11" customFormat="1" ht="19.5" customHeight="1">
      <c r="A12" s="46" t="s">
        <v>416</v>
      </c>
      <c r="B12" s="47" t="s">
        <v>412</v>
      </c>
      <c r="C12" s="37" t="s">
        <v>418</v>
      </c>
      <c r="D12" s="397" t="s">
        <v>419</v>
      </c>
      <c r="E12" s="326">
        <f>E13</f>
        <v>56633</v>
      </c>
      <c r="F12" s="326">
        <f>F13</f>
        <v>45309</v>
      </c>
      <c r="G12" s="327">
        <f t="shared" si="1"/>
        <v>-11324</v>
      </c>
      <c r="H12" s="328">
        <f t="shared" si="2"/>
        <v>-0.19995409037133827</v>
      </c>
      <c r="I12" s="310" t="s">
        <v>420</v>
      </c>
      <c r="J12" s="311"/>
      <c r="K12" s="312"/>
      <c r="L12" s="312"/>
      <c r="M12" s="312"/>
      <c r="N12" s="312"/>
      <c r="O12" s="312"/>
      <c r="P12" s="313"/>
      <c r="Q12" s="313"/>
      <c r="R12" s="313"/>
      <c r="S12" s="313"/>
      <c r="T12" s="313"/>
      <c r="U12" s="313"/>
      <c r="V12" s="347" t="s">
        <v>484</v>
      </c>
      <c r="W12" s="348"/>
      <c r="X12" s="349">
        <f>X13</f>
        <v>45309000</v>
      </c>
      <c r="Y12" s="400" t="s">
        <v>485</v>
      </c>
      <c r="Z12" s="6"/>
    </row>
    <row r="13" spans="1:26" s="11" customFormat="1" ht="19.5" customHeight="1">
      <c r="A13" s="46"/>
      <c r="B13" s="47"/>
      <c r="C13" s="47" t="s">
        <v>479</v>
      </c>
      <c r="D13" s="47" t="s">
        <v>478</v>
      </c>
      <c r="E13" s="337">
        <v>56633</v>
      </c>
      <c r="F13" s="337">
        <f>ROUND(X13/1000,0)</f>
        <v>45309</v>
      </c>
      <c r="G13" s="414">
        <f t="shared" si="1"/>
        <v>-11324</v>
      </c>
      <c r="H13" s="415">
        <f t="shared" si="2"/>
        <v>-0.19995409037133827</v>
      </c>
      <c r="I13" s="196" t="s">
        <v>476</v>
      </c>
      <c r="J13" s="334"/>
      <c r="K13" s="333"/>
      <c r="L13" s="333"/>
      <c r="M13" s="333"/>
      <c r="N13" s="367"/>
      <c r="O13" s="314"/>
      <c r="P13" s="333"/>
      <c r="Q13" s="55"/>
      <c r="R13" s="315"/>
      <c r="S13" s="318"/>
      <c r="T13" s="318"/>
      <c r="U13" s="367"/>
      <c r="V13" s="332" t="s">
        <v>477</v>
      </c>
      <c r="W13" s="198"/>
      <c r="X13" s="198">
        <f>SUM(X14:X16)</f>
        <v>45309000</v>
      </c>
      <c r="Y13" s="199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31"/>
      <c r="G14" s="50"/>
      <c r="H14" s="72"/>
      <c r="I14" s="69" t="s">
        <v>639</v>
      </c>
      <c r="J14" s="334"/>
      <c r="K14" s="333"/>
      <c r="L14" s="333"/>
      <c r="M14" s="333">
        <v>189853</v>
      </c>
      <c r="N14" s="367" t="s">
        <v>25</v>
      </c>
      <c r="O14" s="314" t="s">
        <v>26</v>
      </c>
      <c r="P14" s="333">
        <v>24</v>
      </c>
      <c r="Q14" s="314" t="s">
        <v>293</v>
      </c>
      <c r="R14" s="315" t="s">
        <v>26</v>
      </c>
      <c r="S14" s="318">
        <v>12</v>
      </c>
      <c r="T14" s="318" t="s">
        <v>29</v>
      </c>
      <c r="U14" s="367" t="s">
        <v>26</v>
      </c>
      <c r="V14" s="371">
        <v>0.8</v>
      </c>
      <c r="W14" s="70" t="s">
        <v>27</v>
      </c>
      <c r="X14" s="70">
        <f>ROUNDDOWN(M14*P14*S14*V14,-3)</f>
        <v>43742000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31"/>
      <c r="G15" s="50"/>
      <c r="H15" s="72"/>
      <c r="I15" s="69" t="s">
        <v>425</v>
      </c>
      <c r="J15" s="334"/>
      <c r="K15" s="333"/>
      <c r="L15" s="333"/>
      <c r="M15" s="333">
        <v>26648</v>
      </c>
      <c r="N15" s="367" t="s">
        <v>25</v>
      </c>
      <c r="O15" s="314" t="s">
        <v>26</v>
      </c>
      <c r="P15" s="333">
        <v>24</v>
      </c>
      <c r="Q15" s="314" t="s">
        <v>293</v>
      </c>
      <c r="R15" s="316" t="s">
        <v>26</v>
      </c>
      <c r="S15" s="318">
        <v>1</v>
      </c>
      <c r="T15" s="318" t="s">
        <v>424</v>
      </c>
      <c r="U15" s="367" t="s">
        <v>26</v>
      </c>
      <c r="V15" s="371">
        <v>0.8</v>
      </c>
      <c r="W15" s="70" t="s">
        <v>27</v>
      </c>
      <c r="X15" s="70">
        <f t="shared" ref="X15" si="3">ROUND(M15*P15*S15*V15,-3)</f>
        <v>512000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49"/>
      <c r="G16" s="50"/>
      <c r="H16" s="72"/>
      <c r="I16" s="69" t="s">
        <v>426</v>
      </c>
      <c r="J16" s="70"/>
      <c r="K16" s="317"/>
      <c r="L16" s="317"/>
      <c r="M16" s="333">
        <v>27489</v>
      </c>
      <c r="N16" s="333" t="s">
        <v>25</v>
      </c>
      <c r="O16" s="314" t="s">
        <v>26</v>
      </c>
      <c r="P16" s="333">
        <v>24</v>
      </c>
      <c r="Q16" s="55" t="s">
        <v>293</v>
      </c>
      <c r="R16" s="316" t="s">
        <v>26</v>
      </c>
      <c r="S16" s="57">
        <v>2</v>
      </c>
      <c r="T16" s="367" t="s">
        <v>424</v>
      </c>
      <c r="U16" s="367" t="s">
        <v>26</v>
      </c>
      <c r="V16" s="371">
        <v>0.8</v>
      </c>
      <c r="W16" s="334" t="s">
        <v>27</v>
      </c>
      <c r="X16" s="70">
        <f>ROUNDDOWN(M16*P16*S16*V16,-3)</f>
        <v>1055000</v>
      </c>
      <c r="Y16" s="59" t="s">
        <v>57</v>
      </c>
      <c r="Z16" s="6"/>
    </row>
    <row r="17" spans="1:27" s="11" customFormat="1" ht="19.5" customHeight="1">
      <c r="A17" s="62"/>
      <c r="B17" s="47"/>
      <c r="C17" s="37" t="s">
        <v>422</v>
      </c>
      <c r="D17" s="397" t="s">
        <v>311</v>
      </c>
      <c r="E17" s="326">
        <f>SUM(E18:E77)</f>
        <v>827112</v>
      </c>
      <c r="F17" s="326">
        <f>SUM(F18:F77)</f>
        <v>737535</v>
      </c>
      <c r="G17" s="327">
        <f t="shared" ref="G17:G18" si="4">F17-E17</f>
        <v>-89577</v>
      </c>
      <c r="H17" s="328">
        <f t="shared" ref="H17:H18" si="5">IF(E17=0,0,G17/E17)</f>
        <v>-0.10830093143371151</v>
      </c>
      <c r="I17" s="310" t="s">
        <v>486</v>
      </c>
      <c r="J17" s="311"/>
      <c r="K17" s="312"/>
      <c r="L17" s="312"/>
      <c r="M17" s="312"/>
      <c r="N17" s="312"/>
      <c r="O17" s="312"/>
      <c r="P17" s="313"/>
      <c r="Q17" s="313"/>
      <c r="R17" s="313"/>
      <c r="S17" s="313"/>
      <c r="T17" s="313"/>
      <c r="U17" s="313"/>
      <c r="V17" s="347" t="s">
        <v>76</v>
      </c>
      <c r="W17" s="348"/>
      <c r="X17" s="348">
        <f>SUM(X18,X23,X38,X42,X50,X75)</f>
        <v>737535000</v>
      </c>
      <c r="Y17" s="400" t="s">
        <v>57</v>
      </c>
      <c r="Z17" s="6"/>
    </row>
    <row r="18" spans="1:27" s="11" customFormat="1" ht="19.5" customHeight="1">
      <c r="A18" s="62"/>
      <c r="B18" s="47"/>
      <c r="C18" s="47" t="s">
        <v>423</v>
      </c>
      <c r="D18" s="37" t="s">
        <v>478</v>
      </c>
      <c r="E18" s="38">
        <v>7080</v>
      </c>
      <c r="F18" s="350">
        <f>ROUND(X18/1000,0)</f>
        <v>5664</v>
      </c>
      <c r="G18" s="39">
        <f t="shared" si="4"/>
        <v>-1416</v>
      </c>
      <c r="H18" s="134">
        <f t="shared" si="5"/>
        <v>-0.2</v>
      </c>
      <c r="I18" s="196" t="s">
        <v>476</v>
      </c>
      <c r="J18" s="216"/>
      <c r="K18" s="96"/>
      <c r="L18" s="96"/>
      <c r="M18" s="96"/>
      <c r="N18" s="366"/>
      <c r="O18" s="351"/>
      <c r="P18" s="96"/>
      <c r="Q18" s="352"/>
      <c r="R18" s="353"/>
      <c r="S18" s="354"/>
      <c r="T18" s="354"/>
      <c r="U18" s="366"/>
      <c r="V18" s="332" t="s">
        <v>477</v>
      </c>
      <c r="W18" s="198"/>
      <c r="X18" s="198">
        <f>SUM(X19:X21)</f>
        <v>5664000</v>
      </c>
      <c r="Y18" s="199" t="s">
        <v>57</v>
      </c>
      <c r="Z18" s="6"/>
    </row>
    <row r="19" spans="1:27" s="11" customFormat="1" ht="19.5" customHeight="1">
      <c r="A19" s="62"/>
      <c r="B19" s="47"/>
      <c r="C19" s="47"/>
      <c r="D19" s="47"/>
      <c r="E19" s="49"/>
      <c r="F19" s="49"/>
      <c r="G19" s="50"/>
      <c r="H19" s="72"/>
      <c r="I19" s="69" t="s">
        <v>640</v>
      </c>
      <c r="J19" s="334"/>
      <c r="K19" s="333"/>
      <c r="L19" s="333"/>
      <c r="M19" s="417">
        <v>189853</v>
      </c>
      <c r="N19" s="367" t="s">
        <v>25</v>
      </c>
      <c r="O19" s="314" t="s">
        <v>26</v>
      </c>
      <c r="P19" s="333">
        <v>24</v>
      </c>
      <c r="Q19" s="55" t="s">
        <v>293</v>
      </c>
      <c r="R19" s="315" t="s">
        <v>26</v>
      </c>
      <c r="S19" s="318">
        <v>12</v>
      </c>
      <c r="T19" s="318" t="s">
        <v>29</v>
      </c>
      <c r="U19" s="367" t="s">
        <v>26</v>
      </c>
      <c r="V19" s="371">
        <v>0.1</v>
      </c>
      <c r="W19" s="70" t="s">
        <v>27</v>
      </c>
      <c r="X19" s="70">
        <f>ROUND(M19*P19*S19*V19,-3)</f>
        <v>5468000</v>
      </c>
      <c r="Y19" s="59" t="s">
        <v>57</v>
      </c>
      <c r="Z19" s="6"/>
    </row>
    <row r="20" spans="1:27" s="11" customFormat="1" ht="19.5" customHeight="1">
      <c r="A20" s="62"/>
      <c r="B20" s="47"/>
      <c r="C20" s="47"/>
      <c r="D20" s="47"/>
      <c r="E20" s="49"/>
      <c r="F20" s="49"/>
      <c r="G20" s="50"/>
      <c r="H20" s="72"/>
      <c r="I20" s="69" t="s">
        <v>425</v>
      </c>
      <c r="J20" s="334"/>
      <c r="K20" s="333"/>
      <c r="L20" s="333"/>
      <c r="M20" s="417">
        <v>26648</v>
      </c>
      <c r="N20" s="367" t="s">
        <v>25</v>
      </c>
      <c r="O20" s="314" t="s">
        <v>26</v>
      </c>
      <c r="P20" s="333">
        <v>24</v>
      </c>
      <c r="Q20" s="314" t="s">
        <v>293</v>
      </c>
      <c r="R20" s="316" t="s">
        <v>26</v>
      </c>
      <c r="S20" s="318">
        <v>1</v>
      </c>
      <c r="T20" s="318" t="s">
        <v>424</v>
      </c>
      <c r="U20" s="367" t="s">
        <v>26</v>
      </c>
      <c r="V20" s="371">
        <v>0.1</v>
      </c>
      <c r="W20" s="70" t="s">
        <v>27</v>
      </c>
      <c r="X20" s="70">
        <f t="shared" ref="X20" si="6">ROUND(M20*P20*S20*V20,-3)</f>
        <v>64000</v>
      </c>
      <c r="Y20" s="59" t="s">
        <v>57</v>
      </c>
      <c r="Z20" s="6"/>
    </row>
    <row r="21" spans="1:27" s="11" customFormat="1" ht="19.5" customHeight="1">
      <c r="A21" s="62"/>
      <c r="B21" s="47"/>
      <c r="C21" s="47"/>
      <c r="D21" s="47"/>
      <c r="E21" s="49"/>
      <c r="F21" s="49"/>
      <c r="G21" s="50"/>
      <c r="H21" s="72"/>
      <c r="I21" s="69" t="s">
        <v>426</v>
      </c>
      <c r="J21" s="70"/>
      <c r="K21" s="317"/>
      <c r="L21" s="317"/>
      <c r="M21" s="333">
        <v>27489</v>
      </c>
      <c r="N21" s="333" t="s">
        <v>25</v>
      </c>
      <c r="O21" s="314" t="s">
        <v>26</v>
      </c>
      <c r="P21" s="333">
        <v>24</v>
      </c>
      <c r="Q21" s="55" t="s">
        <v>293</v>
      </c>
      <c r="R21" s="316" t="s">
        <v>26</v>
      </c>
      <c r="S21" s="57">
        <v>2</v>
      </c>
      <c r="T21" s="367" t="s">
        <v>424</v>
      </c>
      <c r="U21" s="367" t="s">
        <v>26</v>
      </c>
      <c r="V21" s="371">
        <v>0.1</v>
      </c>
      <c r="W21" s="334" t="s">
        <v>27</v>
      </c>
      <c r="X21" s="70">
        <f>ROUNDUP(M21*P21*S21*V21,-3)</f>
        <v>132000</v>
      </c>
      <c r="Y21" s="59" t="s">
        <v>57</v>
      </c>
      <c r="Z21" s="6"/>
    </row>
    <row r="22" spans="1:27" s="11" customFormat="1" ht="19.5" customHeight="1">
      <c r="A22" s="62"/>
      <c r="B22" s="47"/>
      <c r="C22" s="47"/>
      <c r="D22" s="61"/>
      <c r="E22" s="63"/>
      <c r="F22" s="63"/>
      <c r="G22" s="64"/>
      <c r="H22" s="92"/>
      <c r="I22" s="336"/>
      <c r="J22" s="74"/>
      <c r="K22" s="355"/>
      <c r="L22" s="355"/>
      <c r="M22" s="335"/>
      <c r="N22" s="335"/>
      <c r="O22" s="356"/>
      <c r="P22" s="335"/>
      <c r="Q22" s="159"/>
      <c r="R22" s="357"/>
      <c r="S22" s="89"/>
      <c r="T22" s="295"/>
      <c r="U22" s="295"/>
      <c r="V22" s="358"/>
      <c r="W22" s="336"/>
      <c r="X22" s="74"/>
      <c r="Y22" s="75"/>
      <c r="Z22" s="6"/>
    </row>
    <row r="23" spans="1:27" s="11" customFormat="1" ht="19.5" customHeight="1" thickBot="1">
      <c r="A23" s="62"/>
      <c r="B23" s="47"/>
      <c r="C23" s="47"/>
      <c r="D23" s="37" t="s">
        <v>487</v>
      </c>
      <c r="E23" s="38">
        <v>713955</v>
      </c>
      <c r="F23" s="350">
        <f>ROUND(X23/1000,0)</f>
        <v>659119</v>
      </c>
      <c r="G23" s="39">
        <f t="shared" ref="G23" si="7">F23-E23</f>
        <v>-54836</v>
      </c>
      <c r="H23" s="134">
        <f t="shared" ref="H23" si="8">IF(E23=0,0,G23/E23)</f>
        <v>-7.6805961160017089E-2</v>
      </c>
      <c r="I23" s="363" t="s">
        <v>507</v>
      </c>
      <c r="J23" s="362"/>
      <c r="K23" s="370"/>
      <c r="L23" s="370"/>
      <c r="M23" s="96"/>
      <c r="N23" s="96"/>
      <c r="O23" s="351"/>
      <c r="P23" s="96"/>
      <c r="Q23" s="352"/>
      <c r="R23" s="360"/>
      <c r="S23" s="361"/>
      <c r="T23" s="366"/>
      <c r="U23" s="366"/>
      <c r="V23" s="364" t="s">
        <v>477</v>
      </c>
      <c r="W23" s="365"/>
      <c r="X23" s="365">
        <f>SUM(X24,X25,X29,X31)</f>
        <v>659119000</v>
      </c>
      <c r="Y23" s="401" t="s">
        <v>57</v>
      </c>
      <c r="Z23" s="6"/>
    </row>
    <row r="24" spans="1:27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73" t="s">
        <v>488</v>
      </c>
      <c r="J24" s="334"/>
      <c r="K24" s="333"/>
      <c r="L24" s="333"/>
      <c r="M24" s="333">
        <v>726264000</v>
      </c>
      <c r="N24" s="333" t="s">
        <v>482</v>
      </c>
      <c r="O24" s="76" t="s">
        <v>500</v>
      </c>
      <c r="P24" s="447">
        <v>0.57299999999999995</v>
      </c>
      <c r="Q24" s="333"/>
      <c r="R24" s="333"/>
      <c r="S24" s="333"/>
      <c r="T24" s="333"/>
      <c r="U24" s="333" t="s">
        <v>505</v>
      </c>
      <c r="V24" s="335" t="s">
        <v>506</v>
      </c>
      <c r="W24" s="74"/>
      <c r="X24" s="335">
        <f>ROUND(M24*P24,-3)</f>
        <v>416149000</v>
      </c>
      <c r="Y24" s="75" t="s">
        <v>25</v>
      </c>
      <c r="Z24" s="6"/>
    </row>
    <row r="25" spans="1:27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196" t="s">
        <v>489</v>
      </c>
      <c r="J25" s="334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197" t="s">
        <v>506</v>
      </c>
      <c r="W25" s="198"/>
      <c r="X25" s="197">
        <f>SUM(X26:X28)</f>
        <v>145543000</v>
      </c>
      <c r="Y25" s="199" t="s">
        <v>25</v>
      </c>
      <c r="Z25" s="6"/>
    </row>
    <row r="26" spans="1:27" s="11" customFormat="1" ht="19.5" customHeight="1">
      <c r="A26" s="62"/>
      <c r="B26" s="47"/>
      <c r="C26" s="47"/>
      <c r="D26" s="47"/>
      <c r="E26" s="49"/>
      <c r="F26" s="49"/>
      <c r="G26" s="50"/>
      <c r="H26" s="72"/>
      <c r="I26" s="69" t="s">
        <v>490</v>
      </c>
      <c r="J26" s="334"/>
      <c r="K26" s="333"/>
      <c r="L26" s="333"/>
      <c r="M26" s="333">
        <v>72406800</v>
      </c>
      <c r="N26" s="333" t="s">
        <v>482</v>
      </c>
      <c r="O26" s="76" t="s">
        <v>500</v>
      </c>
      <c r="P26" s="447">
        <v>0.57299999999999995</v>
      </c>
      <c r="Q26" s="333"/>
      <c r="R26" s="333"/>
      <c r="S26" s="333"/>
      <c r="T26" s="333"/>
      <c r="U26" s="333" t="s">
        <v>505</v>
      </c>
      <c r="V26" s="485"/>
      <c r="W26" s="485"/>
      <c r="X26" s="362">
        <f t="shared" ref="X26:X28" si="9">ROUND(M26*P26,-3)</f>
        <v>41489000</v>
      </c>
      <c r="Y26" s="136" t="s">
        <v>491</v>
      </c>
      <c r="Z26" s="6"/>
    </row>
    <row r="27" spans="1:27" s="11" customFormat="1" ht="19.5" customHeight="1">
      <c r="A27" s="62"/>
      <c r="B27" s="47"/>
      <c r="C27" s="47"/>
      <c r="D27" s="47"/>
      <c r="E27" s="49"/>
      <c r="F27" s="49"/>
      <c r="G27" s="50"/>
      <c r="H27" s="72"/>
      <c r="I27" s="69" t="s">
        <v>492</v>
      </c>
      <c r="J27" s="334"/>
      <c r="K27" s="333"/>
      <c r="L27" s="333"/>
      <c r="M27" s="333">
        <v>7200000</v>
      </c>
      <c r="N27" s="333" t="s">
        <v>482</v>
      </c>
      <c r="O27" s="76" t="s">
        <v>500</v>
      </c>
      <c r="P27" s="447">
        <v>0.57299999999999995</v>
      </c>
      <c r="Q27" s="333"/>
      <c r="R27" s="333"/>
      <c r="S27" s="333"/>
      <c r="T27" s="333"/>
      <c r="U27" s="333" t="s">
        <v>505</v>
      </c>
      <c r="V27" s="486"/>
      <c r="W27" s="486"/>
      <c r="X27" s="70">
        <f t="shared" si="9"/>
        <v>4126000</v>
      </c>
      <c r="Y27" s="59" t="s">
        <v>491</v>
      </c>
      <c r="Z27" s="6"/>
    </row>
    <row r="28" spans="1:27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69" t="s">
        <v>493</v>
      </c>
      <c r="J28" s="334"/>
      <c r="K28" s="333"/>
      <c r="L28" s="333"/>
      <c r="M28" s="333">
        <v>174393650</v>
      </c>
      <c r="N28" s="333" t="s">
        <v>482</v>
      </c>
      <c r="O28" s="76" t="s">
        <v>500</v>
      </c>
      <c r="P28" s="447">
        <v>0.57299999999999995</v>
      </c>
      <c r="Q28" s="333"/>
      <c r="R28" s="333"/>
      <c r="S28" s="333"/>
      <c r="T28" s="333"/>
      <c r="U28" s="333" t="s">
        <v>505</v>
      </c>
      <c r="V28" s="486"/>
      <c r="W28" s="486"/>
      <c r="X28" s="70">
        <f t="shared" si="9"/>
        <v>99928000</v>
      </c>
      <c r="Y28" s="59" t="s">
        <v>491</v>
      </c>
      <c r="Z28" s="6"/>
    </row>
    <row r="29" spans="1:27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73" t="s">
        <v>494</v>
      </c>
      <c r="J29" s="334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5" t="s">
        <v>506</v>
      </c>
      <c r="W29" s="74"/>
      <c r="X29" s="335">
        <f>X30</f>
        <v>46808000</v>
      </c>
      <c r="Y29" s="75" t="s">
        <v>25</v>
      </c>
      <c r="Z29" s="6"/>
    </row>
    <row r="30" spans="1:27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69" t="s">
        <v>508</v>
      </c>
      <c r="J30" s="334"/>
      <c r="K30" s="333"/>
      <c r="L30" s="333"/>
      <c r="M30" s="333">
        <f>SUM(M24:M28)</f>
        <v>980264450</v>
      </c>
      <c r="N30" s="55" t="s">
        <v>491</v>
      </c>
      <c r="O30" s="367" t="s">
        <v>495</v>
      </c>
      <c r="P30" s="79">
        <v>12</v>
      </c>
      <c r="Q30" s="314" t="s">
        <v>496</v>
      </c>
      <c r="R30" s="76" t="s">
        <v>500</v>
      </c>
      <c r="S30" s="447">
        <v>0.57299999999999995</v>
      </c>
      <c r="T30" s="333"/>
      <c r="U30" s="333" t="s">
        <v>497</v>
      </c>
      <c r="V30" s="96"/>
      <c r="W30" s="96"/>
      <c r="X30" s="362">
        <f>ROUND(M30/P30*S30,-3)</f>
        <v>46808000</v>
      </c>
      <c r="Y30" s="402" t="s">
        <v>482</v>
      </c>
      <c r="Z30" s="308"/>
      <c r="AA30" s="6"/>
    </row>
    <row r="31" spans="1:27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73" t="s">
        <v>498</v>
      </c>
      <c r="J31" s="334"/>
      <c r="K31" s="333"/>
      <c r="L31" s="333"/>
      <c r="M31" s="333"/>
      <c r="N31" s="55"/>
      <c r="O31" s="333"/>
      <c r="P31" s="333"/>
      <c r="Q31" s="333"/>
      <c r="R31" s="333"/>
      <c r="S31" s="333"/>
      <c r="T31" s="333"/>
      <c r="U31" s="333"/>
      <c r="V31" s="335" t="s">
        <v>506</v>
      </c>
      <c r="W31" s="74"/>
      <c r="X31" s="335">
        <f>SUM(X32:X36)</f>
        <v>50619000</v>
      </c>
      <c r="Y31" s="75" t="s">
        <v>25</v>
      </c>
      <c r="Z31" s="6"/>
    </row>
    <row r="32" spans="1:27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69" t="s">
        <v>499</v>
      </c>
      <c r="J32" s="334"/>
      <c r="K32" s="333"/>
      <c r="L32" s="333"/>
      <c r="M32" s="333">
        <f>M30</f>
        <v>980264450</v>
      </c>
      <c r="N32" s="55" t="s">
        <v>491</v>
      </c>
      <c r="O32" s="76" t="s">
        <v>500</v>
      </c>
      <c r="P32" s="368">
        <v>0.09</v>
      </c>
      <c r="Q32" s="367">
        <v>2</v>
      </c>
      <c r="R32" s="76" t="s">
        <v>500</v>
      </c>
      <c r="S32" s="447">
        <v>0.57299999999999995</v>
      </c>
      <c r="T32" s="78"/>
      <c r="U32" s="367" t="s">
        <v>497</v>
      </c>
      <c r="V32" s="333"/>
      <c r="W32" s="70"/>
      <c r="X32" s="70">
        <f>ROUND(M32*P32/Q32*S32,-3)</f>
        <v>25276000</v>
      </c>
      <c r="Y32" s="59" t="s">
        <v>491</v>
      </c>
      <c r="Z32" s="6"/>
    </row>
    <row r="33" spans="1:26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69" t="s">
        <v>501</v>
      </c>
      <c r="J33" s="334"/>
      <c r="K33" s="333"/>
      <c r="L33" s="333"/>
      <c r="M33" s="333">
        <f>M30</f>
        <v>980264450</v>
      </c>
      <c r="N33" s="55" t="s">
        <v>491</v>
      </c>
      <c r="O33" s="76" t="s">
        <v>500</v>
      </c>
      <c r="P33" s="369">
        <v>5.8900000000000001E-2</v>
      </c>
      <c r="Q33" s="367">
        <v>2</v>
      </c>
      <c r="R33" s="76" t="s">
        <v>500</v>
      </c>
      <c r="S33" s="447">
        <v>0.57299999999999995</v>
      </c>
      <c r="T33" s="78"/>
      <c r="U33" s="367" t="s">
        <v>497</v>
      </c>
      <c r="V33" s="333"/>
      <c r="W33" s="70"/>
      <c r="X33" s="70">
        <f>ROUNDUP(M33*P33/Q33*S33,-3)</f>
        <v>16542000</v>
      </c>
      <c r="Y33" s="59" t="s">
        <v>491</v>
      </c>
      <c r="Z33" s="6"/>
    </row>
    <row r="34" spans="1:26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69" t="s">
        <v>502</v>
      </c>
      <c r="J34" s="334"/>
      <c r="K34" s="333"/>
      <c r="L34" s="333"/>
      <c r="M34" s="333">
        <f>X33</f>
        <v>16542000</v>
      </c>
      <c r="N34" s="55" t="s">
        <v>491</v>
      </c>
      <c r="O34" s="76" t="s">
        <v>500</v>
      </c>
      <c r="P34" s="82">
        <v>6.5500000000000003E-2</v>
      </c>
      <c r="Q34" s="83"/>
      <c r="R34" s="76"/>
      <c r="S34" s="80"/>
      <c r="T34" s="85"/>
      <c r="U34" s="367" t="s">
        <v>497</v>
      </c>
      <c r="V34" s="333"/>
      <c r="W34" s="70"/>
      <c r="X34" s="70">
        <f>ROUND(M34*P34,-3)</f>
        <v>1084000</v>
      </c>
      <c r="Y34" s="59" t="s">
        <v>491</v>
      </c>
      <c r="Z34" s="6"/>
    </row>
    <row r="35" spans="1:26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69" t="s">
        <v>503</v>
      </c>
      <c r="J35" s="334"/>
      <c r="K35" s="333"/>
      <c r="L35" s="333"/>
      <c r="M35" s="333">
        <f>M30</f>
        <v>980264450</v>
      </c>
      <c r="N35" s="55" t="s">
        <v>491</v>
      </c>
      <c r="O35" s="76" t="s">
        <v>500</v>
      </c>
      <c r="P35" s="82">
        <v>8.0000000000000002E-3</v>
      </c>
      <c r="Q35" s="76"/>
      <c r="R35" s="76" t="s">
        <v>500</v>
      </c>
      <c r="S35" s="447">
        <v>0.57299999999999995</v>
      </c>
      <c r="T35" s="78"/>
      <c r="U35" s="367" t="s">
        <v>497</v>
      </c>
      <c r="V35" s="333"/>
      <c r="W35" s="70"/>
      <c r="X35" s="70">
        <f>ROUNDDOWN(M35*P35*S35,-3)</f>
        <v>4493000</v>
      </c>
      <c r="Y35" s="59" t="s">
        <v>491</v>
      </c>
      <c r="Z35" s="6"/>
    </row>
    <row r="36" spans="1:26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69" t="s">
        <v>504</v>
      </c>
      <c r="J36" s="334"/>
      <c r="K36" s="333"/>
      <c r="L36" s="333"/>
      <c r="M36" s="333">
        <f>M30</f>
        <v>980264450</v>
      </c>
      <c r="N36" s="55" t="s">
        <v>491</v>
      </c>
      <c r="O36" s="76" t="s">
        <v>500</v>
      </c>
      <c r="P36" s="424">
        <v>5.7400000000000003E-3</v>
      </c>
      <c r="Q36" s="76"/>
      <c r="R36" s="76" t="s">
        <v>500</v>
      </c>
      <c r="S36" s="447">
        <v>0.57299999999999995</v>
      </c>
      <c r="T36" s="78"/>
      <c r="U36" s="367" t="s">
        <v>497</v>
      </c>
      <c r="V36" s="333"/>
      <c r="W36" s="70"/>
      <c r="X36" s="70">
        <f t="shared" ref="X36" si="10">ROUND(M36*P36*S36,-3)</f>
        <v>3224000</v>
      </c>
      <c r="Y36" s="59" t="s">
        <v>491</v>
      </c>
      <c r="Z36" s="6"/>
    </row>
    <row r="37" spans="1:26" s="11" customFormat="1" ht="19.5" customHeight="1">
      <c r="A37" s="62"/>
      <c r="B37" s="47"/>
      <c r="C37" s="47"/>
      <c r="D37" s="61"/>
      <c r="E37" s="63"/>
      <c r="F37" s="63"/>
      <c r="G37" s="64"/>
      <c r="H37" s="92"/>
      <c r="I37" s="336"/>
      <c r="J37" s="74"/>
      <c r="K37" s="355"/>
      <c r="L37" s="355"/>
      <c r="M37" s="335"/>
      <c r="N37" s="335"/>
      <c r="O37" s="356"/>
      <c r="P37" s="335"/>
      <c r="Q37" s="159"/>
      <c r="R37" s="357"/>
      <c r="S37" s="89"/>
      <c r="T37" s="295"/>
      <c r="U37" s="295"/>
      <c r="V37" s="358"/>
      <c r="W37" s="336"/>
      <c r="X37" s="74"/>
      <c r="Y37" s="75"/>
      <c r="Z37" s="6"/>
    </row>
    <row r="38" spans="1:26" s="11" customFormat="1" ht="19.5" customHeight="1" thickBot="1">
      <c r="A38" s="62"/>
      <c r="B38" s="47"/>
      <c r="C38" s="47"/>
      <c r="D38" s="37" t="s">
        <v>509</v>
      </c>
      <c r="E38" s="38">
        <v>47827</v>
      </c>
      <c r="F38" s="350">
        <f>ROUND(X38/1000,0)</f>
        <v>41035</v>
      </c>
      <c r="G38" s="39">
        <f t="shared" ref="G38" si="11">F38-E38</f>
        <v>-6792</v>
      </c>
      <c r="H38" s="134">
        <f t="shared" ref="H38" si="12">IF(E38=0,0,G38/E38)</f>
        <v>-0.14201183431952663</v>
      </c>
      <c r="I38" s="363" t="s">
        <v>510</v>
      </c>
      <c r="J38" s="362"/>
      <c r="K38" s="370"/>
      <c r="L38" s="370"/>
      <c r="M38" s="96"/>
      <c r="N38" s="96"/>
      <c r="O38" s="351"/>
      <c r="P38" s="96"/>
      <c r="Q38" s="352"/>
      <c r="R38" s="360"/>
      <c r="S38" s="361"/>
      <c r="T38" s="366"/>
      <c r="U38" s="366"/>
      <c r="V38" s="364" t="s">
        <v>477</v>
      </c>
      <c r="W38" s="365"/>
      <c r="X38" s="365">
        <f>SUM(X39:X40)</f>
        <v>41035000</v>
      </c>
      <c r="Y38" s="401" t="s">
        <v>57</v>
      </c>
      <c r="Z38" s="6"/>
    </row>
    <row r="39" spans="1:26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334" t="s">
        <v>511</v>
      </c>
      <c r="J39" s="70"/>
      <c r="K39" s="317"/>
      <c r="L39" s="317"/>
      <c r="M39" s="333">
        <v>39591000</v>
      </c>
      <c r="N39" s="333" t="s">
        <v>482</v>
      </c>
      <c r="O39" s="76" t="s">
        <v>500</v>
      </c>
      <c r="P39" s="447">
        <v>0.57299999999999995</v>
      </c>
      <c r="Q39" s="333"/>
      <c r="R39" s="333"/>
      <c r="S39" s="333"/>
      <c r="T39" s="333"/>
      <c r="U39" s="333" t="s">
        <v>505</v>
      </c>
      <c r="V39" s="486"/>
      <c r="W39" s="486"/>
      <c r="X39" s="70">
        <f t="shared" ref="X39" si="13">ROUND(M39*P39,-3)</f>
        <v>22686000</v>
      </c>
      <c r="Y39" s="59" t="s">
        <v>491</v>
      </c>
      <c r="Z39" s="6"/>
    </row>
    <row r="40" spans="1:26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334" t="s">
        <v>512</v>
      </c>
      <c r="J40" s="70"/>
      <c r="K40" s="317"/>
      <c r="L40" s="317"/>
      <c r="M40" s="333">
        <v>593000</v>
      </c>
      <c r="N40" s="333" t="s">
        <v>491</v>
      </c>
      <c r="O40" s="56" t="s">
        <v>500</v>
      </c>
      <c r="P40" s="367">
        <v>54</v>
      </c>
      <c r="Q40" s="333" t="s">
        <v>513</v>
      </c>
      <c r="R40" s="76" t="s">
        <v>500</v>
      </c>
      <c r="S40" s="447">
        <v>0.57299999999999995</v>
      </c>
      <c r="T40" s="333"/>
      <c r="U40" s="333" t="s">
        <v>505</v>
      </c>
      <c r="V40" s="486"/>
      <c r="W40" s="486"/>
      <c r="X40" s="70">
        <f>ROUND(M40*P40*S40,-3)</f>
        <v>18349000</v>
      </c>
      <c r="Y40" s="59" t="s">
        <v>491</v>
      </c>
      <c r="Z40" s="6"/>
    </row>
    <row r="41" spans="1:26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336"/>
      <c r="J41" s="74"/>
      <c r="K41" s="355"/>
      <c r="L41" s="355"/>
      <c r="M41" s="335"/>
      <c r="N41" s="335"/>
      <c r="O41" s="356"/>
      <c r="P41" s="335"/>
      <c r="Q41" s="159"/>
      <c r="R41" s="357"/>
      <c r="S41" s="89"/>
      <c r="T41" s="295"/>
      <c r="U41" s="295"/>
      <c r="V41" s="358"/>
      <c r="W41" s="336"/>
      <c r="X41" s="74"/>
      <c r="Y41" s="75"/>
      <c r="Z41" s="6"/>
    </row>
    <row r="42" spans="1:26" s="11" customFormat="1" ht="19.5" customHeight="1" thickBot="1">
      <c r="A42" s="62"/>
      <c r="B42" s="47"/>
      <c r="C42" s="47"/>
      <c r="D42" s="37" t="s">
        <v>514</v>
      </c>
      <c r="E42" s="38">
        <v>6651</v>
      </c>
      <c r="F42" s="350">
        <f>ROUND(X42/1000,0)</f>
        <v>4056</v>
      </c>
      <c r="G42" s="39">
        <f t="shared" ref="G42" si="14">F42-E42</f>
        <v>-2595</v>
      </c>
      <c r="H42" s="134">
        <f t="shared" ref="H42" si="15">IF(E42=0,0,G42/E42)</f>
        <v>-0.39016689219666217</v>
      </c>
      <c r="I42" s="363" t="s">
        <v>516</v>
      </c>
      <c r="J42" s="362"/>
      <c r="K42" s="370"/>
      <c r="L42" s="370"/>
      <c r="M42" s="96"/>
      <c r="N42" s="96"/>
      <c r="O42" s="351"/>
      <c r="P42" s="96"/>
      <c r="Q42" s="352"/>
      <c r="R42" s="360"/>
      <c r="S42" s="361"/>
      <c r="T42" s="366"/>
      <c r="U42" s="366"/>
      <c r="V42" s="364" t="s">
        <v>477</v>
      </c>
      <c r="W42" s="365"/>
      <c r="X42" s="365">
        <f>SUM(X43:X48)</f>
        <v>4056000</v>
      </c>
      <c r="Y42" s="401" t="s">
        <v>57</v>
      </c>
      <c r="Z42" s="6"/>
    </row>
    <row r="43" spans="1:26" s="11" customFormat="1" ht="19.5" customHeight="1">
      <c r="A43" s="62"/>
      <c r="B43" s="47"/>
      <c r="C43" s="47"/>
      <c r="D43" s="47" t="s">
        <v>515</v>
      </c>
      <c r="E43" s="49"/>
      <c r="F43" s="49"/>
      <c r="G43" s="50"/>
      <c r="H43" s="72"/>
      <c r="I43" s="69" t="s">
        <v>517</v>
      </c>
      <c r="J43" s="334"/>
      <c r="K43" s="333"/>
      <c r="L43" s="333"/>
      <c r="M43" s="333">
        <v>500</v>
      </c>
      <c r="N43" s="333" t="s">
        <v>491</v>
      </c>
      <c r="O43" s="334" t="s">
        <v>500</v>
      </c>
      <c r="P43" s="372">
        <v>54</v>
      </c>
      <c r="Q43" s="373">
        <v>365</v>
      </c>
      <c r="R43" s="333" t="s">
        <v>518</v>
      </c>
      <c r="S43" s="448">
        <v>0.183</v>
      </c>
      <c r="T43" s="333"/>
      <c r="U43" s="333" t="s">
        <v>497</v>
      </c>
      <c r="V43" s="333"/>
      <c r="W43" s="70"/>
      <c r="X43" s="70">
        <f>ROUND(M43*P43*Q43*S43,-3)</f>
        <v>1803000</v>
      </c>
      <c r="Y43" s="59" t="s">
        <v>25</v>
      </c>
      <c r="Z43" s="6"/>
    </row>
    <row r="44" spans="1:26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69" t="s">
        <v>519</v>
      </c>
      <c r="J44" s="334"/>
      <c r="K44" s="333"/>
      <c r="L44" s="333"/>
      <c r="M44" s="333">
        <v>5000</v>
      </c>
      <c r="N44" s="333" t="s">
        <v>491</v>
      </c>
      <c r="O44" s="334" t="s">
        <v>500</v>
      </c>
      <c r="P44" s="372">
        <v>54</v>
      </c>
      <c r="Q44" s="373">
        <v>12</v>
      </c>
      <c r="R44" s="333" t="s">
        <v>496</v>
      </c>
      <c r="S44" s="448">
        <v>0.183</v>
      </c>
      <c r="T44" s="333"/>
      <c r="U44" s="333" t="s">
        <v>497</v>
      </c>
      <c r="V44" s="333"/>
      <c r="W44" s="70"/>
      <c r="X44" s="70">
        <f t="shared" ref="X44:X45" si="16">ROUNDUP(M44*P44*Q44*S44,-3)</f>
        <v>593000</v>
      </c>
      <c r="Y44" s="59" t="s">
        <v>25</v>
      </c>
      <c r="Z44" s="6"/>
    </row>
    <row r="45" spans="1:26" s="11" customFormat="1" ht="19.5" customHeight="1">
      <c r="A45" s="62"/>
      <c r="B45" s="47"/>
      <c r="C45" s="47"/>
      <c r="D45" s="47"/>
      <c r="E45" s="49"/>
      <c r="F45" s="49"/>
      <c r="G45" s="50"/>
      <c r="H45" s="72"/>
      <c r="I45" s="69" t="s">
        <v>520</v>
      </c>
      <c r="J45" s="334"/>
      <c r="K45" s="333"/>
      <c r="L45" s="333"/>
      <c r="M45" s="333">
        <v>20000</v>
      </c>
      <c r="N45" s="333" t="s">
        <v>491</v>
      </c>
      <c r="O45" s="334" t="s">
        <v>500</v>
      </c>
      <c r="P45" s="372">
        <v>54</v>
      </c>
      <c r="Q45" s="373">
        <v>4</v>
      </c>
      <c r="R45" s="333" t="s">
        <v>521</v>
      </c>
      <c r="S45" s="448">
        <v>0.183</v>
      </c>
      <c r="T45" s="333"/>
      <c r="U45" s="333" t="s">
        <v>497</v>
      </c>
      <c r="V45" s="333"/>
      <c r="W45" s="70"/>
      <c r="X45" s="70">
        <f t="shared" si="16"/>
        <v>791000</v>
      </c>
      <c r="Y45" s="59" t="s">
        <v>25</v>
      </c>
      <c r="Z45" s="6"/>
    </row>
    <row r="46" spans="1:26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69" t="s">
        <v>522</v>
      </c>
      <c r="J46" s="334"/>
      <c r="K46" s="333"/>
      <c r="L46" s="333"/>
      <c r="M46" s="333">
        <v>12000</v>
      </c>
      <c r="N46" s="333" t="s">
        <v>491</v>
      </c>
      <c r="O46" s="334" t="s">
        <v>500</v>
      </c>
      <c r="P46" s="372">
        <v>54</v>
      </c>
      <c r="Q46" s="373">
        <v>4</v>
      </c>
      <c r="R46" s="333" t="s">
        <v>521</v>
      </c>
      <c r="S46" s="448">
        <v>0.183</v>
      </c>
      <c r="T46" s="333"/>
      <c r="U46" s="333" t="s">
        <v>497</v>
      </c>
      <c r="V46" s="333"/>
      <c r="W46" s="70"/>
      <c r="X46" s="70">
        <f>ROUND(M46*P46*Q46*S46,-3)</f>
        <v>474000</v>
      </c>
      <c r="Y46" s="59" t="s">
        <v>25</v>
      </c>
      <c r="Z46" s="6"/>
    </row>
    <row r="47" spans="1:26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69" t="s">
        <v>523</v>
      </c>
      <c r="J47" s="334"/>
      <c r="K47" s="333"/>
      <c r="L47" s="333"/>
      <c r="M47" s="333"/>
      <c r="N47" s="333"/>
      <c r="O47" s="334"/>
      <c r="P47" s="372"/>
      <c r="Q47" s="373"/>
      <c r="R47" s="333"/>
      <c r="S47" s="333"/>
      <c r="T47" s="333"/>
      <c r="U47" s="333"/>
      <c r="V47" s="333"/>
      <c r="W47" s="70"/>
      <c r="X47" s="70"/>
      <c r="Y47" s="59"/>
      <c r="Z47" s="6"/>
    </row>
    <row r="48" spans="1:26" s="11" customFormat="1" ht="19.5" customHeight="1">
      <c r="A48" s="62"/>
      <c r="B48" s="47"/>
      <c r="C48" s="47"/>
      <c r="D48" s="47"/>
      <c r="E48" s="49"/>
      <c r="F48" s="49"/>
      <c r="G48" s="50"/>
      <c r="H48" s="72"/>
      <c r="I48" s="69" t="s">
        <v>524</v>
      </c>
      <c r="J48" s="334"/>
      <c r="K48" s="333"/>
      <c r="L48" s="333"/>
      <c r="M48" s="333">
        <v>40000</v>
      </c>
      <c r="N48" s="333" t="s">
        <v>491</v>
      </c>
      <c r="O48" s="334" t="s">
        <v>500</v>
      </c>
      <c r="P48" s="372">
        <v>54</v>
      </c>
      <c r="Q48" s="373">
        <v>1</v>
      </c>
      <c r="R48" s="333" t="s">
        <v>521</v>
      </c>
      <c r="S48" s="448">
        <v>0.183</v>
      </c>
      <c r="T48" s="333"/>
      <c r="U48" s="333" t="s">
        <v>497</v>
      </c>
      <c r="V48" s="333"/>
      <c r="W48" s="70"/>
      <c r="X48" s="70">
        <f>ROUND(M48*P48*Q48*S48,-3)</f>
        <v>395000</v>
      </c>
      <c r="Y48" s="59" t="s">
        <v>25</v>
      </c>
      <c r="Z48" s="6"/>
    </row>
    <row r="49" spans="1:26" s="11" customFormat="1" ht="19.5" customHeight="1">
      <c r="A49" s="62"/>
      <c r="B49" s="47"/>
      <c r="C49" s="47"/>
      <c r="D49" s="61"/>
      <c r="E49" s="63"/>
      <c r="F49" s="63"/>
      <c r="G49" s="64"/>
      <c r="H49" s="92"/>
      <c r="I49" s="336"/>
      <c r="J49" s="74"/>
      <c r="K49" s="355"/>
      <c r="L49" s="355"/>
      <c r="M49" s="335"/>
      <c r="N49" s="335"/>
      <c r="O49" s="356"/>
      <c r="P49" s="335"/>
      <c r="Q49" s="159"/>
      <c r="R49" s="357"/>
      <c r="S49" s="89"/>
      <c r="T49" s="295"/>
      <c r="U49" s="295"/>
      <c r="V49" s="358"/>
      <c r="W49" s="336"/>
      <c r="X49" s="74"/>
      <c r="Y49" s="75"/>
      <c r="Z49" s="6"/>
    </row>
    <row r="50" spans="1:26" s="11" customFormat="1" ht="19.5" customHeight="1" thickBot="1">
      <c r="A50" s="62"/>
      <c r="B50" s="47"/>
      <c r="C50" s="47"/>
      <c r="D50" s="37" t="s">
        <v>525</v>
      </c>
      <c r="E50" s="38">
        <v>49368</v>
      </c>
      <c r="F50" s="350">
        <f>ROUND(X50/1000,0)</f>
        <v>27099</v>
      </c>
      <c r="G50" s="39">
        <f t="shared" ref="G50" si="17">F50-E50</f>
        <v>-22269</v>
      </c>
      <c r="H50" s="134">
        <f t="shared" ref="H50" si="18">IF(E50=0,0,G50/E50)</f>
        <v>-0.45108167233835683</v>
      </c>
      <c r="I50" s="363" t="s">
        <v>527</v>
      </c>
      <c r="J50" s="362"/>
      <c r="K50" s="370"/>
      <c r="L50" s="370"/>
      <c r="M50" s="96"/>
      <c r="N50" s="96"/>
      <c r="O50" s="351"/>
      <c r="P50" s="96"/>
      <c r="Q50" s="352"/>
      <c r="R50" s="360"/>
      <c r="S50" s="361"/>
      <c r="T50" s="366"/>
      <c r="U50" s="366"/>
      <c r="V50" s="364" t="s">
        <v>477</v>
      </c>
      <c r="W50" s="365"/>
      <c r="X50" s="365">
        <f>X51+X69</f>
        <v>27099000</v>
      </c>
      <c r="Y50" s="401" t="s">
        <v>57</v>
      </c>
      <c r="Z50" s="6"/>
    </row>
    <row r="51" spans="1:26" s="11" customFormat="1" ht="19.5" customHeight="1">
      <c r="A51" s="62"/>
      <c r="B51" s="47"/>
      <c r="C51" s="47"/>
      <c r="D51" s="47" t="s">
        <v>526</v>
      </c>
      <c r="E51" s="49"/>
      <c r="F51" s="49"/>
      <c r="G51" s="50"/>
      <c r="H51" s="72"/>
      <c r="I51" s="375" t="s">
        <v>528</v>
      </c>
      <c r="J51" s="70"/>
      <c r="K51" s="317"/>
      <c r="L51" s="317"/>
      <c r="M51" s="333"/>
      <c r="N51" s="333"/>
      <c r="O51" s="314"/>
      <c r="P51" s="333"/>
      <c r="Q51" s="55"/>
      <c r="R51" s="316"/>
      <c r="S51" s="57"/>
      <c r="T51" s="367"/>
      <c r="U51" s="367"/>
      <c r="V51" s="335" t="s">
        <v>536</v>
      </c>
      <c r="W51" s="74"/>
      <c r="X51" s="335">
        <f>SUM(X52,X55,X60,X62)</f>
        <v>23889000</v>
      </c>
      <c r="Y51" s="75" t="s">
        <v>25</v>
      </c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73" t="s">
        <v>529</v>
      </c>
      <c r="J52" s="334"/>
      <c r="K52" s="333"/>
      <c r="L52" s="333"/>
      <c r="M52" s="333"/>
      <c r="N52" s="333"/>
      <c r="O52" s="76"/>
      <c r="P52" s="80"/>
      <c r="Q52" s="333"/>
      <c r="R52" s="333"/>
      <c r="S52" s="333"/>
      <c r="T52" s="333"/>
      <c r="U52" s="333"/>
      <c r="V52" s="335" t="s">
        <v>506</v>
      </c>
      <c r="W52" s="74"/>
      <c r="X52" s="335">
        <f>SUM(X53:X54)</f>
        <v>6465000</v>
      </c>
      <c r="Y52" s="75" t="s">
        <v>25</v>
      </c>
      <c r="Z52" s="6"/>
    </row>
    <row r="53" spans="1:26" s="11" customFormat="1" ht="19.5" customHeight="1">
      <c r="A53" s="62"/>
      <c r="B53" s="47"/>
      <c r="C53" s="47"/>
      <c r="D53" s="47"/>
      <c r="E53" s="49"/>
      <c r="F53" s="49"/>
      <c r="G53" s="50"/>
      <c r="H53" s="72"/>
      <c r="I53" s="359" t="s">
        <v>533</v>
      </c>
      <c r="J53" s="334"/>
      <c r="K53" s="333"/>
      <c r="L53" s="333"/>
      <c r="M53" s="333">
        <v>20408000</v>
      </c>
      <c r="N53" s="333" t="s">
        <v>482</v>
      </c>
      <c r="O53" s="76" t="s">
        <v>500</v>
      </c>
      <c r="P53" s="80">
        <v>0.15</v>
      </c>
      <c r="Q53" s="333"/>
      <c r="R53" s="333"/>
      <c r="S53" s="333"/>
      <c r="T53" s="333"/>
      <c r="U53" s="333" t="s">
        <v>505</v>
      </c>
      <c r="V53" s="96"/>
      <c r="W53" s="362"/>
      <c r="X53" s="96">
        <f>ROUNDDOWN(M53*P53,-3)</f>
        <v>3061000</v>
      </c>
      <c r="Y53" s="136" t="s">
        <v>482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69" t="s">
        <v>534</v>
      </c>
      <c r="J54" s="334"/>
      <c r="K54" s="333"/>
      <c r="L54" s="333"/>
      <c r="M54" s="333">
        <v>22693000</v>
      </c>
      <c r="N54" s="333" t="s">
        <v>482</v>
      </c>
      <c r="O54" s="76" t="s">
        <v>500</v>
      </c>
      <c r="P54" s="80">
        <v>0.15</v>
      </c>
      <c r="Q54" s="333"/>
      <c r="R54" s="333"/>
      <c r="S54" s="333"/>
      <c r="T54" s="333"/>
      <c r="U54" s="333" t="s">
        <v>505</v>
      </c>
      <c r="V54" s="333"/>
      <c r="W54" s="70"/>
      <c r="X54" s="333">
        <f t="shared" ref="X54" si="19">ROUND(M54*P54,-3)</f>
        <v>3404000</v>
      </c>
      <c r="Y54" s="59" t="s">
        <v>482</v>
      </c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73" t="s">
        <v>530</v>
      </c>
      <c r="J55" s="334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5" t="s">
        <v>506</v>
      </c>
      <c r="W55" s="74"/>
      <c r="X55" s="335">
        <f>SUM(X56:X59)</f>
        <v>15901000</v>
      </c>
      <c r="Y55" s="75" t="s">
        <v>25</v>
      </c>
      <c r="Z55" s="6"/>
    </row>
    <row r="56" spans="1:26" s="11" customFormat="1" ht="19.5" customHeight="1">
      <c r="A56" s="62"/>
      <c r="B56" s="47"/>
      <c r="C56" s="47"/>
      <c r="D56" s="47"/>
      <c r="E56" s="49"/>
      <c r="F56" s="49"/>
      <c r="G56" s="50"/>
      <c r="H56" s="72"/>
      <c r="I56" s="69" t="s">
        <v>490</v>
      </c>
      <c r="J56" s="334"/>
      <c r="K56" s="333"/>
      <c r="L56" s="333"/>
      <c r="M56" s="333">
        <v>4329000</v>
      </c>
      <c r="N56" s="333" t="s">
        <v>482</v>
      </c>
      <c r="O56" s="76" t="s">
        <v>500</v>
      </c>
      <c r="P56" s="80">
        <v>0.15</v>
      </c>
      <c r="Q56" s="333"/>
      <c r="R56" s="333"/>
      <c r="S56" s="333"/>
      <c r="T56" s="333"/>
      <c r="U56" s="333" t="s">
        <v>505</v>
      </c>
      <c r="V56" s="485"/>
      <c r="W56" s="485"/>
      <c r="X56" s="362">
        <f t="shared" ref="X56:X58" si="20">ROUND(M56*P56,-3)</f>
        <v>649000</v>
      </c>
      <c r="Y56" s="136" t="s">
        <v>491</v>
      </c>
      <c r="Z56" s="6"/>
    </row>
    <row r="57" spans="1:26" s="11" customFormat="1" ht="19.5" customHeight="1">
      <c r="A57" s="62"/>
      <c r="B57" s="47"/>
      <c r="C57" s="47"/>
      <c r="D57" s="47"/>
      <c r="E57" s="49"/>
      <c r="F57" s="49"/>
      <c r="G57" s="50"/>
      <c r="H57" s="72"/>
      <c r="I57" s="69" t="s">
        <v>492</v>
      </c>
      <c r="J57" s="334"/>
      <c r="K57" s="333"/>
      <c r="L57" s="333"/>
      <c r="M57" s="333">
        <v>1200000</v>
      </c>
      <c r="N57" s="333" t="s">
        <v>482</v>
      </c>
      <c r="O57" s="76" t="s">
        <v>500</v>
      </c>
      <c r="P57" s="80">
        <v>0.15</v>
      </c>
      <c r="Q57" s="333"/>
      <c r="R57" s="333"/>
      <c r="S57" s="333"/>
      <c r="T57" s="333"/>
      <c r="U57" s="333" t="s">
        <v>505</v>
      </c>
      <c r="V57" s="486"/>
      <c r="W57" s="486"/>
      <c r="X57" s="70">
        <f t="shared" si="20"/>
        <v>180000</v>
      </c>
      <c r="Y57" s="59" t="s">
        <v>491</v>
      </c>
      <c r="Z57" s="6"/>
    </row>
    <row r="58" spans="1:26" s="11" customFormat="1" ht="19.5" customHeight="1">
      <c r="A58" s="62"/>
      <c r="B58" s="47"/>
      <c r="C58" s="47"/>
      <c r="D58" s="47"/>
      <c r="E58" s="49"/>
      <c r="F58" s="49"/>
      <c r="G58" s="50"/>
      <c r="H58" s="72"/>
      <c r="I58" s="69" t="s">
        <v>493</v>
      </c>
      <c r="J58" s="334"/>
      <c r="K58" s="333"/>
      <c r="L58" s="333"/>
      <c r="M58" s="333">
        <v>9928100</v>
      </c>
      <c r="N58" s="333" t="s">
        <v>482</v>
      </c>
      <c r="O58" s="76" t="s">
        <v>500</v>
      </c>
      <c r="P58" s="80">
        <v>0.15</v>
      </c>
      <c r="Q58" s="333"/>
      <c r="R58" s="333"/>
      <c r="S58" s="333"/>
      <c r="T58" s="333"/>
      <c r="U58" s="333" t="s">
        <v>505</v>
      </c>
      <c r="V58" s="486"/>
      <c r="W58" s="486"/>
      <c r="X58" s="70">
        <f t="shared" si="20"/>
        <v>1489000</v>
      </c>
      <c r="Y58" s="59" t="s">
        <v>491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69" t="s">
        <v>535</v>
      </c>
      <c r="J59" s="334"/>
      <c r="K59" s="333"/>
      <c r="L59" s="333"/>
      <c r="M59" s="333">
        <v>90550000</v>
      </c>
      <c r="N59" s="333" t="s">
        <v>482</v>
      </c>
      <c r="O59" s="76" t="s">
        <v>500</v>
      </c>
      <c r="P59" s="80">
        <v>0.15</v>
      </c>
      <c r="Q59" s="333"/>
      <c r="R59" s="333"/>
      <c r="S59" s="333"/>
      <c r="T59" s="333"/>
      <c r="U59" s="333" t="s">
        <v>505</v>
      </c>
      <c r="V59" s="486"/>
      <c r="W59" s="486"/>
      <c r="X59" s="70">
        <f t="shared" ref="X59" si="21">ROUND(M59*P59,-3)</f>
        <v>13583000</v>
      </c>
      <c r="Y59" s="59" t="s">
        <v>491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73" t="s">
        <v>531</v>
      </c>
      <c r="J60" s="334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5" t="s">
        <v>506</v>
      </c>
      <c r="W60" s="74"/>
      <c r="X60" s="335">
        <f>X61</f>
        <v>732000</v>
      </c>
      <c r="Y60" s="75" t="s">
        <v>25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69" t="s">
        <v>655</v>
      </c>
      <c r="J61" s="334"/>
      <c r="K61" s="333"/>
      <c r="L61" s="333"/>
      <c r="M61" s="333">
        <f>SUM(M52:M58)</f>
        <v>58558100</v>
      </c>
      <c r="N61" s="55" t="s">
        <v>491</v>
      </c>
      <c r="O61" s="367" t="s">
        <v>495</v>
      </c>
      <c r="P61" s="79">
        <v>12</v>
      </c>
      <c r="Q61" s="314" t="s">
        <v>496</v>
      </c>
      <c r="R61" s="76" t="s">
        <v>500</v>
      </c>
      <c r="S61" s="80">
        <v>0.15</v>
      </c>
      <c r="T61" s="333"/>
      <c r="U61" s="333" t="s">
        <v>497</v>
      </c>
      <c r="V61" s="96"/>
      <c r="W61" s="96"/>
      <c r="X61" s="362">
        <f>ROUNDUP(M61/P61*S61,-3)</f>
        <v>732000</v>
      </c>
      <c r="Y61" s="403" t="s">
        <v>482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532</v>
      </c>
      <c r="J62" s="334"/>
      <c r="K62" s="333"/>
      <c r="L62" s="333"/>
      <c r="M62" s="333"/>
      <c r="N62" s="55"/>
      <c r="O62" s="333"/>
      <c r="P62" s="333"/>
      <c r="Q62" s="333"/>
      <c r="R62" s="333"/>
      <c r="S62" s="333"/>
      <c r="T62" s="333"/>
      <c r="U62" s="333"/>
      <c r="V62" s="335" t="s">
        <v>506</v>
      </c>
      <c r="W62" s="74"/>
      <c r="X62" s="335">
        <f>SUM(X63:X67)</f>
        <v>791000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69" t="s">
        <v>499</v>
      </c>
      <c r="J63" s="334"/>
      <c r="K63" s="333"/>
      <c r="L63" s="333"/>
      <c r="M63" s="333">
        <f>M61</f>
        <v>58558100</v>
      </c>
      <c r="N63" s="55" t="s">
        <v>491</v>
      </c>
      <c r="O63" s="76" t="s">
        <v>500</v>
      </c>
      <c r="P63" s="368">
        <v>0.09</v>
      </c>
      <c r="Q63" s="367">
        <v>2</v>
      </c>
      <c r="R63" s="76" t="s">
        <v>500</v>
      </c>
      <c r="S63" s="80">
        <v>0.15</v>
      </c>
      <c r="T63" s="78"/>
      <c r="U63" s="367" t="s">
        <v>497</v>
      </c>
      <c r="V63" s="333"/>
      <c r="W63" s="70"/>
      <c r="X63" s="70">
        <f>ROUND(M63*P63/Q63*S63,-3)</f>
        <v>395000</v>
      </c>
      <c r="Y63" s="59" t="s">
        <v>491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69" t="s">
        <v>501</v>
      </c>
      <c r="J64" s="334"/>
      <c r="K64" s="333"/>
      <c r="L64" s="333"/>
      <c r="M64" s="333">
        <f>M61</f>
        <v>58558100</v>
      </c>
      <c r="N64" s="55" t="s">
        <v>491</v>
      </c>
      <c r="O64" s="76" t="s">
        <v>500</v>
      </c>
      <c r="P64" s="369">
        <v>5.8900000000000001E-2</v>
      </c>
      <c r="Q64" s="367">
        <v>2</v>
      </c>
      <c r="R64" s="76" t="s">
        <v>500</v>
      </c>
      <c r="S64" s="80">
        <v>0.15</v>
      </c>
      <c r="T64" s="78"/>
      <c r="U64" s="367" t="s">
        <v>497</v>
      </c>
      <c r="V64" s="333"/>
      <c r="W64" s="70"/>
      <c r="X64" s="70">
        <f>ROUNDUP(M64*P64/Q64*S64,-3)</f>
        <v>259000</v>
      </c>
      <c r="Y64" s="59" t="s">
        <v>491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69" t="s">
        <v>502</v>
      </c>
      <c r="J65" s="334"/>
      <c r="K65" s="333"/>
      <c r="L65" s="333"/>
      <c r="M65" s="333">
        <f>X64</f>
        <v>259000</v>
      </c>
      <c r="N65" s="55" t="s">
        <v>491</v>
      </c>
      <c r="O65" s="76" t="s">
        <v>500</v>
      </c>
      <c r="P65" s="82">
        <v>6.5500000000000003E-2</v>
      </c>
      <c r="Q65" s="83"/>
      <c r="R65" s="76"/>
      <c r="S65" s="80"/>
      <c r="T65" s="85"/>
      <c r="U65" s="367" t="s">
        <v>497</v>
      </c>
      <c r="V65" s="333"/>
      <c r="W65" s="70"/>
      <c r="X65" s="70">
        <f>ROUNDUP(M65*P65,-3)</f>
        <v>17000</v>
      </c>
      <c r="Y65" s="59" t="s">
        <v>491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69" t="s">
        <v>503</v>
      </c>
      <c r="J66" s="334"/>
      <c r="K66" s="333"/>
      <c r="L66" s="333"/>
      <c r="M66" s="333">
        <f>M61</f>
        <v>58558100</v>
      </c>
      <c r="N66" s="55" t="s">
        <v>491</v>
      </c>
      <c r="O66" s="76" t="s">
        <v>500</v>
      </c>
      <c r="P66" s="82">
        <v>8.0000000000000002E-3</v>
      </c>
      <c r="Q66" s="76"/>
      <c r="R66" s="76" t="s">
        <v>500</v>
      </c>
      <c r="S66" s="80">
        <v>0.15</v>
      </c>
      <c r="T66" s="78"/>
      <c r="U66" s="367" t="s">
        <v>497</v>
      </c>
      <c r="V66" s="333"/>
      <c r="W66" s="70"/>
      <c r="X66" s="70">
        <f>ROUND(M66*P66*S66,-3)</f>
        <v>70000</v>
      </c>
      <c r="Y66" s="59" t="s">
        <v>491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69" t="s">
        <v>504</v>
      </c>
      <c r="J67" s="334"/>
      <c r="K67" s="333"/>
      <c r="L67" s="333"/>
      <c r="M67" s="333">
        <f>M61</f>
        <v>58558100</v>
      </c>
      <c r="N67" s="55" t="s">
        <v>491</v>
      </c>
      <c r="O67" s="76" t="s">
        <v>500</v>
      </c>
      <c r="P67" s="424">
        <v>5.7400000000000003E-3</v>
      </c>
      <c r="Q67" s="76"/>
      <c r="R67" s="76" t="s">
        <v>500</v>
      </c>
      <c r="S67" s="80">
        <v>0.15</v>
      </c>
      <c r="T67" s="78"/>
      <c r="U67" s="367" t="s">
        <v>497</v>
      </c>
      <c r="V67" s="333"/>
      <c r="W67" s="70"/>
      <c r="X67" s="70">
        <f t="shared" ref="X67" si="22">ROUND(M67*P67*S67,-3)</f>
        <v>50000</v>
      </c>
      <c r="Y67" s="59" t="s">
        <v>491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69"/>
      <c r="J68" s="70"/>
      <c r="K68" s="317"/>
      <c r="L68" s="317"/>
      <c r="M68" s="333"/>
      <c r="N68" s="333"/>
      <c r="O68" s="314"/>
      <c r="P68" s="333"/>
      <c r="Q68" s="55"/>
      <c r="R68" s="316"/>
      <c r="S68" s="57"/>
      <c r="T68" s="367"/>
      <c r="U68" s="367"/>
      <c r="V68" s="80"/>
      <c r="W68" s="334"/>
      <c r="X68" s="70"/>
      <c r="Y68" s="59"/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73" t="s">
        <v>537</v>
      </c>
      <c r="J69" s="70"/>
      <c r="K69" s="317"/>
      <c r="L69" s="317"/>
      <c r="M69" s="333"/>
      <c r="N69" s="333"/>
      <c r="O69" s="314"/>
      <c r="P69" s="333"/>
      <c r="Q69" s="55"/>
      <c r="R69" s="316"/>
      <c r="S69" s="57"/>
      <c r="T69" s="367"/>
      <c r="U69" s="367"/>
      <c r="V69" s="335" t="s">
        <v>536</v>
      </c>
      <c r="W69" s="74"/>
      <c r="X69" s="335">
        <f>SUM(X70:X73)</f>
        <v>3210000</v>
      </c>
      <c r="Y69" s="75" t="s">
        <v>25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69" t="s">
        <v>538</v>
      </c>
      <c r="J70" s="334"/>
      <c r="K70" s="333"/>
      <c r="L70" s="333"/>
      <c r="M70" s="376">
        <v>300000</v>
      </c>
      <c r="N70" s="71" t="s">
        <v>491</v>
      </c>
      <c r="O70" s="71" t="s">
        <v>500</v>
      </c>
      <c r="P70" s="425">
        <v>1</v>
      </c>
      <c r="Q70" s="373">
        <v>12</v>
      </c>
      <c r="R70" s="71" t="s">
        <v>496</v>
      </c>
      <c r="S70" s="374">
        <v>0.15</v>
      </c>
      <c r="T70" s="71"/>
      <c r="U70" s="71" t="s">
        <v>497</v>
      </c>
      <c r="V70" s="333"/>
      <c r="W70" s="70"/>
      <c r="X70" s="333">
        <f>M70*P70*Q70*S70</f>
        <v>540000</v>
      </c>
      <c r="Y70" s="59" t="s">
        <v>491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69" t="s">
        <v>539</v>
      </c>
      <c r="J71" s="334"/>
      <c r="K71" s="333"/>
      <c r="L71" s="333"/>
      <c r="M71" s="376">
        <v>7000000</v>
      </c>
      <c r="N71" s="71" t="s">
        <v>491</v>
      </c>
      <c r="O71" s="71" t="s">
        <v>500</v>
      </c>
      <c r="P71" s="80">
        <v>0.15</v>
      </c>
      <c r="Q71" s="373"/>
      <c r="R71" s="71"/>
      <c r="S71" s="374"/>
      <c r="T71" s="71"/>
      <c r="U71" s="71" t="s">
        <v>505</v>
      </c>
      <c r="V71" s="333"/>
      <c r="W71" s="70"/>
      <c r="X71" s="333">
        <f>M71*P71</f>
        <v>1050000</v>
      </c>
      <c r="Y71" s="59" t="s">
        <v>491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69" t="s">
        <v>540</v>
      </c>
      <c r="J72" s="334"/>
      <c r="K72" s="333"/>
      <c r="L72" s="333"/>
      <c r="M72" s="376">
        <v>60000</v>
      </c>
      <c r="N72" s="71" t="s">
        <v>491</v>
      </c>
      <c r="O72" s="71" t="s">
        <v>500</v>
      </c>
      <c r="P72" s="377">
        <v>1</v>
      </c>
      <c r="Q72" s="373">
        <v>90</v>
      </c>
      <c r="R72" s="71" t="s">
        <v>518</v>
      </c>
      <c r="S72" s="374">
        <v>0.15</v>
      </c>
      <c r="T72" s="71"/>
      <c r="U72" s="71" t="s">
        <v>497</v>
      </c>
      <c r="V72" s="333"/>
      <c r="W72" s="70"/>
      <c r="X72" s="333">
        <f t="shared" ref="X72:X73" si="23">M72*P72*Q72*S72</f>
        <v>810000</v>
      </c>
      <c r="Y72" s="59" t="s">
        <v>491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69" t="s">
        <v>541</v>
      </c>
      <c r="J73" s="334"/>
      <c r="K73" s="333"/>
      <c r="L73" s="333"/>
      <c r="M73" s="376">
        <v>45000</v>
      </c>
      <c r="N73" s="71" t="s">
        <v>491</v>
      </c>
      <c r="O73" s="71" t="s">
        <v>500</v>
      </c>
      <c r="P73" s="377">
        <v>1</v>
      </c>
      <c r="Q73" s="373">
        <v>120</v>
      </c>
      <c r="R73" s="71" t="s">
        <v>518</v>
      </c>
      <c r="S73" s="374">
        <v>0.15</v>
      </c>
      <c r="T73" s="71"/>
      <c r="U73" s="71" t="s">
        <v>497</v>
      </c>
      <c r="V73" s="333"/>
      <c r="W73" s="70"/>
      <c r="X73" s="333">
        <f t="shared" si="23"/>
        <v>810000</v>
      </c>
      <c r="Y73" s="59" t="s">
        <v>491</v>
      </c>
      <c r="Z73" s="6"/>
    </row>
    <row r="74" spans="1:26" s="11" customFormat="1" ht="19.5" customHeight="1">
      <c r="A74" s="62"/>
      <c r="B74" s="47"/>
      <c r="C74" s="47"/>
      <c r="D74" s="61"/>
      <c r="E74" s="63"/>
      <c r="F74" s="63"/>
      <c r="G74" s="64"/>
      <c r="H74" s="92"/>
      <c r="I74" s="336"/>
      <c r="J74" s="74"/>
      <c r="K74" s="355"/>
      <c r="L74" s="355"/>
      <c r="M74" s="335"/>
      <c r="N74" s="335"/>
      <c r="O74" s="356"/>
      <c r="P74" s="335"/>
      <c r="Q74" s="159"/>
      <c r="R74" s="357"/>
      <c r="S74" s="335"/>
      <c r="T74" s="295"/>
      <c r="U74" s="295"/>
      <c r="V74" s="358"/>
      <c r="W74" s="336"/>
      <c r="X74" s="74"/>
      <c r="Y74" s="75"/>
      <c r="Z74" s="6"/>
    </row>
    <row r="75" spans="1:26" s="11" customFormat="1" ht="19.5" customHeight="1">
      <c r="A75" s="62"/>
      <c r="B75" s="47"/>
      <c r="C75" s="47"/>
      <c r="D75" s="47" t="s">
        <v>543</v>
      </c>
      <c r="E75" s="49">
        <v>2231</v>
      </c>
      <c r="F75" s="350">
        <f>ROUND(X75/1000,0)</f>
        <v>562</v>
      </c>
      <c r="G75" s="50">
        <f t="shared" ref="G75" si="24">F75-E75</f>
        <v>-1669</v>
      </c>
      <c r="H75" s="72">
        <f t="shared" ref="H75" si="25">IF(E75=0,0,G75/E75)</f>
        <v>-0.74809502465262212</v>
      </c>
      <c r="I75" s="73" t="s">
        <v>547</v>
      </c>
      <c r="J75" s="70"/>
      <c r="K75" s="317"/>
      <c r="L75" s="317"/>
      <c r="M75" s="333"/>
      <c r="N75" s="333"/>
      <c r="O75" s="314"/>
      <c r="P75" s="333"/>
      <c r="Q75" s="55"/>
      <c r="R75" s="316"/>
      <c r="S75" s="57"/>
      <c r="T75" s="367"/>
      <c r="U75" s="367"/>
      <c r="V75" s="335" t="s">
        <v>545</v>
      </c>
      <c r="W75" s="74"/>
      <c r="X75" s="335">
        <f>SUM(X76:X76)</f>
        <v>562000</v>
      </c>
      <c r="Y75" s="75" t="s">
        <v>25</v>
      </c>
      <c r="Z75" s="6"/>
    </row>
    <row r="76" spans="1:26" s="11" customFormat="1" ht="19.5" customHeight="1">
      <c r="A76" s="62"/>
      <c r="B76" s="47"/>
      <c r="C76" s="47"/>
      <c r="D76" s="47" t="s">
        <v>544</v>
      </c>
      <c r="E76" s="49"/>
      <c r="F76" s="49"/>
      <c r="G76" s="50"/>
      <c r="H76" s="72"/>
      <c r="I76" s="334" t="s">
        <v>546</v>
      </c>
      <c r="J76" s="70"/>
      <c r="K76" s="317"/>
      <c r="L76" s="317"/>
      <c r="M76" s="376">
        <v>5616000</v>
      </c>
      <c r="N76" s="71" t="s">
        <v>491</v>
      </c>
      <c r="O76" s="71" t="s">
        <v>500</v>
      </c>
      <c r="P76" s="80">
        <v>0.1</v>
      </c>
      <c r="Q76" s="373"/>
      <c r="R76" s="71"/>
      <c r="S76" s="374"/>
      <c r="T76" s="71"/>
      <c r="U76" s="71" t="s">
        <v>505</v>
      </c>
      <c r="V76" s="333"/>
      <c r="W76" s="70"/>
      <c r="X76" s="333">
        <f>ROUND(M76*P76,-3)</f>
        <v>562000</v>
      </c>
      <c r="Y76" s="59" t="s">
        <v>491</v>
      </c>
      <c r="Z76" s="6"/>
    </row>
    <row r="77" spans="1:26" s="11" customFormat="1" ht="19.5" customHeight="1">
      <c r="A77" s="62"/>
      <c r="B77" s="90"/>
      <c r="C77" s="91"/>
      <c r="D77" s="61"/>
      <c r="E77" s="63"/>
      <c r="F77" s="63"/>
      <c r="G77" s="64"/>
      <c r="H77" s="92"/>
      <c r="I77" s="336"/>
      <c r="J77" s="335"/>
      <c r="K77" s="93"/>
      <c r="L77" s="93"/>
      <c r="M77" s="335"/>
      <c r="N77" s="335"/>
      <c r="O77" s="336"/>
      <c r="P77" s="335"/>
      <c r="Q77" s="335"/>
      <c r="R77" s="336"/>
      <c r="S77" s="336"/>
      <c r="T77" s="336"/>
      <c r="U77" s="336"/>
      <c r="V77" s="336"/>
      <c r="W77" s="336"/>
      <c r="X77" s="335"/>
      <c r="Y77" s="75"/>
      <c r="Z77" s="6"/>
    </row>
    <row r="78" spans="1:26" ht="21" customHeight="1">
      <c r="A78" s="46"/>
      <c r="B78" s="47"/>
      <c r="C78" s="47" t="s">
        <v>428</v>
      </c>
      <c r="D78" s="397" t="s">
        <v>311</v>
      </c>
      <c r="E78" s="326">
        <f>SUM(E79:E142)</f>
        <v>524859</v>
      </c>
      <c r="F78" s="326">
        <f>SUM(F79:F142)</f>
        <v>713549</v>
      </c>
      <c r="G78" s="327">
        <f t="shared" ref="G78:G79" si="26">F78-E78</f>
        <v>188690</v>
      </c>
      <c r="H78" s="328">
        <f t="shared" ref="H78:H79" si="27">IF(E78=0,0,G78/E78)</f>
        <v>0.35950607687016894</v>
      </c>
      <c r="I78" s="310" t="s">
        <v>429</v>
      </c>
      <c r="J78" s="311"/>
      <c r="K78" s="312"/>
      <c r="L78" s="312"/>
      <c r="M78" s="312"/>
      <c r="N78" s="312"/>
      <c r="O78" s="312"/>
      <c r="P78" s="313"/>
      <c r="Q78" s="313"/>
      <c r="R78" s="313"/>
      <c r="S78" s="313"/>
      <c r="T78" s="313"/>
      <c r="U78" s="313"/>
      <c r="V78" s="347" t="s">
        <v>76</v>
      </c>
      <c r="W78" s="348"/>
      <c r="X78" s="349">
        <f>SUM(X79,X84,X99,X103,X111,X136)</f>
        <v>713549000</v>
      </c>
      <c r="Y78" s="400" t="s">
        <v>57</v>
      </c>
    </row>
    <row r="79" spans="1:26" ht="21" customHeight="1">
      <c r="A79" s="46"/>
      <c r="B79" s="47"/>
      <c r="C79" s="47" t="s">
        <v>479</v>
      </c>
      <c r="D79" s="37" t="s">
        <v>478</v>
      </c>
      <c r="E79" s="350">
        <v>7080</v>
      </c>
      <c r="F79" s="350">
        <f>ROUND(X79/1000,0)</f>
        <v>5664</v>
      </c>
      <c r="G79" s="416">
        <f t="shared" si="26"/>
        <v>-1416</v>
      </c>
      <c r="H79" s="262">
        <f t="shared" si="27"/>
        <v>-0.2</v>
      </c>
      <c r="I79" s="196" t="s">
        <v>476</v>
      </c>
      <c r="J79" s="216"/>
      <c r="K79" s="96"/>
      <c r="L79" s="96"/>
      <c r="M79" s="96"/>
      <c r="N79" s="366"/>
      <c r="O79" s="351"/>
      <c r="P79" s="96"/>
      <c r="Q79" s="352"/>
      <c r="R79" s="353"/>
      <c r="S79" s="354"/>
      <c r="T79" s="354"/>
      <c r="U79" s="366"/>
      <c r="V79" s="332" t="s">
        <v>477</v>
      </c>
      <c r="W79" s="198"/>
      <c r="X79" s="198">
        <f>SUM(X80:X82)</f>
        <v>5664000</v>
      </c>
      <c r="Y79" s="199" t="s">
        <v>57</v>
      </c>
    </row>
    <row r="80" spans="1:26" ht="21" customHeight="1">
      <c r="A80" s="46"/>
      <c r="B80" s="47"/>
      <c r="C80" s="47"/>
      <c r="D80" s="47"/>
      <c r="E80" s="49"/>
      <c r="F80" s="49"/>
      <c r="G80" s="50"/>
      <c r="H80" s="72"/>
      <c r="I80" s="69" t="s">
        <v>640</v>
      </c>
      <c r="J80" s="334"/>
      <c r="K80" s="333"/>
      <c r="L80" s="333"/>
      <c r="M80" s="417">
        <v>189853</v>
      </c>
      <c r="N80" s="367" t="s">
        <v>25</v>
      </c>
      <c r="O80" s="314" t="s">
        <v>26</v>
      </c>
      <c r="P80" s="333">
        <v>24</v>
      </c>
      <c r="Q80" s="55" t="s">
        <v>293</v>
      </c>
      <c r="R80" s="315" t="s">
        <v>26</v>
      </c>
      <c r="S80" s="318">
        <v>12</v>
      </c>
      <c r="T80" s="318" t="s">
        <v>29</v>
      </c>
      <c r="U80" s="367" t="s">
        <v>26</v>
      </c>
      <c r="V80" s="371">
        <v>0.1</v>
      </c>
      <c r="W80" s="70" t="s">
        <v>27</v>
      </c>
      <c r="X80" s="70">
        <f>ROUND(M80*P80*S80*V80,-3)</f>
        <v>5468000</v>
      </c>
      <c r="Y80" s="59" t="s">
        <v>421</v>
      </c>
    </row>
    <row r="81" spans="1:25" ht="21" customHeight="1">
      <c r="A81" s="46"/>
      <c r="B81" s="47"/>
      <c r="C81" s="47"/>
      <c r="D81" s="47"/>
      <c r="E81" s="49"/>
      <c r="F81" s="49"/>
      <c r="G81" s="50"/>
      <c r="H81" s="72"/>
      <c r="I81" s="69" t="s">
        <v>425</v>
      </c>
      <c r="J81" s="334"/>
      <c r="K81" s="333"/>
      <c r="L81" s="333"/>
      <c r="M81" s="417">
        <v>26648</v>
      </c>
      <c r="N81" s="367" t="s">
        <v>25</v>
      </c>
      <c r="O81" s="314" t="s">
        <v>26</v>
      </c>
      <c r="P81" s="333">
        <v>24</v>
      </c>
      <c r="Q81" s="314" t="s">
        <v>293</v>
      </c>
      <c r="R81" s="316" t="s">
        <v>26</v>
      </c>
      <c r="S81" s="318">
        <v>1</v>
      </c>
      <c r="T81" s="318" t="s">
        <v>424</v>
      </c>
      <c r="U81" s="367" t="s">
        <v>26</v>
      </c>
      <c r="V81" s="371">
        <v>0.1</v>
      </c>
      <c r="W81" s="70" t="s">
        <v>27</v>
      </c>
      <c r="X81" s="70">
        <f>ROUND(M81*P81*S81*V81,-3)</f>
        <v>64000</v>
      </c>
      <c r="Y81" s="59" t="s">
        <v>421</v>
      </c>
    </row>
    <row r="82" spans="1:25" ht="21" customHeight="1">
      <c r="A82" s="46"/>
      <c r="B82" s="47"/>
      <c r="C82" s="47"/>
      <c r="D82" s="47"/>
      <c r="E82" s="49"/>
      <c r="F82" s="49"/>
      <c r="G82" s="50"/>
      <c r="H82" s="72"/>
      <c r="I82" s="69" t="s">
        <v>426</v>
      </c>
      <c r="J82" s="70"/>
      <c r="K82" s="317"/>
      <c r="L82" s="317"/>
      <c r="M82" s="417">
        <v>27489</v>
      </c>
      <c r="N82" s="333" t="s">
        <v>25</v>
      </c>
      <c r="O82" s="314" t="s">
        <v>26</v>
      </c>
      <c r="P82" s="333">
        <v>24</v>
      </c>
      <c r="Q82" s="55" t="s">
        <v>293</v>
      </c>
      <c r="R82" s="316" t="s">
        <v>26</v>
      </c>
      <c r="S82" s="57">
        <v>2</v>
      </c>
      <c r="T82" s="367" t="s">
        <v>424</v>
      </c>
      <c r="U82" s="367" t="s">
        <v>26</v>
      </c>
      <c r="V82" s="371">
        <v>0.1</v>
      </c>
      <c r="W82" s="334" t="s">
        <v>27</v>
      </c>
      <c r="X82" s="70">
        <f>ROUNDUP(M82*P82*S82*V82,-3)</f>
        <v>132000</v>
      </c>
      <c r="Y82" s="59" t="s">
        <v>427</v>
      </c>
    </row>
    <row r="83" spans="1:25" ht="21" customHeight="1">
      <c r="A83" s="46"/>
      <c r="B83" s="47"/>
      <c r="C83" s="47"/>
      <c r="D83" s="61"/>
      <c r="E83" s="63"/>
      <c r="F83" s="63"/>
      <c r="G83" s="64"/>
      <c r="H83" s="92"/>
      <c r="I83" s="73"/>
      <c r="J83" s="74"/>
      <c r="K83" s="355"/>
      <c r="L83" s="355"/>
      <c r="M83" s="335"/>
      <c r="N83" s="335"/>
      <c r="O83" s="356"/>
      <c r="P83" s="335"/>
      <c r="Q83" s="159"/>
      <c r="R83" s="357"/>
      <c r="S83" s="89"/>
      <c r="T83" s="295"/>
      <c r="U83" s="295"/>
      <c r="V83" s="358"/>
      <c r="W83" s="336"/>
      <c r="X83" s="74"/>
      <c r="Y83" s="75"/>
    </row>
    <row r="84" spans="1:25" ht="21" customHeight="1" thickBot="1">
      <c r="A84" s="46"/>
      <c r="B84" s="47"/>
      <c r="C84" s="47"/>
      <c r="D84" s="37" t="s">
        <v>487</v>
      </c>
      <c r="E84" s="38">
        <v>351648</v>
      </c>
      <c r="F84" s="350">
        <f>ROUND(X84/1000,0)</f>
        <v>491176</v>
      </c>
      <c r="G84" s="39">
        <f t="shared" ref="G84" si="28">F84-E84</f>
        <v>139528</v>
      </c>
      <c r="H84" s="134">
        <f t="shared" ref="H84" si="29">IF(E84=0,0,G84/E84)</f>
        <v>0.3967831467831468</v>
      </c>
      <c r="I84" s="363" t="s">
        <v>507</v>
      </c>
      <c r="J84" s="362"/>
      <c r="K84" s="370"/>
      <c r="L84" s="370"/>
      <c r="M84" s="96"/>
      <c r="N84" s="96"/>
      <c r="O84" s="351"/>
      <c r="P84" s="96"/>
      <c r="Q84" s="352"/>
      <c r="R84" s="360"/>
      <c r="S84" s="361"/>
      <c r="T84" s="366"/>
      <c r="U84" s="366"/>
      <c r="V84" s="364" t="s">
        <v>477</v>
      </c>
      <c r="W84" s="365"/>
      <c r="X84" s="365">
        <f>SUM(X85,X86,X90,X92)</f>
        <v>491176000</v>
      </c>
      <c r="Y84" s="401" t="s">
        <v>57</v>
      </c>
    </row>
    <row r="85" spans="1:25" ht="21" customHeight="1">
      <c r="A85" s="46"/>
      <c r="B85" s="47"/>
      <c r="C85" s="47"/>
      <c r="D85" s="47"/>
      <c r="E85" s="49"/>
      <c r="F85" s="49"/>
      <c r="G85" s="50"/>
      <c r="H85" s="72"/>
      <c r="I85" s="73" t="s">
        <v>488</v>
      </c>
      <c r="J85" s="334"/>
      <c r="K85" s="333"/>
      <c r="L85" s="333"/>
      <c r="M85" s="419">
        <v>726264000</v>
      </c>
      <c r="N85" s="333" t="s">
        <v>482</v>
      </c>
      <c r="O85" s="76" t="s">
        <v>500</v>
      </c>
      <c r="P85" s="447">
        <v>0.42699999999999999</v>
      </c>
      <c r="Q85" s="333"/>
      <c r="R85" s="333"/>
      <c r="S85" s="333"/>
      <c r="T85" s="333"/>
      <c r="U85" s="333" t="s">
        <v>505</v>
      </c>
      <c r="V85" s="335" t="s">
        <v>506</v>
      </c>
      <c r="W85" s="74"/>
      <c r="X85" s="335">
        <f>ROUND(M85*P85,-3)</f>
        <v>310115000</v>
      </c>
      <c r="Y85" s="75" t="s">
        <v>25</v>
      </c>
    </row>
    <row r="86" spans="1:25" ht="21" customHeight="1">
      <c r="A86" s="46"/>
      <c r="B86" s="47"/>
      <c r="C86" s="47"/>
      <c r="D86" s="47"/>
      <c r="E86" s="49"/>
      <c r="F86" s="49"/>
      <c r="G86" s="50"/>
      <c r="H86" s="72"/>
      <c r="I86" s="196" t="s">
        <v>489</v>
      </c>
      <c r="J86" s="334"/>
      <c r="K86" s="333"/>
      <c r="L86" s="333"/>
      <c r="M86" s="419"/>
      <c r="N86" s="333"/>
      <c r="O86" s="333"/>
      <c r="P86" s="333"/>
      <c r="Q86" s="333"/>
      <c r="R86" s="333"/>
      <c r="S86" s="333"/>
      <c r="T86" s="333"/>
      <c r="U86" s="333"/>
      <c r="V86" s="197" t="s">
        <v>506</v>
      </c>
      <c r="W86" s="198"/>
      <c r="X86" s="197">
        <f>SUM(X87:X89)</f>
        <v>108458000</v>
      </c>
      <c r="Y86" s="199" t="s">
        <v>25</v>
      </c>
    </row>
    <row r="87" spans="1:25" ht="21" customHeight="1">
      <c r="A87" s="46"/>
      <c r="B87" s="47"/>
      <c r="C87" s="47"/>
      <c r="D87" s="47"/>
      <c r="E87" s="49"/>
      <c r="F87" s="49"/>
      <c r="G87" s="50"/>
      <c r="H87" s="72"/>
      <c r="I87" s="69" t="s">
        <v>490</v>
      </c>
      <c r="J87" s="334"/>
      <c r="K87" s="333"/>
      <c r="L87" s="333"/>
      <c r="M87" s="419">
        <v>72406800</v>
      </c>
      <c r="N87" s="333" t="s">
        <v>482</v>
      </c>
      <c r="O87" s="76" t="s">
        <v>500</v>
      </c>
      <c r="P87" s="447">
        <v>0.42699999999999999</v>
      </c>
      <c r="Q87" s="333"/>
      <c r="R87" s="333"/>
      <c r="S87" s="333"/>
      <c r="T87" s="333"/>
      <c r="U87" s="333" t="s">
        <v>505</v>
      </c>
      <c r="V87" s="485"/>
      <c r="W87" s="485"/>
      <c r="X87" s="362">
        <f>ROUND(M87*P87,-3)</f>
        <v>30918000</v>
      </c>
      <c r="Y87" s="136" t="s">
        <v>491</v>
      </c>
    </row>
    <row r="88" spans="1:25" ht="21" customHeight="1">
      <c r="A88" s="46"/>
      <c r="B88" s="47"/>
      <c r="C88" s="47"/>
      <c r="D88" s="47"/>
      <c r="E88" s="49"/>
      <c r="F88" s="49"/>
      <c r="G88" s="50"/>
      <c r="H88" s="72"/>
      <c r="I88" s="69" t="s">
        <v>492</v>
      </c>
      <c r="J88" s="334"/>
      <c r="K88" s="333"/>
      <c r="L88" s="333"/>
      <c r="M88" s="419">
        <v>7200000</v>
      </c>
      <c r="N88" s="333" t="s">
        <v>482</v>
      </c>
      <c r="O88" s="76" t="s">
        <v>500</v>
      </c>
      <c r="P88" s="447">
        <v>0.42699999999999999</v>
      </c>
      <c r="Q88" s="333"/>
      <c r="R88" s="333"/>
      <c r="S88" s="333"/>
      <c r="T88" s="333"/>
      <c r="U88" s="333" t="s">
        <v>505</v>
      </c>
      <c r="V88" s="486"/>
      <c r="W88" s="486"/>
      <c r="X88" s="70">
        <f t="shared" ref="X88" si="30">ROUND(M88*P88,-3)</f>
        <v>3074000</v>
      </c>
      <c r="Y88" s="59" t="s">
        <v>491</v>
      </c>
    </row>
    <row r="89" spans="1:25" ht="21" customHeight="1">
      <c r="A89" s="46"/>
      <c r="B89" s="47"/>
      <c r="C89" s="47"/>
      <c r="D89" s="47"/>
      <c r="E89" s="49"/>
      <c r="F89" s="49"/>
      <c r="G89" s="50"/>
      <c r="H89" s="72"/>
      <c r="I89" s="69" t="s">
        <v>493</v>
      </c>
      <c r="J89" s="334"/>
      <c r="K89" s="333"/>
      <c r="L89" s="333"/>
      <c r="M89" s="419">
        <v>174393650</v>
      </c>
      <c r="N89" s="333" t="s">
        <v>482</v>
      </c>
      <c r="O89" s="76" t="s">
        <v>500</v>
      </c>
      <c r="P89" s="447">
        <v>0.42699999999999999</v>
      </c>
      <c r="Q89" s="333"/>
      <c r="R89" s="333"/>
      <c r="S89" s="333"/>
      <c r="T89" s="333"/>
      <c r="U89" s="333" t="s">
        <v>505</v>
      </c>
      <c r="V89" s="486"/>
      <c r="W89" s="486"/>
      <c r="X89" s="70">
        <f>ROUND(M89*P89,-3)</f>
        <v>74466000</v>
      </c>
      <c r="Y89" s="59" t="s">
        <v>491</v>
      </c>
    </row>
    <row r="90" spans="1:25" ht="21" customHeight="1">
      <c r="A90" s="46"/>
      <c r="B90" s="47"/>
      <c r="C90" s="47"/>
      <c r="D90" s="47"/>
      <c r="E90" s="49"/>
      <c r="F90" s="49"/>
      <c r="G90" s="50"/>
      <c r="H90" s="72"/>
      <c r="I90" s="73" t="s">
        <v>494</v>
      </c>
      <c r="J90" s="334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5" t="s">
        <v>506</v>
      </c>
      <c r="W90" s="74"/>
      <c r="X90" s="335">
        <f>X91</f>
        <v>34881000</v>
      </c>
      <c r="Y90" s="75" t="s">
        <v>25</v>
      </c>
    </row>
    <row r="91" spans="1:25" ht="21" customHeight="1">
      <c r="A91" s="46"/>
      <c r="B91" s="47"/>
      <c r="C91" s="47"/>
      <c r="D91" s="47"/>
      <c r="E91" s="49"/>
      <c r="F91" s="49"/>
      <c r="G91" s="50"/>
      <c r="H91" s="72"/>
      <c r="I91" s="69" t="s">
        <v>508</v>
      </c>
      <c r="J91" s="334"/>
      <c r="K91" s="333"/>
      <c r="L91" s="333"/>
      <c r="M91" s="333">
        <f>SUM(M85:M89)</f>
        <v>980264450</v>
      </c>
      <c r="N91" s="55" t="s">
        <v>491</v>
      </c>
      <c r="O91" s="367" t="s">
        <v>495</v>
      </c>
      <c r="P91" s="79">
        <v>12</v>
      </c>
      <c r="Q91" s="314" t="s">
        <v>496</v>
      </c>
      <c r="R91" s="76" t="s">
        <v>500</v>
      </c>
      <c r="S91" s="447">
        <v>0.42699999999999999</v>
      </c>
      <c r="T91" s="333"/>
      <c r="U91" s="333" t="s">
        <v>497</v>
      </c>
      <c r="V91" s="96"/>
      <c r="W91" s="96"/>
      <c r="X91" s="362">
        <f>ROUND(M91/P91*S91,-3)</f>
        <v>34881000</v>
      </c>
      <c r="Y91" s="403" t="s">
        <v>482</v>
      </c>
    </row>
    <row r="92" spans="1:25" ht="21" customHeight="1">
      <c r="A92" s="46"/>
      <c r="B92" s="47"/>
      <c r="C92" s="47"/>
      <c r="D92" s="47"/>
      <c r="E92" s="49"/>
      <c r="F92" s="49"/>
      <c r="G92" s="50"/>
      <c r="H92" s="72"/>
      <c r="I92" s="73" t="s">
        <v>498</v>
      </c>
      <c r="J92" s="334"/>
      <c r="K92" s="333"/>
      <c r="L92" s="333"/>
      <c r="M92" s="333"/>
      <c r="N92" s="55"/>
      <c r="O92" s="333"/>
      <c r="P92" s="333"/>
      <c r="Q92" s="333"/>
      <c r="R92" s="333"/>
      <c r="S92" s="333"/>
      <c r="T92" s="333"/>
      <c r="U92" s="333"/>
      <c r="V92" s="335" t="s">
        <v>506</v>
      </c>
      <c r="W92" s="74"/>
      <c r="X92" s="335">
        <f>SUM(X93:X97)</f>
        <v>37722000</v>
      </c>
      <c r="Y92" s="75" t="s">
        <v>25</v>
      </c>
    </row>
    <row r="93" spans="1:25" ht="21" customHeight="1">
      <c r="A93" s="46"/>
      <c r="B93" s="47"/>
      <c r="C93" s="47"/>
      <c r="D93" s="47"/>
      <c r="E93" s="49"/>
      <c r="F93" s="49"/>
      <c r="G93" s="50"/>
      <c r="H93" s="72"/>
      <c r="I93" s="69" t="s">
        <v>499</v>
      </c>
      <c r="J93" s="334"/>
      <c r="K93" s="333"/>
      <c r="L93" s="333"/>
      <c r="M93" s="333">
        <f>M91</f>
        <v>980264450</v>
      </c>
      <c r="N93" s="55" t="s">
        <v>491</v>
      </c>
      <c r="O93" s="76" t="s">
        <v>500</v>
      </c>
      <c r="P93" s="368">
        <v>0.09</v>
      </c>
      <c r="Q93" s="367">
        <v>2</v>
      </c>
      <c r="R93" s="76" t="s">
        <v>500</v>
      </c>
      <c r="S93" s="447">
        <v>0.42699999999999999</v>
      </c>
      <c r="T93" s="78"/>
      <c r="U93" s="367" t="s">
        <v>497</v>
      </c>
      <c r="V93" s="333"/>
      <c r="W93" s="70"/>
      <c r="X93" s="70">
        <f>ROUND(M93*P93/Q93*S93,-3)</f>
        <v>18836000</v>
      </c>
      <c r="Y93" s="59" t="s">
        <v>491</v>
      </c>
    </row>
    <row r="94" spans="1:25" ht="21" customHeight="1">
      <c r="A94" s="46"/>
      <c r="B94" s="47"/>
      <c r="C94" s="47"/>
      <c r="D94" s="47"/>
      <c r="E94" s="49"/>
      <c r="F94" s="49"/>
      <c r="G94" s="50"/>
      <c r="H94" s="72"/>
      <c r="I94" s="69" t="s">
        <v>501</v>
      </c>
      <c r="J94" s="334"/>
      <c r="K94" s="333"/>
      <c r="L94" s="333"/>
      <c r="M94" s="333">
        <f>M91</f>
        <v>980264450</v>
      </c>
      <c r="N94" s="55" t="s">
        <v>491</v>
      </c>
      <c r="O94" s="76" t="s">
        <v>500</v>
      </c>
      <c r="P94" s="369">
        <v>5.8900000000000001E-2</v>
      </c>
      <c r="Q94" s="367">
        <v>2</v>
      </c>
      <c r="R94" s="76" t="s">
        <v>500</v>
      </c>
      <c r="S94" s="447">
        <v>0.42699999999999999</v>
      </c>
      <c r="T94" s="78"/>
      <c r="U94" s="367" t="s">
        <v>497</v>
      </c>
      <c r="V94" s="333"/>
      <c r="W94" s="70"/>
      <c r="X94" s="70">
        <f>ROUND(M94*P94/Q94*S94,-3)</f>
        <v>12327000</v>
      </c>
      <c r="Y94" s="59" t="s">
        <v>491</v>
      </c>
    </row>
    <row r="95" spans="1:25" ht="21" customHeight="1">
      <c r="A95" s="46"/>
      <c r="B95" s="47"/>
      <c r="C95" s="47"/>
      <c r="D95" s="47"/>
      <c r="E95" s="49"/>
      <c r="F95" s="49"/>
      <c r="G95" s="50"/>
      <c r="H95" s="72"/>
      <c r="I95" s="69" t="s">
        <v>502</v>
      </c>
      <c r="J95" s="334"/>
      <c r="K95" s="333"/>
      <c r="L95" s="333"/>
      <c r="M95" s="333">
        <f>X94</f>
        <v>12327000</v>
      </c>
      <c r="N95" s="55" t="s">
        <v>491</v>
      </c>
      <c r="O95" s="76" t="s">
        <v>500</v>
      </c>
      <c r="P95" s="82">
        <v>6.5500000000000003E-2</v>
      </c>
      <c r="Q95" s="83"/>
      <c r="R95" s="76"/>
      <c r="S95" s="80"/>
      <c r="T95" s="85"/>
      <c r="U95" s="367" t="s">
        <v>497</v>
      </c>
      <c r="V95" s="333"/>
      <c r="W95" s="70"/>
      <c r="X95" s="70">
        <f>ROUND(M95*P95,-3)</f>
        <v>807000</v>
      </c>
      <c r="Y95" s="59" t="s">
        <v>491</v>
      </c>
    </row>
    <row r="96" spans="1:25" ht="21" customHeight="1">
      <c r="A96" s="46"/>
      <c r="B96" s="47"/>
      <c r="C96" s="47"/>
      <c r="D96" s="47"/>
      <c r="E96" s="49"/>
      <c r="F96" s="49"/>
      <c r="G96" s="50"/>
      <c r="H96" s="72"/>
      <c r="I96" s="69" t="s">
        <v>503</v>
      </c>
      <c r="J96" s="334"/>
      <c r="K96" s="333"/>
      <c r="L96" s="333"/>
      <c r="M96" s="333">
        <f>M91</f>
        <v>980264450</v>
      </c>
      <c r="N96" s="55" t="s">
        <v>491</v>
      </c>
      <c r="O96" s="76" t="s">
        <v>500</v>
      </c>
      <c r="P96" s="82">
        <v>8.0000000000000002E-3</v>
      </c>
      <c r="Q96" s="76"/>
      <c r="R96" s="76" t="s">
        <v>500</v>
      </c>
      <c r="S96" s="447">
        <v>0.42699999999999999</v>
      </c>
      <c r="T96" s="78"/>
      <c r="U96" s="367" t="s">
        <v>497</v>
      </c>
      <c r="V96" s="333"/>
      <c r="W96" s="70"/>
      <c r="X96" s="70">
        <f t="shared" ref="X96:X97" si="31">ROUND(M96*P96*S96,-3)</f>
        <v>3349000</v>
      </c>
      <c r="Y96" s="59" t="s">
        <v>491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69" t="s">
        <v>504</v>
      </c>
      <c r="J97" s="334"/>
      <c r="K97" s="333"/>
      <c r="L97" s="333"/>
      <c r="M97" s="333">
        <f>M91</f>
        <v>980264450</v>
      </c>
      <c r="N97" s="55" t="s">
        <v>491</v>
      </c>
      <c r="O97" s="76" t="s">
        <v>500</v>
      </c>
      <c r="P97" s="424">
        <v>5.7400000000000003E-3</v>
      </c>
      <c r="Q97" s="76"/>
      <c r="R97" s="76" t="s">
        <v>500</v>
      </c>
      <c r="S97" s="447">
        <v>0.42699999999999999</v>
      </c>
      <c r="T97" s="78"/>
      <c r="U97" s="367" t="s">
        <v>497</v>
      </c>
      <c r="V97" s="333"/>
      <c r="W97" s="70"/>
      <c r="X97" s="70">
        <f t="shared" si="31"/>
        <v>2403000</v>
      </c>
      <c r="Y97" s="59" t="s">
        <v>491</v>
      </c>
    </row>
    <row r="98" spans="1:25" ht="21" customHeight="1">
      <c r="A98" s="46"/>
      <c r="B98" s="47"/>
      <c r="C98" s="47"/>
      <c r="D98" s="61"/>
      <c r="E98" s="63"/>
      <c r="F98" s="63"/>
      <c r="G98" s="64"/>
      <c r="H98" s="92"/>
      <c r="I98" s="73"/>
      <c r="J98" s="74"/>
      <c r="K98" s="355"/>
      <c r="L98" s="355"/>
      <c r="M98" s="335"/>
      <c r="N98" s="335"/>
      <c r="O98" s="356"/>
      <c r="P98" s="335"/>
      <c r="Q98" s="159"/>
      <c r="R98" s="357"/>
      <c r="S98" s="89"/>
      <c r="T98" s="295"/>
      <c r="U98" s="295"/>
      <c r="V98" s="358"/>
      <c r="W98" s="336"/>
      <c r="X98" s="74"/>
      <c r="Y98" s="75"/>
    </row>
    <row r="99" spans="1:25" ht="21" customHeight="1" thickBot="1">
      <c r="A99" s="46"/>
      <c r="B99" s="47"/>
      <c r="C99" s="47"/>
      <c r="D99" s="37" t="s">
        <v>509</v>
      </c>
      <c r="E99" s="38">
        <v>23022</v>
      </c>
      <c r="F99" s="350">
        <f>ROUND(X99/1000,0)</f>
        <v>30578</v>
      </c>
      <c r="G99" s="39">
        <f t="shared" ref="G99" si="32">F99-E99</f>
        <v>7556</v>
      </c>
      <c r="H99" s="134">
        <f t="shared" ref="H99" si="33">IF(E99=0,0,G99/E99)</f>
        <v>0.32820780123360266</v>
      </c>
      <c r="I99" s="363" t="s">
        <v>510</v>
      </c>
      <c r="J99" s="362"/>
      <c r="K99" s="370"/>
      <c r="L99" s="370"/>
      <c r="M99" s="96"/>
      <c r="N99" s="96"/>
      <c r="O99" s="351"/>
      <c r="P99" s="96"/>
      <c r="Q99" s="352"/>
      <c r="R99" s="360"/>
      <c r="S99" s="361"/>
      <c r="T99" s="366"/>
      <c r="U99" s="366"/>
      <c r="V99" s="364" t="s">
        <v>477</v>
      </c>
      <c r="W99" s="365"/>
      <c r="X99" s="365">
        <f>SUM(X100:X101)</f>
        <v>30578000</v>
      </c>
      <c r="Y99" s="401" t="s">
        <v>57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334" t="s">
        <v>511</v>
      </c>
      <c r="J100" s="70"/>
      <c r="K100" s="317"/>
      <c r="L100" s="317"/>
      <c r="M100" s="333">
        <v>39591000</v>
      </c>
      <c r="N100" s="333" t="s">
        <v>482</v>
      </c>
      <c r="O100" s="76" t="s">
        <v>500</v>
      </c>
      <c r="P100" s="447">
        <v>0.42699999999999999</v>
      </c>
      <c r="Q100" s="333"/>
      <c r="R100" s="333"/>
      <c r="S100" s="333"/>
      <c r="T100" s="333"/>
      <c r="U100" s="333" t="s">
        <v>505</v>
      </c>
      <c r="V100" s="486"/>
      <c r="W100" s="486"/>
      <c r="X100" s="70">
        <f t="shared" ref="X100" si="34">ROUND(M100*P100,-3)</f>
        <v>16905000</v>
      </c>
      <c r="Y100" s="59" t="s">
        <v>491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334" t="s">
        <v>512</v>
      </c>
      <c r="J101" s="70"/>
      <c r="K101" s="317"/>
      <c r="L101" s="317"/>
      <c r="M101" s="333">
        <v>593000</v>
      </c>
      <c r="N101" s="333" t="s">
        <v>491</v>
      </c>
      <c r="O101" s="56" t="s">
        <v>500</v>
      </c>
      <c r="P101" s="367">
        <v>54</v>
      </c>
      <c r="Q101" s="333" t="s">
        <v>513</v>
      </c>
      <c r="R101" s="76" t="s">
        <v>500</v>
      </c>
      <c r="S101" s="447">
        <v>0.42699999999999999</v>
      </c>
      <c r="T101" s="333"/>
      <c r="U101" s="333" t="s">
        <v>505</v>
      </c>
      <c r="V101" s="486"/>
      <c r="W101" s="486"/>
      <c r="X101" s="70">
        <f>ROUND(M101*P101*S101,-3)</f>
        <v>13673000</v>
      </c>
      <c r="Y101" s="59" t="s">
        <v>491</v>
      </c>
    </row>
    <row r="102" spans="1:25" ht="21" customHeight="1">
      <c r="A102" s="46"/>
      <c r="B102" s="47"/>
      <c r="C102" s="47"/>
      <c r="D102" s="61"/>
      <c r="E102" s="63"/>
      <c r="F102" s="63"/>
      <c r="G102" s="64"/>
      <c r="H102" s="92"/>
      <c r="I102" s="73"/>
      <c r="J102" s="74"/>
      <c r="K102" s="355"/>
      <c r="L102" s="355"/>
      <c r="M102" s="335"/>
      <c r="N102" s="335"/>
      <c r="O102" s="356"/>
      <c r="P102" s="335"/>
      <c r="Q102" s="159"/>
      <c r="R102" s="357"/>
      <c r="S102" s="89"/>
      <c r="T102" s="295"/>
      <c r="U102" s="295"/>
      <c r="V102" s="358"/>
      <c r="W102" s="336"/>
      <c r="X102" s="74"/>
      <c r="Y102" s="75"/>
    </row>
    <row r="103" spans="1:25" ht="21" customHeight="1" thickBot="1">
      <c r="A103" s="46"/>
      <c r="B103" s="47"/>
      <c r="C103" s="47"/>
      <c r="D103" s="37" t="s">
        <v>514</v>
      </c>
      <c r="E103" s="38">
        <v>15516</v>
      </c>
      <c r="F103" s="350">
        <f>ROUND(X103/1000,0)</f>
        <v>18111</v>
      </c>
      <c r="G103" s="39">
        <f t="shared" ref="G103" si="35">F103-E103</f>
        <v>2595</v>
      </c>
      <c r="H103" s="134">
        <f t="shared" ref="H103" si="36">IF(E103=0,0,G103/E103)</f>
        <v>0.16724671307037897</v>
      </c>
      <c r="I103" s="363" t="s">
        <v>516</v>
      </c>
      <c r="J103" s="362"/>
      <c r="K103" s="370"/>
      <c r="L103" s="370"/>
      <c r="M103" s="96"/>
      <c r="N103" s="96"/>
      <c r="O103" s="351"/>
      <c r="P103" s="96"/>
      <c r="Q103" s="352"/>
      <c r="R103" s="360"/>
      <c r="S103" s="361"/>
      <c r="T103" s="366"/>
      <c r="U103" s="366"/>
      <c r="V103" s="364" t="s">
        <v>477</v>
      </c>
      <c r="W103" s="365"/>
      <c r="X103" s="365">
        <f>SUM(X104:X109)</f>
        <v>18111000</v>
      </c>
      <c r="Y103" s="401" t="s">
        <v>57</v>
      </c>
    </row>
    <row r="104" spans="1:25" ht="21" customHeight="1">
      <c r="A104" s="46"/>
      <c r="B104" s="47"/>
      <c r="C104" s="47"/>
      <c r="D104" s="47" t="s">
        <v>515</v>
      </c>
      <c r="E104" s="49"/>
      <c r="F104" s="49"/>
      <c r="G104" s="50"/>
      <c r="H104" s="72"/>
      <c r="I104" s="69" t="s">
        <v>517</v>
      </c>
      <c r="J104" s="334"/>
      <c r="K104" s="333"/>
      <c r="L104" s="333"/>
      <c r="M104" s="333">
        <v>500</v>
      </c>
      <c r="N104" s="333" t="s">
        <v>491</v>
      </c>
      <c r="O104" s="334" t="s">
        <v>500</v>
      </c>
      <c r="P104" s="372">
        <v>54</v>
      </c>
      <c r="Q104" s="373">
        <v>365</v>
      </c>
      <c r="R104" s="333" t="s">
        <v>518</v>
      </c>
      <c r="S104" s="448">
        <v>0.81699999999999995</v>
      </c>
      <c r="T104" s="333"/>
      <c r="U104" s="333" t="s">
        <v>497</v>
      </c>
      <c r="V104" s="333"/>
      <c r="W104" s="70"/>
      <c r="X104" s="70">
        <f>ROUND(M104*P104*Q104*S104,-3)</f>
        <v>8052000</v>
      </c>
      <c r="Y104" s="59" t="s">
        <v>25</v>
      </c>
    </row>
    <row r="105" spans="1:25" ht="21" customHeight="1">
      <c r="A105" s="46"/>
      <c r="B105" s="47"/>
      <c r="C105" s="47"/>
      <c r="D105" s="47"/>
      <c r="E105" s="49"/>
      <c r="F105" s="49"/>
      <c r="G105" s="50"/>
      <c r="H105" s="72"/>
      <c r="I105" s="69" t="s">
        <v>519</v>
      </c>
      <c r="J105" s="334"/>
      <c r="K105" s="333"/>
      <c r="L105" s="333"/>
      <c r="M105" s="333">
        <v>5000</v>
      </c>
      <c r="N105" s="333" t="s">
        <v>491</v>
      </c>
      <c r="O105" s="334" t="s">
        <v>500</v>
      </c>
      <c r="P105" s="372">
        <v>54</v>
      </c>
      <c r="Q105" s="373">
        <v>12</v>
      </c>
      <c r="R105" s="333" t="s">
        <v>496</v>
      </c>
      <c r="S105" s="448">
        <v>0.81699999999999995</v>
      </c>
      <c r="T105" s="333"/>
      <c r="U105" s="333" t="s">
        <v>497</v>
      </c>
      <c r="V105" s="333"/>
      <c r="W105" s="70"/>
      <c r="X105" s="70">
        <f>ROUND(M105*P105*Q105*S105,-3)</f>
        <v>2647000</v>
      </c>
      <c r="Y105" s="59" t="s">
        <v>25</v>
      </c>
    </row>
    <row r="106" spans="1:25" ht="21" customHeight="1">
      <c r="A106" s="46"/>
      <c r="B106" s="47"/>
      <c r="C106" s="47"/>
      <c r="D106" s="47"/>
      <c r="E106" s="49"/>
      <c r="F106" s="49"/>
      <c r="G106" s="50"/>
      <c r="H106" s="72"/>
      <c r="I106" s="69" t="s">
        <v>520</v>
      </c>
      <c r="J106" s="334"/>
      <c r="K106" s="333"/>
      <c r="L106" s="333"/>
      <c r="M106" s="333">
        <v>20000</v>
      </c>
      <c r="N106" s="333" t="s">
        <v>491</v>
      </c>
      <c r="O106" s="334" t="s">
        <v>500</v>
      </c>
      <c r="P106" s="372">
        <v>54</v>
      </c>
      <c r="Q106" s="373">
        <v>4</v>
      </c>
      <c r="R106" s="333" t="s">
        <v>521</v>
      </c>
      <c r="S106" s="448">
        <v>0.81699999999999995</v>
      </c>
      <c r="T106" s="333"/>
      <c r="U106" s="333" t="s">
        <v>497</v>
      </c>
      <c r="V106" s="333"/>
      <c r="W106" s="70"/>
      <c r="X106" s="70">
        <f>ROUND(M106*P106*Q106*S106,-3)</f>
        <v>3529000</v>
      </c>
      <c r="Y106" s="59" t="s">
        <v>25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69" t="s">
        <v>522</v>
      </c>
      <c r="J107" s="334"/>
      <c r="K107" s="333"/>
      <c r="L107" s="333"/>
      <c r="M107" s="333">
        <v>12000</v>
      </c>
      <c r="N107" s="333" t="s">
        <v>491</v>
      </c>
      <c r="O107" s="334" t="s">
        <v>500</v>
      </c>
      <c r="P107" s="372">
        <v>54</v>
      </c>
      <c r="Q107" s="373">
        <v>4</v>
      </c>
      <c r="R107" s="333" t="s">
        <v>521</v>
      </c>
      <c r="S107" s="448">
        <v>0.81699999999999995</v>
      </c>
      <c r="T107" s="333"/>
      <c r="U107" s="333" t="s">
        <v>497</v>
      </c>
      <c r="V107" s="333"/>
      <c r="W107" s="70"/>
      <c r="X107" s="70">
        <f>ROUND(M107*P107*Q107*S107,-3)</f>
        <v>2118000</v>
      </c>
      <c r="Y107" s="59" t="s">
        <v>25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69" t="s">
        <v>523</v>
      </c>
      <c r="J108" s="334"/>
      <c r="K108" s="333"/>
      <c r="L108" s="333"/>
      <c r="M108" s="333"/>
      <c r="N108" s="333"/>
      <c r="O108" s="334"/>
      <c r="P108" s="372"/>
      <c r="Q108" s="373"/>
      <c r="R108" s="333"/>
      <c r="S108" s="333"/>
      <c r="T108" s="333"/>
      <c r="U108" s="333"/>
      <c r="V108" s="333"/>
      <c r="W108" s="70"/>
      <c r="X108" s="70"/>
      <c r="Y108" s="59"/>
    </row>
    <row r="109" spans="1:25" ht="21" customHeight="1">
      <c r="A109" s="46"/>
      <c r="B109" s="47"/>
      <c r="C109" s="47"/>
      <c r="D109" s="47"/>
      <c r="E109" s="49"/>
      <c r="F109" s="49"/>
      <c r="G109" s="50"/>
      <c r="H109" s="72"/>
      <c r="I109" s="69" t="s">
        <v>524</v>
      </c>
      <c r="J109" s="334"/>
      <c r="K109" s="333"/>
      <c r="L109" s="333"/>
      <c r="M109" s="333">
        <v>40000</v>
      </c>
      <c r="N109" s="333" t="s">
        <v>491</v>
      </c>
      <c r="O109" s="334" t="s">
        <v>500</v>
      </c>
      <c r="P109" s="372">
        <v>54</v>
      </c>
      <c r="Q109" s="373">
        <v>1</v>
      </c>
      <c r="R109" s="333" t="s">
        <v>521</v>
      </c>
      <c r="S109" s="448">
        <v>0.81699999999999995</v>
      </c>
      <c r="T109" s="333"/>
      <c r="U109" s="333" t="s">
        <v>497</v>
      </c>
      <c r="V109" s="333"/>
      <c r="W109" s="70"/>
      <c r="X109" s="70">
        <f t="shared" ref="X109" si="37">ROUNDUP(M109*P109*Q109*S109,-3)</f>
        <v>1765000</v>
      </c>
      <c r="Y109" s="59" t="s">
        <v>25</v>
      </c>
    </row>
    <row r="110" spans="1:25" ht="21" customHeight="1">
      <c r="A110" s="46"/>
      <c r="B110" s="47"/>
      <c r="C110" s="47"/>
      <c r="D110" s="61"/>
      <c r="E110" s="63"/>
      <c r="F110" s="63"/>
      <c r="G110" s="64"/>
      <c r="H110" s="92"/>
      <c r="I110" s="73"/>
      <c r="J110" s="74"/>
      <c r="K110" s="355"/>
      <c r="L110" s="355"/>
      <c r="M110" s="335"/>
      <c r="N110" s="335"/>
      <c r="O110" s="356"/>
      <c r="P110" s="335"/>
      <c r="Q110" s="159"/>
      <c r="R110" s="357"/>
      <c r="S110" s="89"/>
      <c r="T110" s="295"/>
      <c r="U110" s="295"/>
      <c r="V110" s="358"/>
      <c r="W110" s="336"/>
      <c r="X110" s="74"/>
      <c r="Y110" s="75"/>
    </row>
    <row r="111" spans="1:25" ht="21" customHeight="1" thickBot="1">
      <c r="A111" s="46"/>
      <c r="B111" s="47"/>
      <c r="C111" s="47"/>
      <c r="D111" s="37" t="s">
        <v>525</v>
      </c>
      <c r="E111" s="38">
        <v>115187</v>
      </c>
      <c r="F111" s="350">
        <f>ROUND(X111/1000,0)</f>
        <v>153566</v>
      </c>
      <c r="G111" s="39">
        <f t="shared" ref="G111" si="38">F111-E111</f>
        <v>38379</v>
      </c>
      <c r="H111" s="134">
        <f t="shared" ref="H111" si="39">IF(E111=0,0,G111/E111)</f>
        <v>0.33318864107928847</v>
      </c>
      <c r="I111" s="363" t="s">
        <v>527</v>
      </c>
      <c r="J111" s="362"/>
      <c r="K111" s="370"/>
      <c r="L111" s="370"/>
      <c r="M111" s="96"/>
      <c r="N111" s="96"/>
      <c r="O111" s="351"/>
      <c r="P111" s="96"/>
      <c r="Q111" s="352"/>
      <c r="R111" s="360"/>
      <c r="S111" s="361"/>
      <c r="T111" s="366"/>
      <c r="U111" s="366"/>
      <c r="V111" s="364" t="s">
        <v>477</v>
      </c>
      <c r="W111" s="365"/>
      <c r="X111" s="365">
        <f>X112+X130</f>
        <v>153566000</v>
      </c>
      <c r="Y111" s="401" t="s">
        <v>57</v>
      </c>
    </row>
    <row r="112" spans="1:25" ht="21" customHeight="1">
      <c r="A112" s="46"/>
      <c r="B112" s="47"/>
      <c r="C112" s="47"/>
      <c r="D112" s="47" t="s">
        <v>526</v>
      </c>
      <c r="E112" s="49"/>
      <c r="F112" s="49"/>
      <c r="G112" s="50"/>
      <c r="H112" s="72"/>
      <c r="I112" s="375" t="s">
        <v>528</v>
      </c>
      <c r="J112" s="70"/>
      <c r="K112" s="317"/>
      <c r="L112" s="317"/>
      <c r="M112" s="333"/>
      <c r="N112" s="333"/>
      <c r="O112" s="314"/>
      <c r="P112" s="333"/>
      <c r="Q112" s="55"/>
      <c r="R112" s="316"/>
      <c r="S112" s="57"/>
      <c r="T112" s="367"/>
      <c r="U112" s="367"/>
      <c r="V112" s="335" t="s">
        <v>536</v>
      </c>
      <c r="W112" s="74"/>
      <c r="X112" s="335">
        <f>SUM(X113,X116,X121,X123)</f>
        <v>135376000</v>
      </c>
      <c r="Y112" s="75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73" t="s">
        <v>529</v>
      </c>
      <c r="J113" s="334"/>
      <c r="K113" s="333"/>
      <c r="L113" s="333"/>
      <c r="M113" s="333"/>
      <c r="N113" s="333"/>
      <c r="O113" s="76"/>
      <c r="P113" s="80"/>
      <c r="Q113" s="333"/>
      <c r="R113" s="333"/>
      <c r="S113" s="333"/>
      <c r="T113" s="333"/>
      <c r="U113" s="333"/>
      <c r="V113" s="335" t="s">
        <v>506</v>
      </c>
      <c r="W113" s="74"/>
      <c r="X113" s="335">
        <f>SUM(X114:X115)</f>
        <v>36636000</v>
      </c>
      <c r="Y113" s="75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359" t="s">
        <v>533</v>
      </c>
      <c r="J114" s="334"/>
      <c r="K114" s="333"/>
      <c r="L114" s="333"/>
      <c r="M114" s="419">
        <v>20408000</v>
      </c>
      <c r="N114" s="333" t="s">
        <v>482</v>
      </c>
      <c r="O114" s="76" t="s">
        <v>500</v>
      </c>
      <c r="P114" s="80">
        <v>0.85</v>
      </c>
      <c r="Q114" s="333"/>
      <c r="R114" s="333"/>
      <c r="S114" s="333"/>
      <c r="T114" s="333"/>
      <c r="U114" s="333" t="s">
        <v>505</v>
      </c>
      <c r="V114" s="96"/>
      <c r="W114" s="362"/>
      <c r="X114" s="96">
        <f>ROUND(M114*P114,-3)</f>
        <v>17347000</v>
      </c>
      <c r="Y114" s="136" t="s">
        <v>482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69" t="s">
        <v>534</v>
      </c>
      <c r="J115" s="334"/>
      <c r="K115" s="333"/>
      <c r="L115" s="333"/>
      <c r="M115" s="419">
        <v>22693000</v>
      </c>
      <c r="N115" s="333" t="s">
        <v>482</v>
      </c>
      <c r="O115" s="76" t="s">
        <v>500</v>
      </c>
      <c r="P115" s="80">
        <v>0.85</v>
      </c>
      <c r="Q115" s="333"/>
      <c r="R115" s="333"/>
      <c r="S115" s="333"/>
      <c r="T115" s="333"/>
      <c r="U115" s="333" t="s">
        <v>505</v>
      </c>
      <c r="V115" s="333"/>
      <c r="W115" s="70"/>
      <c r="X115" s="333">
        <f t="shared" ref="X115" si="40">ROUND(M115*P115,-3)</f>
        <v>19289000</v>
      </c>
      <c r="Y115" s="59" t="s">
        <v>482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73" t="s">
        <v>530</v>
      </c>
      <c r="J116" s="334"/>
      <c r="K116" s="333"/>
      <c r="L116" s="333"/>
      <c r="M116" s="419"/>
      <c r="N116" s="333"/>
      <c r="O116" s="333"/>
      <c r="P116" s="333"/>
      <c r="Q116" s="333"/>
      <c r="R116" s="333"/>
      <c r="S116" s="333"/>
      <c r="T116" s="333"/>
      <c r="U116" s="333"/>
      <c r="V116" s="335" t="s">
        <v>506</v>
      </c>
      <c r="W116" s="74"/>
      <c r="X116" s="335">
        <f>SUM(X117:X120)</f>
        <v>90106000</v>
      </c>
      <c r="Y116" s="75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2"/>
      <c r="I117" s="69" t="s">
        <v>490</v>
      </c>
      <c r="J117" s="334"/>
      <c r="K117" s="333"/>
      <c r="L117" s="333"/>
      <c r="M117" s="419">
        <v>4329000</v>
      </c>
      <c r="N117" s="333" t="s">
        <v>482</v>
      </c>
      <c r="O117" s="76" t="s">
        <v>500</v>
      </c>
      <c r="P117" s="80">
        <v>0.85</v>
      </c>
      <c r="Q117" s="333"/>
      <c r="R117" s="333"/>
      <c r="S117" s="333"/>
      <c r="T117" s="333"/>
      <c r="U117" s="333" t="s">
        <v>505</v>
      </c>
      <c r="V117" s="485"/>
      <c r="W117" s="485"/>
      <c r="X117" s="362">
        <f t="shared" ref="X117:X119" si="41">ROUND(M117*P117,-3)</f>
        <v>3680000</v>
      </c>
      <c r="Y117" s="136" t="s">
        <v>491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2"/>
      <c r="I118" s="69" t="s">
        <v>492</v>
      </c>
      <c r="J118" s="334"/>
      <c r="K118" s="333"/>
      <c r="L118" s="333"/>
      <c r="M118" s="419">
        <v>1200000</v>
      </c>
      <c r="N118" s="333" t="s">
        <v>482</v>
      </c>
      <c r="O118" s="76" t="s">
        <v>500</v>
      </c>
      <c r="P118" s="80">
        <v>0.85</v>
      </c>
      <c r="Q118" s="333"/>
      <c r="R118" s="333"/>
      <c r="S118" s="333"/>
      <c r="T118" s="333"/>
      <c r="U118" s="333" t="s">
        <v>505</v>
      </c>
      <c r="V118" s="486"/>
      <c r="W118" s="486"/>
      <c r="X118" s="70">
        <f t="shared" si="41"/>
        <v>1020000</v>
      </c>
      <c r="Y118" s="59" t="s">
        <v>491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2"/>
      <c r="I119" s="69" t="s">
        <v>493</v>
      </c>
      <c r="J119" s="334"/>
      <c r="K119" s="333"/>
      <c r="L119" s="333"/>
      <c r="M119" s="419">
        <v>9928000</v>
      </c>
      <c r="N119" s="333" t="s">
        <v>482</v>
      </c>
      <c r="O119" s="76" t="s">
        <v>500</v>
      </c>
      <c r="P119" s="80">
        <v>0.85</v>
      </c>
      <c r="Q119" s="333"/>
      <c r="R119" s="333"/>
      <c r="S119" s="333"/>
      <c r="T119" s="333"/>
      <c r="U119" s="333" t="s">
        <v>505</v>
      </c>
      <c r="V119" s="486"/>
      <c r="W119" s="486"/>
      <c r="X119" s="70">
        <f t="shared" si="41"/>
        <v>8439000</v>
      </c>
      <c r="Y119" s="59" t="s">
        <v>491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69" t="s">
        <v>535</v>
      </c>
      <c r="J120" s="334"/>
      <c r="K120" s="333"/>
      <c r="L120" s="333"/>
      <c r="M120" s="419">
        <v>90550000</v>
      </c>
      <c r="N120" s="333" t="s">
        <v>482</v>
      </c>
      <c r="O120" s="76" t="s">
        <v>500</v>
      </c>
      <c r="P120" s="80">
        <v>0.85</v>
      </c>
      <c r="Q120" s="333"/>
      <c r="R120" s="333"/>
      <c r="S120" s="333"/>
      <c r="T120" s="333"/>
      <c r="U120" s="333" t="s">
        <v>505</v>
      </c>
      <c r="V120" s="486"/>
      <c r="W120" s="486"/>
      <c r="X120" s="70">
        <f>ROUNDDOWN(M120*P120,-3)</f>
        <v>76967000</v>
      </c>
      <c r="Y120" s="59" t="s">
        <v>491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73" t="s">
        <v>531</v>
      </c>
      <c r="J121" s="334"/>
      <c r="K121" s="333"/>
      <c r="L121" s="333"/>
      <c r="M121" s="333"/>
      <c r="N121" s="333"/>
      <c r="O121" s="333"/>
      <c r="P121" s="333"/>
      <c r="Q121" s="333"/>
      <c r="R121" s="333"/>
      <c r="S121" s="333"/>
      <c r="T121" s="333"/>
      <c r="U121" s="333"/>
      <c r="V121" s="335" t="s">
        <v>506</v>
      </c>
      <c r="W121" s="74"/>
      <c r="X121" s="335">
        <f>X122</f>
        <v>4148000</v>
      </c>
      <c r="Y121" s="75" t="s">
        <v>25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69" t="s">
        <v>655</v>
      </c>
      <c r="J122" s="334"/>
      <c r="K122" s="333"/>
      <c r="L122" s="333"/>
      <c r="M122" s="333">
        <f>SUM(M113:M119)</f>
        <v>58558000</v>
      </c>
      <c r="N122" s="55" t="s">
        <v>491</v>
      </c>
      <c r="O122" s="367" t="s">
        <v>495</v>
      </c>
      <c r="P122" s="79">
        <v>12</v>
      </c>
      <c r="Q122" s="314" t="s">
        <v>496</v>
      </c>
      <c r="R122" s="76" t="s">
        <v>500</v>
      </c>
      <c r="S122" s="80">
        <v>0.85</v>
      </c>
      <c r="T122" s="333"/>
      <c r="U122" s="333" t="s">
        <v>497</v>
      </c>
      <c r="V122" s="96"/>
      <c r="W122" s="96"/>
      <c r="X122" s="362">
        <f>ROUND(M122/P122*S122,-3)</f>
        <v>4148000</v>
      </c>
      <c r="Y122" s="403" t="s">
        <v>482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73" t="s">
        <v>532</v>
      </c>
      <c r="J123" s="334"/>
      <c r="K123" s="333"/>
      <c r="L123" s="333"/>
      <c r="M123" s="333"/>
      <c r="N123" s="55"/>
      <c r="O123" s="333"/>
      <c r="P123" s="333"/>
      <c r="Q123" s="333"/>
      <c r="R123" s="333"/>
      <c r="S123" s="333"/>
      <c r="T123" s="333"/>
      <c r="U123" s="333"/>
      <c r="V123" s="335" t="s">
        <v>506</v>
      </c>
      <c r="W123" s="74"/>
      <c r="X123" s="335">
        <f>SUM(X124:X128)</f>
        <v>4486000</v>
      </c>
      <c r="Y123" s="75" t="s">
        <v>25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69" t="s">
        <v>499</v>
      </c>
      <c r="J124" s="334"/>
      <c r="K124" s="333"/>
      <c r="L124" s="333"/>
      <c r="M124" s="333">
        <f>M122</f>
        <v>58558000</v>
      </c>
      <c r="N124" s="55" t="s">
        <v>491</v>
      </c>
      <c r="O124" s="76" t="s">
        <v>500</v>
      </c>
      <c r="P124" s="368">
        <v>0.09</v>
      </c>
      <c r="Q124" s="367">
        <v>2</v>
      </c>
      <c r="R124" s="76" t="s">
        <v>500</v>
      </c>
      <c r="S124" s="80">
        <v>0.85</v>
      </c>
      <c r="T124" s="78"/>
      <c r="U124" s="367" t="s">
        <v>497</v>
      </c>
      <c r="V124" s="333"/>
      <c r="W124" s="70"/>
      <c r="X124" s="70">
        <f>ROUNDUP(M124*P124/Q124*S124,-3)</f>
        <v>2240000</v>
      </c>
      <c r="Y124" s="59" t="s">
        <v>491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501</v>
      </c>
      <c r="J125" s="334"/>
      <c r="K125" s="333"/>
      <c r="L125" s="333"/>
      <c r="M125" s="333">
        <f>M122</f>
        <v>58558000</v>
      </c>
      <c r="N125" s="55" t="s">
        <v>491</v>
      </c>
      <c r="O125" s="76" t="s">
        <v>500</v>
      </c>
      <c r="P125" s="369">
        <v>5.8900000000000001E-2</v>
      </c>
      <c r="Q125" s="367">
        <v>2</v>
      </c>
      <c r="R125" s="76" t="s">
        <v>500</v>
      </c>
      <c r="S125" s="80">
        <v>0.85</v>
      </c>
      <c r="T125" s="78"/>
      <c r="U125" s="367" t="s">
        <v>497</v>
      </c>
      <c r="V125" s="333"/>
      <c r="W125" s="70"/>
      <c r="X125" s="70">
        <f>ROUND(M125*P125/Q125*S125,-3)</f>
        <v>1466000</v>
      </c>
      <c r="Y125" s="59" t="s">
        <v>491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69" t="s">
        <v>502</v>
      </c>
      <c r="J126" s="334"/>
      <c r="K126" s="333"/>
      <c r="L126" s="333"/>
      <c r="M126" s="333">
        <f>X125</f>
        <v>1466000</v>
      </c>
      <c r="N126" s="55" t="s">
        <v>491</v>
      </c>
      <c r="O126" s="76" t="s">
        <v>500</v>
      </c>
      <c r="P126" s="82">
        <v>6.5500000000000003E-2</v>
      </c>
      <c r="Q126" s="83"/>
      <c r="R126" s="76"/>
      <c r="S126" s="80"/>
      <c r="T126" s="85"/>
      <c r="U126" s="367" t="s">
        <v>497</v>
      </c>
      <c r="V126" s="333"/>
      <c r="W126" s="70"/>
      <c r="X126" s="70">
        <f>ROUND(M126*P126,-3)</f>
        <v>96000</v>
      </c>
      <c r="Y126" s="59" t="s">
        <v>491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69" t="s">
        <v>503</v>
      </c>
      <c r="J127" s="334"/>
      <c r="K127" s="333"/>
      <c r="L127" s="333"/>
      <c r="M127" s="333">
        <f>M122</f>
        <v>58558000</v>
      </c>
      <c r="N127" s="55" t="s">
        <v>491</v>
      </c>
      <c r="O127" s="76" t="s">
        <v>500</v>
      </c>
      <c r="P127" s="82">
        <v>8.0000000000000002E-3</v>
      </c>
      <c r="Q127" s="76"/>
      <c r="R127" s="76" t="s">
        <v>500</v>
      </c>
      <c r="S127" s="80">
        <v>0.85</v>
      </c>
      <c r="T127" s="78"/>
      <c r="U127" s="367" t="s">
        <v>497</v>
      </c>
      <c r="V127" s="333"/>
      <c r="W127" s="70"/>
      <c r="X127" s="70">
        <f>ROUND(M127*P127*S127,-3)</f>
        <v>398000</v>
      </c>
      <c r="Y127" s="59" t="s">
        <v>491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69" t="s">
        <v>504</v>
      </c>
      <c r="J128" s="334"/>
      <c r="K128" s="333"/>
      <c r="L128" s="333"/>
      <c r="M128" s="333">
        <f>M122</f>
        <v>58558000</v>
      </c>
      <c r="N128" s="55" t="s">
        <v>491</v>
      </c>
      <c r="O128" s="76" t="s">
        <v>500</v>
      </c>
      <c r="P128" s="424">
        <v>5.7400000000000003E-3</v>
      </c>
      <c r="Q128" s="76"/>
      <c r="R128" s="76" t="s">
        <v>500</v>
      </c>
      <c r="S128" s="80">
        <v>0.85</v>
      </c>
      <c r="T128" s="78"/>
      <c r="U128" s="367" t="s">
        <v>497</v>
      </c>
      <c r="V128" s="333"/>
      <c r="W128" s="70"/>
      <c r="X128" s="70">
        <f t="shared" ref="X128" si="42">ROUND(M128*P128*S128,-3)</f>
        <v>286000</v>
      </c>
      <c r="Y128" s="59" t="s">
        <v>491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69"/>
      <c r="J129" s="334"/>
      <c r="K129" s="333"/>
      <c r="L129" s="333"/>
      <c r="M129" s="333"/>
      <c r="N129" s="55"/>
      <c r="O129" s="76"/>
      <c r="P129" s="82"/>
      <c r="Q129" s="76"/>
      <c r="R129" s="76"/>
      <c r="S129" s="80"/>
      <c r="T129" s="78"/>
      <c r="U129" s="367"/>
      <c r="V129" s="333"/>
      <c r="W129" s="70"/>
      <c r="X129" s="70"/>
      <c r="Y129" s="59"/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73" t="s">
        <v>537</v>
      </c>
      <c r="J130" s="70"/>
      <c r="K130" s="317"/>
      <c r="L130" s="317"/>
      <c r="M130" s="333"/>
      <c r="N130" s="333"/>
      <c r="O130" s="314"/>
      <c r="P130" s="333"/>
      <c r="Q130" s="55"/>
      <c r="R130" s="316"/>
      <c r="S130" s="57"/>
      <c r="T130" s="367"/>
      <c r="U130" s="367"/>
      <c r="V130" s="335" t="s">
        <v>536</v>
      </c>
      <c r="W130" s="74"/>
      <c r="X130" s="335">
        <f>SUM(X131:X134)</f>
        <v>18190000</v>
      </c>
      <c r="Y130" s="75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69" t="s">
        <v>538</v>
      </c>
      <c r="J131" s="334"/>
      <c r="K131" s="333"/>
      <c r="L131" s="333"/>
      <c r="M131" s="376">
        <v>300000</v>
      </c>
      <c r="N131" s="71" t="s">
        <v>491</v>
      </c>
      <c r="O131" s="71" t="s">
        <v>500</v>
      </c>
      <c r="P131" s="378">
        <v>1</v>
      </c>
      <c r="Q131" s="373">
        <v>12</v>
      </c>
      <c r="R131" s="71" t="s">
        <v>496</v>
      </c>
      <c r="S131" s="374">
        <v>0.85</v>
      </c>
      <c r="T131" s="71"/>
      <c r="U131" s="71" t="s">
        <v>497</v>
      </c>
      <c r="V131" s="333"/>
      <c r="W131" s="70"/>
      <c r="X131" s="333">
        <f>M131*P131*Q131*S131</f>
        <v>3060000</v>
      </c>
      <c r="Y131" s="59" t="s">
        <v>491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69" t="s">
        <v>539</v>
      </c>
      <c r="J132" s="334"/>
      <c r="K132" s="333"/>
      <c r="L132" s="333"/>
      <c r="M132" s="376">
        <v>7000000</v>
      </c>
      <c r="N132" s="71" t="s">
        <v>491</v>
      </c>
      <c r="O132" s="71" t="s">
        <v>500</v>
      </c>
      <c r="P132" s="80">
        <v>0.85</v>
      </c>
      <c r="Q132" s="373"/>
      <c r="R132" s="71"/>
      <c r="S132" s="374"/>
      <c r="T132" s="71"/>
      <c r="U132" s="71" t="s">
        <v>505</v>
      </c>
      <c r="V132" s="333"/>
      <c r="W132" s="70"/>
      <c r="X132" s="333">
        <f>M132*P132</f>
        <v>5950000</v>
      </c>
      <c r="Y132" s="59" t="s">
        <v>491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69" t="s">
        <v>540</v>
      </c>
      <c r="J133" s="334"/>
      <c r="K133" s="333"/>
      <c r="L133" s="333"/>
      <c r="M133" s="376">
        <v>60000</v>
      </c>
      <c r="N133" s="71" t="s">
        <v>491</v>
      </c>
      <c r="O133" s="71" t="s">
        <v>500</v>
      </c>
      <c r="P133" s="377">
        <v>1</v>
      </c>
      <c r="Q133" s="373">
        <v>90</v>
      </c>
      <c r="R133" s="71" t="s">
        <v>518</v>
      </c>
      <c r="S133" s="374">
        <v>0.85</v>
      </c>
      <c r="T133" s="71"/>
      <c r="U133" s="71" t="s">
        <v>497</v>
      </c>
      <c r="V133" s="333"/>
      <c r="W133" s="70"/>
      <c r="X133" s="333">
        <f t="shared" ref="X133:X134" si="43">M133*P133*Q133*S133</f>
        <v>4590000</v>
      </c>
      <c r="Y133" s="59" t="s">
        <v>491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69" t="s">
        <v>541</v>
      </c>
      <c r="J134" s="334"/>
      <c r="K134" s="333"/>
      <c r="L134" s="333"/>
      <c r="M134" s="376">
        <v>45000</v>
      </c>
      <c r="N134" s="71" t="s">
        <v>491</v>
      </c>
      <c r="O134" s="71" t="s">
        <v>500</v>
      </c>
      <c r="P134" s="377">
        <v>1</v>
      </c>
      <c r="Q134" s="373">
        <v>120</v>
      </c>
      <c r="R134" s="71" t="s">
        <v>518</v>
      </c>
      <c r="S134" s="374">
        <v>0.85</v>
      </c>
      <c r="T134" s="71"/>
      <c r="U134" s="71" t="s">
        <v>497</v>
      </c>
      <c r="V134" s="333"/>
      <c r="W134" s="70"/>
      <c r="X134" s="333">
        <f t="shared" si="43"/>
        <v>4590000</v>
      </c>
      <c r="Y134" s="59" t="s">
        <v>491</v>
      </c>
    </row>
    <row r="135" spans="1:25" ht="21" customHeight="1">
      <c r="A135" s="46"/>
      <c r="B135" s="47"/>
      <c r="C135" s="47"/>
      <c r="D135" s="61"/>
      <c r="E135" s="63"/>
      <c r="F135" s="63"/>
      <c r="G135" s="64"/>
      <c r="H135" s="92"/>
      <c r="I135" s="73"/>
      <c r="J135" s="336"/>
      <c r="K135" s="335"/>
      <c r="L135" s="335"/>
      <c r="M135" s="335"/>
      <c r="N135" s="159"/>
      <c r="O135" s="319"/>
      <c r="P135" s="379"/>
      <c r="Q135" s="319"/>
      <c r="R135" s="319"/>
      <c r="S135" s="358"/>
      <c r="T135" s="322"/>
      <c r="U135" s="295"/>
      <c r="V135" s="335"/>
      <c r="W135" s="74"/>
      <c r="X135" s="74"/>
      <c r="Y135" s="75"/>
    </row>
    <row r="136" spans="1:25" ht="21" customHeight="1">
      <c r="A136" s="46"/>
      <c r="B136" s="47"/>
      <c r="C136" s="47"/>
      <c r="D136" s="47" t="s">
        <v>543</v>
      </c>
      <c r="E136" s="49">
        <v>12406</v>
      </c>
      <c r="F136" s="350">
        <f>ROUND(X136/1000,0)</f>
        <v>14454</v>
      </c>
      <c r="G136" s="50">
        <f t="shared" ref="G136" si="44">F136-E136</f>
        <v>2048</v>
      </c>
      <c r="H136" s="72">
        <f t="shared" ref="H136" si="45">IF(E136=0,0,G136/E136)</f>
        <v>0.16508141221989359</v>
      </c>
      <c r="I136" s="73" t="s">
        <v>542</v>
      </c>
      <c r="J136" s="70"/>
      <c r="K136" s="317"/>
      <c r="L136" s="317"/>
      <c r="M136" s="333"/>
      <c r="N136" s="333"/>
      <c r="O136" s="314"/>
      <c r="P136" s="333"/>
      <c r="Q136" s="55"/>
      <c r="R136" s="316"/>
      <c r="S136" s="57"/>
      <c r="T136" s="367"/>
      <c r="U136" s="367"/>
      <c r="V136" s="335" t="s">
        <v>545</v>
      </c>
      <c r="W136" s="74"/>
      <c r="X136" s="335">
        <f>SUM(X137:X141)</f>
        <v>14454000</v>
      </c>
      <c r="Y136" s="75" t="s">
        <v>25</v>
      </c>
    </row>
    <row r="137" spans="1:25" ht="21" customHeight="1">
      <c r="A137" s="46"/>
      <c r="B137" s="47"/>
      <c r="C137" s="47"/>
      <c r="D137" s="47" t="s">
        <v>544</v>
      </c>
      <c r="E137" s="49"/>
      <c r="F137" s="49"/>
      <c r="G137" s="50"/>
      <c r="H137" s="72"/>
      <c r="I137" s="334" t="s">
        <v>546</v>
      </c>
      <c r="J137" s="70"/>
      <c r="K137" s="317"/>
      <c r="L137" s="317"/>
      <c r="M137" s="376">
        <v>5616000</v>
      </c>
      <c r="N137" s="71" t="s">
        <v>491</v>
      </c>
      <c r="O137" s="71" t="s">
        <v>500</v>
      </c>
      <c r="P137" s="80">
        <v>0.9</v>
      </c>
      <c r="Q137" s="373"/>
      <c r="R137" s="71"/>
      <c r="S137" s="374"/>
      <c r="T137" s="71"/>
      <c r="U137" s="71" t="s">
        <v>505</v>
      </c>
      <c r="V137" s="333"/>
      <c r="W137" s="70"/>
      <c r="X137" s="333">
        <f>ROUND(M137*P137,-3)</f>
        <v>5054000</v>
      </c>
      <c r="Y137" s="59" t="s">
        <v>491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548</v>
      </c>
      <c r="J138" s="334"/>
      <c r="K138" s="333"/>
      <c r="L138" s="333"/>
      <c r="M138" s="333"/>
      <c r="N138" s="55"/>
      <c r="O138" s="76"/>
      <c r="P138" s="82"/>
      <c r="Q138" s="76"/>
      <c r="R138" s="76"/>
      <c r="S138" s="80"/>
      <c r="T138" s="78"/>
      <c r="U138" s="367"/>
      <c r="V138" s="333"/>
      <c r="W138" s="70"/>
      <c r="X138" s="70">
        <v>2000000</v>
      </c>
      <c r="Y138" s="59" t="s">
        <v>482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69" t="s">
        <v>549</v>
      </c>
      <c r="J139" s="334"/>
      <c r="K139" s="333"/>
      <c r="L139" s="333"/>
      <c r="M139" s="333"/>
      <c r="N139" s="55"/>
      <c r="O139" s="76"/>
      <c r="P139" s="82"/>
      <c r="Q139" s="76"/>
      <c r="R139" s="76"/>
      <c r="S139" s="80"/>
      <c r="T139" s="78"/>
      <c r="U139" s="367"/>
      <c r="V139" s="333"/>
      <c r="W139" s="70"/>
      <c r="X139" s="70">
        <v>2000000</v>
      </c>
      <c r="Y139" s="59" t="s">
        <v>482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69" t="s">
        <v>550</v>
      </c>
      <c r="J140" s="334"/>
      <c r="K140" s="333"/>
      <c r="L140" s="333"/>
      <c r="M140" s="333"/>
      <c r="N140" s="55"/>
      <c r="O140" s="76"/>
      <c r="P140" s="82"/>
      <c r="Q140" s="76"/>
      <c r="R140" s="76"/>
      <c r="S140" s="80"/>
      <c r="T140" s="78"/>
      <c r="U140" s="367"/>
      <c r="V140" s="333"/>
      <c r="W140" s="70"/>
      <c r="X140" s="70">
        <v>2000000</v>
      </c>
      <c r="Y140" s="59" t="s">
        <v>482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69" t="s">
        <v>551</v>
      </c>
      <c r="J141" s="334"/>
      <c r="K141" s="333"/>
      <c r="L141" s="333"/>
      <c r="M141" s="376">
        <v>200000</v>
      </c>
      <c r="N141" s="71" t="s">
        <v>491</v>
      </c>
      <c r="O141" s="71" t="s">
        <v>500</v>
      </c>
      <c r="P141" s="377">
        <v>17</v>
      </c>
      <c r="Q141" s="373"/>
      <c r="R141" s="71"/>
      <c r="S141" s="374"/>
      <c r="T141" s="71"/>
      <c r="U141" s="71" t="s">
        <v>505</v>
      </c>
      <c r="V141" s="333"/>
      <c r="W141" s="70"/>
      <c r="X141" s="333">
        <f>ROUND(M141*P141,-3)</f>
        <v>3400000</v>
      </c>
      <c r="Y141" s="59" t="s">
        <v>491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2"/>
      <c r="I142" s="69"/>
      <c r="J142" s="334"/>
      <c r="K142" s="333"/>
      <c r="L142" s="333"/>
      <c r="M142" s="333"/>
      <c r="N142" s="55"/>
      <c r="O142" s="76"/>
      <c r="P142" s="82"/>
      <c r="Q142" s="76"/>
      <c r="R142" s="76"/>
      <c r="S142" s="80"/>
      <c r="T142" s="78"/>
      <c r="U142" s="367"/>
      <c r="V142" s="333"/>
      <c r="W142" s="70"/>
      <c r="X142" s="70"/>
      <c r="Y142" s="59"/>
    </row>
    <row r="143" spans="1:25" ht="21" customHeight="1">
      <c r="A143" s="46"/>
      <c r="B143" s="47"/>
      <c r="C143" s="37" t="s">
        <v>430</v>
      </c>
      <c r="D143" s="397" t="s">
        <v>311</v>
      </c>
      <c r="E143" s="326">
        <f>E144</f>
        <v>0</v>
      </c>
      <c r="F143" s="326">
        <f>F144</f>
        <v>0</v>
      </c>
      <c r="G143" s="327">
        <f t="shared" ref="G143:G144" si="46">F143-E143</f>
        <v>0</v>
      </c>
      <c r="H143" s="328">
        <f t="shared" ref="H143:H144" si="47">IF(E143=0,0,G143/E143)</f>
        <v>0</v>
      </c>
      <c r="I143" s="310" t="s">
        <v>429</v>
      </c>
      <c r="J143" s="311"/>
      <c r="K143" s="312"/>
      <c r="L143" s="312"/>
      <c r="M143" s="312"/>
      <c r="N143" s="312"/>
      <c r="O143" s="312"/>
      <c r="P143" s="313"/>
      <c r="Q143" s="313"/>
      <c r="R143" s="313"/>
      <c r="S143" s="313"/>
      <c r="T143" s="313"/>
      <c r="U143" s="313"/>
      <c r="V143" s="347" t="s">
        <v>76</v>
      </c>
      <c r="W143" s="348"/>
      <c r="X143" s="348">
        <f>SUM(X144:X144)</f>
        <v>0</v>
      </c>
      <c r="Y143" s="400" t="s">
        <v>57</v>
      </c>
    </row>
    <row r="144" spans="1:25" ht="21" customHeight="1">
      <c r="A144" s="46"/>
      <c r="B144" s="47"/>
      <c r="C144" s="47" t="s">
        <v>423</v>
      </c>
      <c r="D144" s="47" t="s">
        <v>431</v>
      </c>
      <c r="E144" s="49">
        <v>0</v>
      </c>
      <c r="F144" s="49">
        <f>ROUND(X144/1000,0)</f>
        <v>0</v>
      </c>
      <c r="G144" s="416">
        <f t="shared" si="46"/>
        <v>0</v>
      </c>
      <c r="H144" s="262">
        <f t="shared" si="47"/>
        <v>0</v>
      </c>
      <c r="I144" s="69"/>
      <c r="J144" s="334"/>
      <c r="K144" s="333"/>
      <c r="L144" s="333"/>
      <c r="M144" s="333"/>
      <c r="N144" s="367"/>
      <c r="O144" s="314"/>
      <c r="P144" s="333"/>
      <c r="Q144" s="55"/>
      <c r="R144" s="315"/>
      <c r="S144" s="318"/>
      <c r="T144" s="318"/>
      <c r="U144" s="367"/>
      <c r="V144" s="135"/>
      <c r="W144" s="70"/>
      <c r="X144" s="70">
        <v>0</v>
      </c>
      <c r="Y144" s="59" t="s">
        <v>427</v>
      </c>
    </row>
    <row r="145" spans="1:26" s="11" customFormat="1" ht="19.5" customHeight="1">
      <c r="A145" s="404"/>
      <c r="B145" s="91"/>
      <c r="C145" s="91"/>
      <c r="D145" s="61"/>
      <c r="E145" s="63"/>
      <c r="F145" s="63"/>
      <c r="G145" s="64"/>
      <c r="H145" s="92"/>
      <c r="I145" s="73"/>
      <c r="J145" s="335"/>
      <c r="K145" s="93"/>
      <c r="L145" s="93"/>
      <c r="M145" s="94"/>
      <c r="N145" s="335"/>
      <c r="O145" s="93"/>
      <c r="P145" s="335"/>
      <c r="Q145" s="335"/>
      <c r="R145" s="335"/>
      <c r="S145" s="335"/>
      <c r="T145" s="335"/>
      <c r="U145" s="335"/>
      <c r="V145" s="335"/>
      <c r="W145" s="335"/>
      <c r="X145" s="335"/>
      <c r="Y145" s="75"/>
      <c r="Z145" s="6"/>
    </row>
    <row r="146" spans="1:26" ht="21" customHeight="1">
      <c r="A146" s="36" t="s">
        <v>81</v>
      </c>
      <c r="B146" s="37" t="s">
        <v>30</v>
      </c>
      <c r="C146" s="495" t="s">
        <v>598</v>
      </c>
      <c r="D146" s="496"/>
      <c r="E146" s="380">
        <f>SUM(E147,E156)</f>
        <v>69912</v>
      </c>
      <c r="F146" s="380">
        <f>SUM(F147,F156)</f>
        <v>90600</v>
      </c>
      <c r="G146" s="381">
        <f t="shared" ref="G146" si="48">F146-E146</f>
        <v>20688</v>
      </c>
      <c r="H146" s="382">
        <f t="shared" ref="H146" si="49">IF(E146=0,0,G146/E146)</f>
        <v>0.29591486440096121</v>
      </c>
      <c r="I146" s="383" t="s">
        <v>599</v>
      </c>
      <c r="J146" s="384"/>
      <c r="K146" s="385"/>
      <c r="L146" s="385"/>
      <c r="M146" s="384"/>
      <c r="N146" s="384"/>
      <c r="O146" s="384"/>
      <c r="P146" s="384"/>
      <c r="Q146" s="384" t="s">
        <v>71</v>
      </c>
      <c r="R146" s="386"/>
      <c r="S146" s="386"/>
      <c r="T146" s="386"/>
      <c r="U146" s="386"/>
      <c r="V146" s="386"/>
      <c r="W146" s="386"/>
      <c r="X146" s="387">
        <f>X147+X156</f>
        <v>90600000</v>
      </c>
      <c r="Y146" s="399" t="s">
        <v>25</v>
      </c>
    </row>
    <row r="147" spans="1:26" ht="21" customHeight="1">
      <c r="A147" s="46" t="s">
        <v>412</v>
      </c>
      <c r="B147" s="47" t="s">
        <v>412</v>
      </c>
      <c r="C147" s="37" t="s">
        <v>432</v>
      </c>
      <c r="D147" s="397" t="s">
        <v>604</v>
      </c>
      <c r="E147" s="326">
        <f>E148+E154</f>
        <v>9912</v>
      </c>
      <c r="F147" s="326">
        <f>F148+F154</f>
        <v>30600</v>
      </c>
      <c r="G147" s="327">
        <f t="shared" ref="G147:G148" si="50">F147-E147</f>
        <v>20688</v>
      </c>
      <c r="H147" s="328">
        <f t="shared" ref="H147:H148" si="51">IF(E147=0,0,G147/E147)</f>
        <v>2.0871670702179177</v>
      </c>
      <c r="I147" s="310" t="s">
        <v>605</v>
      </c>
      <c r="J147" s="311"/>
      <c r="K147" s="312"/>
      <c r="L147" s="312"/>
      <c r="M147" s="312"/>
      <c r="N147" s="312"/>
      <c r="O147" s="312"/>
      <c r="P147" s="313"/>
      <c r="Q147" s="313"/>
      <c r="R147" s="313"/>
      <c r="S147" s="313"/>
      <c r="T147" s="313"/>
      <c r="U147" s="313"/>
      <c r="V147" s="347" t="s">
        <v>593</v>
      </c>
      <c r="W147" s="348"/>
      <c r="X147" s="349">
        <f>SUM(X148,X154)</f>
        <v>30600000</v>
      </c>
      <c r="Y147" s="400" t="s">
        <v>583</v>
      </c>
    </row>
    <row r="148" spans="1:26" ht="21.75" customHeight="1">
      <c r="A148" s="46"/>
      <c r="B148" s="47"/>
      <c r="C148" s="47" t="s">
        <v>433</v>
      </c>
      <c r="D148" s="37" t="s">
        <v>434</v>
      </c>
      <c r="E148" s="38">
        <v>8712</v>
      </c>
      <c r="F148" s="49">
        <f>ROUND(X148/1000,0)</f>
        <v>30000</v>
      </c>
      <c r="G148" s="416">
        <f t="shared" si="50"/>
        <v>21288</v>
      </c>
      <c r="H148" s="262">
        <f t="shared" si="51"/>
        <v>2.443526170798898</v>
      </c>
      <c r="I148" s="196" t="s">
        <v>435</v>
      </c>
      <c r="J148" s="21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497" t="s">
        <v>76</v>
      </c>
      <c r="W148" s="497"/>
      <c r="X148" s="198">
        <f>SUM(X149:X153)</f>
        <v>30000000</v>
      </c>
      <c r="Y148" s="199" t="s">
        <v>69</v>
      </c>
    </row>
    <row r="149" spans="1:26" ht="18" customHeight="1">
      <c r="A149" s="46"/>
      <c r="B149" s="47"/>
      <c r="C149" s="47"/>
      <c r="D149" s="47"/>
      <c r="E149" s="49"/>
      <c r="F149" s="49"/>
      <c r="G149" s="50"/>
      <c r="H149" s="32"/>
      <c r="I149" s="69" t="s">
        <v>224</v>
      </c>
      <c r="J149" s="334"/>
      <c r="K149" s="333"/>
      <c r="L149" s="333"/>
      <c r="M149" s="333">
        <v>300000</v>
      </c>
      <c r="N149" s="367" t="s">
        <v>72</v>
      </c>
      <c r="O149" s="76" t="s">
        <v>73</v>
      </c>
      <c r="P149" s="71">
        <v>12</v>
      </c>
      <c r="Q149" s="76" t="s">
        <v>343</v>
      </c>
      <c r="R149" s="86"/>
      <c r="S149" s="78"/>
      <c r="T149" s="78"/>
      <c r="U149" s="367" t="s">
        <v>74</v>
      </c>
      <c r="V149" s="333"/>
      <c r="W149" s="70"/>
      <c r="X149" s="70">
        <f>M149*P149</f>
        <v>3600000</v>
      </c>
      <c r="Y149" s="59" t="s">
        <v>69</v>
      </c>
    </row>
    <row r="150" spans="1:26" ht="18" customHeight="1">
      <c r="A150" s="46"/>
      <c r="B150" s="47"/>
      <c r="C150" s="47"/>
      <c r="D150" s="47"/>
      <c r="E150" s="49"/>
      <c r="F150" s="49"/>
      <c r="G150" s="50"/>
      <c r="H150" s="32"/>
      <c r="I150" s="69" t="s">
        <v>732</v>
      </c>
      <c r="J150" s="443"/>
      <c r="K150" s="442"/>
      <c r="L150" s="442"/>
      <c r="M150" s="442">
        <v>200000</v>
      </c>
      <c r="N150" s="439" t="s">
        <v>57</v>
      </c>
      <c r="O150" s="76" t="s">
        <v>58</v>
      </c>
      <c r="P150" s="71">
        <v>12</v>
      </c>
      <c r="Q150" s="76" t="s">
        <v>0</v>
      </c>
      <c r="R150" s="86"/>
      <c r="S150" s="78"/>
      <c r="T150" s="78"/>
      <c r="U150" s="439" t="s">
        <v>53</v>
      </c>
      <c r="V150" s="442"/>
      <c r="W150" s="70"/>
      <c r="X150" s="70">
        <f>M150*P150</f>
        <v>2400000</v>
      </c>
      <c r="Y150" s="59" t="s">
        <v>57</v>
      </c>
    </row>
    <row r="151" spans="1:26" ht="18" customHeight="1">
      <c r="A151" s="46"/>
      <c r="B151" s="47"/>
      <c r="C151" s="47"/>
      <c r="D151" s="47"/>
      <c r="E151" s="49"/>
      <c r="F151" s="49"/>
      <c r="G151" s="50"/>
      <c r="H151" s="32"/>
      <c r="I151" s="69" t="s">
        <v>733</v>
      </c>
      <c r="J151" s="420"/>
      <c r="K151" s="419"/>
      <c r="L151" s="419"/>
      <c r="M151" s="419"/>
      <c r="N151" s="418"/>
      <c r="O151" s="76"/>
      <c r="P151" s="71"/>
      <c r="Q151" s="76"/>
      <c r="R151" s="86"/>
      <c r="S151" s="78"/>
      <c r="T151" s="78"/>
      <c r="U151" s="418"/>
      <c r="V151" s="419"/>
      <c r="W151" s="70"/>
      <c r="X151" s="70">
        <v>4000000</v>
      </c>
      <c r="Y151" s="59" t="s">
        <v>57</v>
      </c>
    </row>
    <row r="152" spans="1:26" ht="18" customHeight="1">
      <c r="A152" s="46"/>
      <c r="B152" s="47"/>
      <c r="C152" s="47"/>
      <c r="D152" s="47"/>
      <c r="E152" s="49"/>
      <c r="F152" s="49"/>
      <c r="G152" s="50"/>
      <c r="H152" s="32"/>
      <c r="I152" s="69" t="s">
        <v>691</v>
      </c>
      <c r="J152" s="432"/>
      <c r="K152" s="431"/>
      <c r="L152" s="431"/>
      <c r="M152" s="431"/>
      <c r="N152" s="430"/>
      <c r="O152" s="76"/>
      <c r="P152" s="71"/>
      <c r="Q152" s="76"/>
      <c r="R152" s="86"/>
      <c r="S152" s="78"/>
      <c r="T152" s="78"/>
      <c r="U152" s="430"/>
      <c r="V152" s="431"/>
      <c r="W152" s="70"/>
      <c r="X152" s="70">
        <v>20000000</v>
      </c>
      <c r="Y152" s="59" t="s">
        <v>692</v>
      </c>
    </row>
    <row r="153" spans="1:26" ht="18" customHeight="1">
      <c r="A153" s="46"/>
      <c r="B153" s="47"/>
      <c r="C153" s="47"/>
      <c r="D153" s="61"/>
      <c r="E153" s="63"/>
      <c r="F153" s="63"/>
      <c r="G153" s="64"/>
      <c r="H153" s="309"/>
      <c r="I153" s="73"/>
      <c r="J153" s="336"/>
      <c r="K153" s="335"/>
      <c r="L153" s="335"/>
      <c r="M153" s="335"/>
      <c r="N153" s="295"/>
      <c r="O153" s="319"/>
      <c r="P153" s="320"/>
      <c r="Q153" s="319"/>
      <c r="R153" s="321"/>
      <c r="S153" s="322"/>
      <c r="T153" s="322"/>
      <c r="U153" s="295"/>
      <c r="V153" s="335"/>
      <c r="W153" s="74"/>
      <c r="X153" s="74"/>
      <c r="Y153" s="75"/>
    </row>
    <row r="154" spans="1:26" ht="18" customHeight="1">
      <c r="A154" s="46"/>
      <c r="B154" s="47"/>
      <c r="C154" s="47"/>
      <c r="D154" s="37" t="s">
        <v>594</v>
      </c>
      <c r="E154" s="38">
        <v>1200</v>
      </c>
      <c r="F154" s="49">
        <f>ROUND(X154/1000,0)</f>
        <v>600</v>
      </c>
      <c r="G154" s="39">
        <f t="shared" ref="G154" si="52">F154-E154</f>
        <v>-600</v>
      </c>
      <c r="H154" s="40">
        <f t="shared" ref="H154" si="53">IF(E154=0,0,G154/E154)</f>
        <v>-0.5</v>
      </c>
      <c r="I154" s="196" t="s">
        <v>435</v>
      </c>
      <c r="J154" s="21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497" t="s">
        <v>76</v>
      </c>
      <c r="W154" s="497"/>
      <c r="X154" s="198">
        <f>X155</f>
        <v>600000</v>
      </c>
      <c r="Y154" s="199" t="s">
        <v>57</v>
      </c>
    </row>
    <row r="155" spans="1:26" ht="18" customHeight="1">
      <c r="A155" s="46"/>
      <c r="B155" s="47"/>
      <c r="C155" s="61"/>
      <c r="D155" s="61"/>
      <c r="E155" s="63"/>
      <c r="F155" s="63"/>
      <c r="G155" s="64"/>
      <c r="H155" s="309"/>
      <c r="I155" s="69" t="s">
        <v>595</v>
      </c>
      <c r="J155" s="334"/>
      <c r="K155" s="333"/>
      <c r="L155" s="333"/>
      <c r="M155" s="333">
        <v>50000</v>
      </c>
      <c r="N155" s="367" t="s">
        <v>57</v>
      </c>
      <c r="O155" s="76" t="s">
        <v>58</v>
      </c>
      <c r="P155" s="71">
        <v>12</v>
      </c>
      <c r="Q155" s="76" t="s">
        <v>0</v>
      </c>
      <c r="R155" s="86"/>
      <c r="S155" s="78"/>
      <c r="T155" s="78"/>
      <c r="U155" s="367" t="s">
        <v>53</v>
      </c>
      <c r="V155" s="333"/>
      <c r="W155" s="70"/>
      <c r="X155" s="70">
        <f>M155*P155</f>
        <v>600000</v>
      </c>
      <c r="Y155" s="59" t="s">
        <v>57</v>
      </c>
    </row>
    <row r="156" spans="1:26" ht="25.5" customHeight="1">
      <c r="A156" s="46"/>
      <c r="B156" s="47"/>
      <c r="C156" s="47" t="s">
        <v>436</v>
      </c>
      <c r="D156" s="397" t="s">
        <v>311</v>
      </c>
      <c r="E156" s="326">
        <f>E157</f>
        <v>60000</v>
      </c>
      <c r="F156" s="326">
        <f>F157</f>
        <v>60000</v>
      </c>
      <c r="G156" s="327">
        <f t="shared" ref="G156:G157" si="54">F156-E156</f>
        <v>0</v>
      </c>
      <c r="H156" s="328">
        <f t="shared" ref="H156:H157" si="55">IF(E156=0,0,G156/E156)</f>
        <v>0</v>
      </c>
      <c r="I156" s="310" t="s">
        <v>438</v>
      </c>
      <c r="J156" s="311"/>
      <c r="K156" s="312"/>
      <c r="L156" s="312"/>
      <c r="M156" s="312"/>
      <c r="N156" s="312"/>
      <c r="O156" s="312"/>
      <c r="P156" s="313"/>
      <c r="Q156" s="313"/>
      <c r="R156" s="313"/>
      <c r="S156" s="313"/>
      <c r="T156" s="313"/>
      <c r="U156" s="313"/>
      <c r="V156" s="347" t="s">
        <v>76</v>
      </c>
      <c r="W156" s="348"/>
      <c r="X156" s="348">
        <f>SUM(X157:X157)</f>
        <v>60000000</v>
      </c>
      <c r="Y156" s="400" t="s">
        <v>57</v>
      </c>
    </row>
    <row r="157" spans="1:26" ht="21" customHeight="1">
      <c r="A157" s="46"/>
      <c r="B157" s="47"/>
      <c r="C157" s="47" t="s">
        <v>433</v>
      </c>
      <c r="D157" s="47" t="s">
        <v>437</v>
      </c>
      <c r="E157" s="49">
        <v>60000</v>
      </c>
      <c r="F157" s="49">
        <f>ROUND(X157/1000,0)</f>
        <v>60000</v>
      </c>
      <c r="G157" s="416">
        <f t="shared" si="54"/>
        <v>0</v>
      </c>
      <c r="H157" s="262">
        <f t="shared" si="55"/>
        <v>0</v>
      </c>
      <c r="I157" s="69" t="s">
        <v>82</v>
      </c>
      <c r="J157" s="334" t="s">
        <v>83</v>
      </c>
      <c r="K157" s="333"/>
      <c r="L157" s="333"/>
      <c r="M157" s="333">
        <v>5000000</v>
      </c>
      <c r="N157" s="367" t="s">
        <v>72</v>
      </c>
      <c r="O157" s="76" t="s">
        <v>73</v>
      </c>
      <c r="P157" s="71">
        <v>12</v>
      </c>
      <c r="Q157" s="76" t="s">
        <v>343</v>
      </c>
      <c r="R157" s="86"/>
      <c r="S157" s="78"/>
      <c r="T157" s="78"/>
      <c r="U157" s="367" t="s">
        <v>74</v>
      </c>
      <c r="V157" s="333"/>
      <c r="W157" s="70"/>
      <c r="X157" s="70">
        <f>M157*P157</f>
        <v>60000000</v>
      </c>
      <c r="Y157" s="59" t="s">
        <v>69</v>
      </c>
    </row>
    <row r="158" spans="1:26" ht="21" customHeight="1">
      <c r="A158" s="60"/>
      <c r="B158" s="61"/>
      <c r="C158" s="61"/>
      <c r="D158" s="61"/>
      <c r="E158" s="63"/>
      <c r="F158" s="63"/>
      <c r="G158" s="64"/>
      <c r="H158" s="309"/>
      <c r="I158" s="73"/>
      <c r="J158" s="336"/>
      <c r="K158" s="335"/>
      <c r="L158" s="335"/>
      <c r="M158" s="335"/>
      <c r="N158" s="295"/>
      <c r="O158" s="319"/>
      <c r="P158" s="320"/>
      <c r="Q158" s="319"/>
      <c r="R158" s="321"/>
      <c r="S158" s="322"/>
      <c r="T158" s="322"/>
      <c r="U158" s="295"/>
      <c r="V158" s="335"/>
      <c r="W158" s="74"/>
      <c r="X158" s="74"/>
      <c r="Y158" s="75"/>
    </row>
    <row r="159" spans="1:26" ht="21" customHeight="1">
      <c r="A159" s="36" t="s">
        <v>439</v>
      </c>
      <c r="B159" s="37" t="s">
        <v>439</v>
      </c>
      <c r="C159" s="495" t="s">
        <v>598</v>
      </c>
      <c r="D159" s="496"/>
      <c r="E159" s="380">
        <f>E160+E163</f>
        <v>0</v>
      </c>
      <c r="F159" s="380">
        <f>F160+F163</f>
        <v>0</v>
      </c>
      <c r="G159" s="381">
        <f t="shared" ref="G159:G161" si="56">F159-E159</f>
        <v>0</v>
      </c>
      <c r="H159" s="382">
        <f t="shared" ref="H159:H161" si="57">IF(E159=0,0,G159/E159)</f>
        <v>0</v>
      </c>
      <c r="I159" s="383" t="s">
        <v>600</v>
      </c>
      <c r="J159" s="384"/>
      <c r="K159" s="385"/>
      <c r="L159" s="385"/>
      <c r="M159" s="384"/>
      <c r="N159" s="384"/>
      <c r="O159" s="384"/>
      <c r="P159" s="384"/>
      <c r="Q159" s="384" t="s">
        <v>70</v>
      </c>
      <c r="R159" s="386"/>
      <c r="S159" s="386"/>
      <c r="T159" s="386"/>
      <c r="U159" s="386"/>
      <c r="V159" s="386"/>
      <c r="W159" s="386"/>
      <c r="X159" s="387">
        <f>X160+X163</f>
        <v>0</v>
      </c>
      <c r="Y159" s="399" t="s">
        <v>25</v>
      </c>
    </row>
    <row r="160" spans="1:26" ht="21" customHeight="1">
      <c r="A160" s="46"/>
      <c r="B160" s="47"/>
      <c r="C160" s="37" t="s">
        <v>440</v>
      </c>
      <c r="D160" s="397" t="s">
        <v>311</v>
      </c>
      <c r="E160" s="326">
        <f>E161</f>
        <v>0</v>
      </c>
      <c r="F160" s="326">
        <f>F161</f>
        <v>0</v>
      </c>
      <c r="G160" s="327">
        <f t="shared" si="56"/>
        <v>0</v>
      </c>
      <c r="H160" s="328">
        <f t="shared" si="57"/>
        <v>0</v>
      </c>
      <c r="I160" s="310" t="s">
        <v>443</v>
      </c>
      <c r="J160" s="311"/>
      <c r="K160" s="312"/>
      <c r="L160" s="312"/>
      <c r="M160" s="312"/>
      <c r="N160" s="312"/>
      <c r="O160" s="312"/>
      <c r="P160" s="313"/>
      <c r="Q160" s="313"/>
      <c r="R160" s="313"/>
      <c r="S160" s="313"/>
      <c r="T160" s="313"/>
      <c r="U160" s="313"/>
      <c r="V160" s="347" t="s">
        <v>76</v>
      </c>
      <c r="W160" s="348"/>
      <c r="X160" s="349">
        <f>X161</f>
        <v>0</v>
      </c>
      <c r="Y160" s="400" t="s">
        <v>57</v>
      </c>
    </row>
    <row r="161" spans="1:27" ht="21" customHeight="1">
      <c r="A161" s="46"/>
      <c r="B161" s="47"/>
      <c r="C161" s="47" t="s">
        <v>441</v>
      </c>
      <c r="D161" s="37" t="s">
        <v>445</v>
      </c>
      <c r="E161" s="38">
        <v>0</v>
      </c>
      <c r="F161" s="49">
        <f>ROUND(X161/1000,0)</f>
        <v>0</v>
      </c>
      <c r="G161" s="39">
        <f t="shared" si="56"/>
        <v>0</v>
      </c>
      <c r="H161" s="40">
        <f t="shared" si="57"/>
        <v>0</v>
      </c>
      <c r="I161" s="196" t="s">
        <v>443</v>
      </c>
      <c r="J161" s="21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497" t="s">
        <v>76</v>
      </c>
      <c r="W161" s="497"/>
      <c r="X161" s="198">
        <f>X162</f>
        <v>0</v>
      </c>
      <c r="Y161" s="199" t="s">
        <v>57</v>
      </c>
    </row>
    <row r="162" spans="1:27" ht="21" customHeight="1">
      <c r="A162" s="46"/>
      <c r="B162" s="47"/>
      <c r="C162" s="47" t="s">
        <v>439</v>
      </c>
      <c r="D162" s="47" t="s">
        <v>439</v>
      </c>
      <c r="E162" s="49"/>
      <c r="F162" s="49"/>
      <c r="G162" s="50"/>
      <c r="H162" s="32"/>
      <c r="I162" s="69" t="s">
        <v>444</v>
      </c>
      <c r="J162" s="334"/>
      <c r="K162" s="333"/>
      <c r="L162" s="333"/>
      <c r="M162" s="333"/>
      <c r="N162" s="367"/>
      <c r="O162" s="76"/>
      <c r="P162" s="71"/>
      <c r="Q162" s="76"/>
      <c r="R162" s="86"/>
      <c r="S162" s="78"/>
      <c r="T162" s="78"/>
      <c r="U162" s="367"/>
      <c r="V162" s="333"/>
      <c r="W162" s="70"/>
      <c r="X162" s="70">
        <v>0</v>
      </c>
      <c r="Y162" s="59" t="s">
        <v>57</v>
      </c>
    </row>
    <row r="163" spans="1:27" ht="21" customHeight="1">
      <c r="A163" s="46"/>
      <c r="B163" s="47"/>
      <c r="C163" s="37" t="s">
        <v>430</v>
      </c>
      <c r="D163" s="397" t="s">
        <v>311</v>
      </c>
      <c r="E163" s="326">
        <f>E164</f>
        <v>0</v>
      </c>
      <c r="F163" s="326">
        <f>F164</f>
        <v>0</v>
      </c>
      <c r="G163" s="327">
        <f t="shared" ref="G163:G164" si="58">F163-E163</f>
        <v>0</v>
      </c>
      <c r="H163" s="328">
        <f t="shared" ref="H163:H164" si="59">IF(E163=0,0,G163/E163)</f>
        <v>0</v>
      </c>
      <c r="I163" s="310" t="s">
        <v>446</v>
      </c>
      <c r="J163" s="311"/>
      <c r="K163" s="312"/>
      <c r="L163" s="312"/>
      <c r="M163" s="312"/>
      <c r="N163" s="312"/>
      <c r="O163" s="312"/>
      <c r="P163" s="313"/>
      <c r="Q163" s="313"/>
      <c r="R163" s="313"/>
      <c r="S163" s="313"/>
      <c r="T163" s="313"/>
      <c r="U163" s="313"/>
      <c r="V163" s="347" t="s">
        <v>76</v>
      </c>
      <c r="W163" s="348"/>
      <c r="X163" s="348">
        <f>X164</f>
        <v>0</v>
      </c>
      <c r="Y163" s="400" t="s">
        <v>57</v>
      </c>
    </row>
    <row r="164" spans="1:27" ht="21" customHeight="1">
      <c r="A164" s="46"/>
      <c r="B164" s="47"/>
      <c r="C164" s="47" t="s">
        <v>439</v>
      </c>
      <c r="D164" s="47" t="s">
        <v>442</v>
      </c>
      <c r="E164" s="49">
        <v>0</v>
      </c>
      <c r="F164" s="49">
        <f>ROUND(X164/1000,0)</f>
        <v>0</v>
      </c>
      <c r="G164" s="39">
        <f t="shared" si="58"/>
        <v>0</v>
      </c>
      <c r="H164" s="40">
        <f t="shared" si="59"/>
        <v>0</v>
      </c>
      <c r="I164" s="69" t="s">
        <v>447</v>
      </c>
      <c r="J164" s="334"/>
      <c r="K164" s="333"/>
      <c r="L164" s="333"/>
      <c r="M164" s="333"/>
      <c r="N164" s="367"/>
      <c r="O164" s="76"/>
      <c r="P164" s="71"/>
      <c r="Q164" s="76"/>
      <c r="R164" s="86"/>
      <c r="S164" s="78"/>
      <c r="T164" s="78"/>
      <c r="U164" s="367"/>
      <c r="V164" s="333"/>
      <c r="W164" s="70"/>
      <c r="X164" s="70">
        <v>0</v>
      </c>
      <c r="Y164" s="59" t="s">
        <v>57</v>
      </c>
    </row>
    <row r="165" spans="1:27" ht="21" customHeight="1">
      <c r="A165" s="60"/>
      <c r="B165" s="61"/>
      <c r="C165" s="61"/>
      <c r="D165" s="61"/>
      <c r="E165" s="63"/>
      <c r="F165" s="63"/>
      <c r="G165" s="64"/>
      <c r="H165" s="309"/>
      <c r="I165" s="73"/>
      <c r="J165" s="336"/>
      <c r="K165" s="335"/>
      <c r="L165" s="335"/>
      <c r="M165" s="335"/>
      <c r="N165" s="295"/>
      <c r="O165" s="319"/>
      <c r="P165" s="320"/>
      <c r="Q165" s="319"/>
      <c r="R165" s="321"/>
      <c r="S165" s="322"/>
      <c r="T165" s="322"/>
      <c r="U165" s="295"/>
      <c r="V165" s="335"/>
      <c r="W165" s="74"/>
      <c r="X165" s="74"/>
      <c r="Y165" s="75"/>
    </row>
    <row r="166" spans="1:27" ht="21" customHeight="1">
      <c r="A166" s="36" t="s">
        <v>84</v>
      </c>
      <c r="B166" s="37" t="s">
        <v>13</v>
      </c>
      <c r="C166" s="495" t="s">
        <v>598</v>
      </c>
      <c r="D166" s="496"/>
      <c r="E166" s="380">
        <f>SUM(E167,E171)</f>
        <v>40925</v>
      </c>
      <c r="F166" s="380">
        <f>SUM(F167,F171)</f>
        <v>31515</v>
      </c>
      <c r="G166" s="381">
        <f t="shared" ref="G166:G168" si="60">F166-E166</f>
        <v>-9410</v>
      </c>
      <c r="H166" s="382">
        <f t="shared" ref="H166:H168" si="61">IF(E166=0,0,G166/E166)</f>
        <v>-0.22993280390959073</v>
      </c>
      <c r="I166" s="383" t="s">
        <v>601</v>
      </c>
      <c r="J166" s="384"/>
      <c r="K166" s="385"/>
      <c r="L166" s="385"/>
      <c r="M166" s="384"/>
      <c r="N166" s="384"/>
      <c r="O166" s="384"/>
      <c r="P166" s="384"/>
      <c r="Q166" s="384" t="s">
        <v>70</v>
      </c>
      <c r="R166" s="386"/>
      <c r="S166" s="386"/>
      <c r="T166" s="386"/>
      <c r="U166" s="386"/>
      <c r="V166" s="386"/>
      <c r="W166" s="386"/>
      <c r="X166" s="387">
        <f>X168+X171</f>
        <v>31515000</v>
      </c>
      <c r="Y166" s="399" t="s">
        <v>25</v>
      </c>
      <c r="Z166" s="23"/>
      <c r="AA166" s="24"/>
    </row>
    <row r="167" spans="1:27" ht="21" customHeight="1">
      <c r="A167" s="46"/>
      <c r="B167" s="47"/>
      <c r="C167" s="37" t="s">
        <v>448</v>
      </c>
      <c r="D167" s="397" t="s">
        <v>604</v>
      </c>
      <c r="E167" s="326">
        <f>E168</f>
        <v>0</v>
      </c>
      <c r="F167" s="326">
        <f>F168</f>
        <v>0</v>
      </c>
      <c r="G167" s="327">
        <f t="shared" si="60"/>
        <v>0</v>
      </c>
      <c r="H167" s="328">
        <f t="shared" si="61"/>
        <v>0</v>
      </c>
      <c r="I167" s="310" t="s">
        <v>606</v>
      </c>
      <c r="J167" s="311"/>
      <c r="K167" s="312"/>
      <c r="L167" s="312"/>
      <c r="M167" s="312"/>
      <c r="N167" s="312"/>
      <c r="O167" s="312"/>
      <c r="P167" s="313"/>
      <c r="Q167" s="313"/>
      <c r="R167" s="313"/>
      <c r="S167" s="313"/>
      <c r="T167" s="313"/>
      <c r="U167" s="313"/>
      <c r="V167" s="347" t="s">
        <v>593</v>
      </c>
      <c r="W167" s="348"/>
      <c r="X167" s="349">
        <f>SUM(X168:X168)</f>
        <v>0</v>
      </c>
      <c r="Y167" s="400" t="s">
        <v>583</v>
      </c>
      <c r="Z167" s="23"/>
      <c r="AA167" s="24"/>
    </row>
    <row r="168" spans="1:27" ht="21" customHeight="1">
      <c r="A168" s="46"/>
      <c r="B168" s="47"/>
      <c r="C168" s="47" t="s">
        <v>449</v>
      </c>
      <c r="D168" s="37" t="s">
        <v>450</v>
      </c>
      <c r="E168" s="38">
        <v>0</v>
      </c>
      <c r="F168" s="49">
        <f>ROUND(X168/1000,0)</f>
        <v>0</v>
      </c>
      <c r="G168" s="39">
        <f t="shared" si="60"/>
        <v>0</v>
      </c>
      <c r="H168" s="40">
        <f t="shared" si="61"/>
        <v>0</v>
      </c>
      <c r="I168" s="196" t="s">
        <v>454</v>
      </c>
      <c r="J168" s="21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497" t="s">
        <v>76</v>
      </c>
      <c r="W168" s="497"/>
      <c r="X168" s="198">
        <f>SUM(X170:X170)</f>
        <v>0</v>
      </c>
      <c r="Y168" s="199" t="s">
        <v>57</v>
      </c>
      <c r="Z168" s="23"/>
      <c r="AA168" s="24"/>
    </row>
    <row r="169" spans="1:27" ht="21" customHeight="1">
      <c r="A169" s="46"/>
      <c r="B169" s="47"/>
      <c r="C169" s="47"/>
      <c r="D169" s="47"/>
      <c r="E169" s="49"/>
      <c r="F169" s="49"/>
      <c r="G169" s="50"/>
      <c r="H169" s="32"/>
      <c r="I169" s="69" t="s">
        <v>554</v>
      </c>
      <c r="J169" s="334"/>
      <c r="K169" s="333"/>
      <c r="L169" s="333"/>
      <c r="M169" s="333"/>
      <c r="N169" s="333"/>
      <c r="O169" s="333"/>
      <c r="P169" s="333"/>
      <c r="Q169" s="333"/>
      <c r="R169" s="333"/>
      <c r="S169" s="333"/>
      <c r="T169" s="333"/>
      <c r="U169" s="333"/>
      <c r="V169" s="367"/>
      <c r="W169" s="367"/>
      <c r="X169" s="70"/>
      <c r="Y169" s="59" t="s">
        <v>555</v>
      </c>
      <c r="Z169" s="23"/>
      <c r="AA169" s="24"/>
    </row>
    <row r="170" spans="1:27" ht="21" customHeight="1">
      <c r="A170" s="46"/>
      <c r="B170" s="47"/>
      <c r="C170" s="47"/>
      <c r="D170" s="47"/>
      <c r="E170" s="49"/>
      <c r="F170" s="49"/>
      <c r="G170" s="50"/>
      <c r="H170" s="32"/>
      <c r="I170" s="69"/>
      <c r="J170" s="334"/>
      <c r="K170" s="333"/>
      <c r="L170" s="333"/>
      <c r="M170" s="333"/>
      <c r="N170" s="367"/>
      <c r="O170" s="76"/>
      <c r="P170" s="71"/>
      <c r="Q170" s="76"/>
      <c r="R170" s="86"/>
      <c r="S170" s="78"/>
      <c r="T170" s="78"/>
      <c r="U170" s="367"/>
      <c r="V170" s="333"/>
      <c r="W170" s="70"/>
      <c r="X170" s="70"/>
      <c r="Y170" s="59"/>
      <c r="Z170" s="23"/>
      <c r="AA170" s="24"/>
    </row>
    <row r="171" spans="1:27" ht="21" customHeight="1">
      <c r="A171" s="46"/>
      <c r="B171" s="47"/>
      <c r="C171" s="37" t="s">
        <v>451</v>
      </c>
      <c r="D171" s="397" t="s">
        <v>604</v>
      </c>
      <c r="E171" s="326">
        <f>E172</f>
        <v>40925</v>
      </c>
      <c r="F171" s="326">
        <f>F172</f>
        <v>31515</v>
      </c>
      <c r="G171" s="327">
        <f t="shared" ref="G171:G172" si="62">F171-E171</f>
        <v>-9410</v>
      </c>
      <c r="H171" s="328">
        <f t="shared" ref="H171:H172" si="63">IF(E171=0,0,G171/E171)</f>
        <v>-0.22993280390959073</v>
      </c>
      <c r="I171" s="310" t="s">
        <v>607</v>
      </c>
      <c r="J171" s="311"/>
      <c r="K171" s="312"/>
      <c r="L171" s="312"/>
      <c r="M171" s="312"/>
      <c r="N171" s="312"/>
      <c r="O171" s="312"/>
      <c r="P171" s="313"/>
      <c r="Q171" s="313"/>
      <c r="R171" s="313"/>
      <c r="S171" s="313"/>
      <c r="T171" s="313"/>
      <c r="U171" s="313"/>
      <c r="V171" s="347" t="s">
        <v>593</v>
      </c>
      <c r="W171" s="348"/>
      <c r="X171" s="348">
        <f>SUM(X172:X172)</f>
        <v>31515000</v>
      </c>
      <c r="Y171" s="400" t="s">
        <v>583</v>
      </c>
      <c r="Z171" s="23"/>
      <c r="AA171" s="24"/>
    </row>
    <row r="172" spans="1:27" ht="21" customHeight="1">
      <c r="A172" s="46"/>
      <c r="B172" s="47"/>
      <c r="C172" s="47" t="s">
        <v>449</v>
      </c>
      <c r="D172" s="47" t="s">
        <v>450</v>
      </c>
      <c r="E172" s="49">
        <v>40925</v>
      </c>
      <c r="F172" s="49">
        <f>ROUND(X172/1000,0)</f>
        <v>31515</v>
      </c>
      <c r="G172" s="39">
        <f t="shared" si="62"/>
        <v>-9410</v>
      </c>
      <c r="H172" s="40">
        <f t="shared" si="63"/>
        <v>-0.22993280390959073</v>
      </c>
      <c r="I172" s="196" t="s">
        <v>455</v>
      </c>
      <c r="J172" s="200"/>
      <c r="K172" s="333"/>
      <c r="L172" s="333"/>
      <c r="M172" s="333"/>
      <c r="N172" s="367"/>
      <c r="O172" s="76"/>
      <c r="P172" s="71"/>
      <c r="Q172" s="76"/>
      <c r="R172" s="86"/>
      <c r="S172" s="78"/>
      <c r="T172" s="78"/>
      <c r="U172" s="367"/>
      <c r="V172" s="497" t="s">
        <v>76</v>
      </c>
      <c r="W172" s="497"/>
      <c r="X172" s="198">
        <f>SUM(X173,X182,X186,X189,X193,X202,X207,X212)</f>
        <v>31515000</v>
      </c>
      <c r="Y172" s="199" t="s">
        <v>57</v>
      </c>
    </row>
    <row r="173" spans="1:27" ht="21" customHeight="1" thickBot="1">
      <c r="A173" s="46"/>
      <c r="B173" s="47"/>
      <c r="C173" s="47" t="s">
        <v>552</v>
      </c>
      <c r="D173" s="47" t="s">
        <v>553</v>
      </c>
      <c r="E173" s="49"/>
      <c r="F173" s="49"/>
      <c r="G173" s="50"/>
      <c r="H173" s="32"/>
      <c r="I173" s="406" t="s">
        <v>609</v>
      </c>
      <c r="J173" s="66"/>
      <c r="K173" s="333"/>
      <c r="L173" s="333"/>
      <c r="M173" s="333"/>
      <c r="N173" s="333"/>
      <c r="O173" s="333"/>
      <c r="P173" s="333"/>
      <c r="Q173" s="504" t="s">
        <v>610</v>
      </c>
      <c r="R173" s="504"/>
      <c r="S173" s="504"/>
      <c r="T173" s="504"/>
      <c r="U173" s="504"/>
      <c r="V173" s="504"/>
      <c r="W173" s="504"/>
      <c r="X173" s="407">
        <f>SUM(X174:X180)</f>
        <v>12251000</v>
      </c>
      <c r="Y173" s="408" t="s">
        <v>57</v>
      </c>
    </row>
    <row r="174" spans="1:27" ht="21" customHeight="1">
      <c r="A174" s="46"/>
      <c r="B174" s="47"/>
      <c r="C174" s="47"/>
      <c r="D174" s="47"/>
      <c r="E174" s="49"/>
      <c r="F174" s="49"/>
      <c r="G174" s="50"/>
      <c r="H174" s="32"/>
      <c r="I174" s="334" t="s">
        <v>611</v>
      </c>
      <c r="J174" s="334"/>
      <c r="K174" s="333"/>
      <c r="L174" s="333"/>
      <c r="M174" s="333">
        <v>870000</v>
      </c>
      <c r="N174" s="333" t="s">
        <v>57</v>
      </c>
      <c r="O174" s="334" t="s">
        <v>58</v>
      </c>
      <c r="P174" s="367">
        <v>1</v>
      </c>
      <c r="Q174" s="333" t="s">
        <v>56</v>
      </c>
      <c r="R174" s="334" t="s">
        <v>58</v>
      </c>
      <c r="S174" s="333">
        <v>12</v>
      </c>
      <c r="T174" s="333" t="s">
        <v>0</v>
      </c>
      <c r="U174" s="333" t="s">
        <v>53</v>
      </c>
      <c r="V174" s="333"/>
      <c r="W174" s="70"/>
      <c r="X174" s="70">
        <f>M174*P174*S174</f>
        <v>10440000</v>
      </c>
      <c r="Y174" s="59" t="s">
        <v>57</v>
      </c>
    </row>
    <row r="175" spans="1:27" ht="21" customHeight="1">
      <c r="A175" s="46"/>
      <c r="B175" s="47"/>
      <c r="C175" s="47"/>
      <c r="D175" s="47"/>
      <c r="E175" s="49"/>
      <c r="F175" s="49"/>
      <c r="G175" s="50"/>
      <c r="H175" s="32"/>
      <c r="I175" s="334" t="s">
        <v>612</v>
      </c>
      <c r="J175" s="334"/>
      <c r="K175" s="333"/>
      <c r="L175" s="333"/>
      <c r="M175" s="333">
        <f>X174</f>
        <v>10440000</v>
      </c>
      <c r="N175" s="367" t="s">
        <v>57</v>
      </c>
      <c r="O175" s="76" t="s">
        <v>58</v>
      </c>
      <c r="P175" s="80">
        <v>0.09</v>
      </c>
      <c r="Q175" s="367" t="s">
        <v>77</v>
      </c>
      <c r="R175" s="81">
        <v>2</v>
      </c>
      <c r="S175" s="78"/>
      <c r="T175" s="78"/>
      <c r="U175" s="367" t="s">
        <v>53</v>
      </c>
      <c r="V175" s="250"/>
      <c r="W175" s="53"/>
      <c r="X175" s="70">
        <f>ROUND(M175*P175/R175,-3)</f>
        <v>470000</v>
      </c>
      <c r="Y175" s="59" t="s">
        <v>57</v>
      </c>
    </row>
    <row r="176" spans="1:27" ht="21" customHeight="1">
      <c r="A176" s="46"/>
      <c r="B176" s="47"/>
      <c r="C176" s="47"/>
      <c r="D176" s="47"/>
      <c r="E176" s="49"/>
      <c r="F176" s="49"/>
      <c r="G176" s="50"/>
      <c r="H176" s="32"/>
      <c r="I176" s="334" t="s">
        <v>613</v>
      </c>
      <c r="J176" s="334"/>
      <c r="K176" s="333"/>
      <c r="L176" s="333"/>
      <c r="M176" s="333">
        <f>X174</f>
        <v>10440000</v>
      </c>
      <c r="N176" s="367" t="s">
        <v>57</v>
      </c>
      <c r="O176" s="76" t="s">
        <v>58</v>
      </c>
      <c r="P176" s="82">
        <v>5.8900000000000001E-2</v>
      </c>
      <c r="Q176" s="367" t="s">
        <v>77</v>
      </c>
      <c r="R176" s="81">
        <v>2</v>
      </c>
      <c r="S176" s="78"/>
      <c r="T176" s="78"/>
      <c r="U176" s="367" t="s">
        <v>53</v>
      </c>
      <c r="V176" s="250"/>
      <c r="W176" s="53"/>
      <c r="X176" s="70">
        <f>ROUND(M176*P176/R176,-3)</f>
        <v>307000</v>
      </c>
      <c r="Y176" s="59" t="s">
        <v>57</v>
      </c>
    </row>
    <row r="177" spans="1:25" ht="21" customHeight="1">
      <c r="A177" s="46"/>
      <c r="B177" s="47"/>
      <c r="C177" s="47"/>
      <c r="D177" s="47"/>
      <c r="E177" s="49"/>
      <c r="F177" s="49"/>
      <c r="G177" s="50"/>
      <c r="H177" s="32"/>
      <c r="I177" s="334" t="s">
        <v>614</v>
      </c>
      <c r="J177" s="334"/>
      <c r="K177" s="333"/>
      <c r="L177" s="333"/>
      <c r="M177" s="333">
        <f>X176</f>
        <v>307000</v>
      </c>
      <c r="N177" s="367" t="s">
        <v>57</v>
      </c>
      <c r="O177" s="76" t="s">
        <v>58</v>
      </c>
      <c r="P177" s="82">
        <v>6.5500000000000003E-2</v>
      </c>
      <c r="Q177" s="83"/>
      <c r="R177" s="84"/>
      <c r="S177" s="85"/>
      <c r="T177" s="85"/>
      <c r="U177" s="367" t="s">
        <v>53</v>
      </c>
      <c r="V177" s="333"/>
      <c r="W177" s="70"/>
      <c r="X177" s="70">
        <f>ROUND(M177*P177,-3)</f>
        <v>20000</v>
      </c>
      <c r="Y177" s="59" t="s">
        <v>57</v>
      </c>
    </row>
    <row r="178" spans="1:25" ht="21" customHeight="1">
      <c r="A178" s="46"/>
      <c r="B178" s="47"/>
      <c r="C178" s="47"/>
      <c r="D178" s="47"/>
      <c r="E178" s="49"/>
      <c r="F178" s="49"/>
      <c r="G178" s="50"/>
      <c r="H178" s="32"/>
      <c r="I178" s="334" t="s">
        <v>615</v>
      </c>
      <c r="J178" s="334"/>
      <c r="K178" s="333"/>
      <c r="L178" s="333"/>
      <c r="M178" s="333">
        <f>X174</f>
        <v>10440000</v>
      </c>
      <c r="N178" s="367" t="s">
        <v>57</v>
      </c>
      <c r="O178" s="76" t="s">
        <v>58</v>
      </c>
      <c r="P178" s="82">
        <v>8.0000000000000002E-3</v>
      </c>
      <c r="Q178" s="76"/>
      <c r="R178" s="86"/>
      <c r="S178" s="78"/>
      <c r="T178" s="78"/>
      <c r="U178" s="367" t="s">
        <v>53</v>
      </c>
      <c r="V178" s="333"/>
      <c r="W178" s="70"/>
      <c r="X178" s="70">
        <f>ROUND(M178*P178,-3)</f>
        <v>84000</v>
      </c>
      <c r="Y178" s="59" t="s">
        <v>57</v>
      </c>
    </row>
    <row r="179" spans="1:25" ht="21" customHeight="1">
      <c r="A179" s="46"/>
      <c r="B179" s="47"/>
      <c r="C179" s="47"/>
      <c r="D179" s="47"/>
      <c r="E179" s="49"/>
      <c r="F179" s="49"/>
      <c r="G179" s="50"/>
      <c r="H179" s="32"/>
      <c r="I179" s="334" t="s">
        <v>616</v>
      </c>
      <c r="J179" s="334"/>
      <c r="K179" s="333"/>
      <c r="L179" s="333"/>
      <c r="M179" s="333">
        <f>X174</f>
        <v>10440000</v>
      </c>
      <c r="N179" s="367" t="s">
        <v>57</v>
      </c>
      <c r="O179" s="76" t="s">
        <v>58</v>
      </c>
      <c r="P179" s="424">
        <v>5.7400000000000003E-3</v>
      </c>
      <c r="Q179" s="76"/>
      <c r="R179" s="86"/>
      <c r="S179" s="78"/>
      <c r="T179" s="78"/>
      <c r="U179" s="367" t="s">
        <v>53</v>
      </c>
      <c r="V179" s="333"/>
      <c r="W179" s="70"/>
      <c r="X179" s="70">
        <f>ROUNDUP(M179*P179,-3)</f>
        <v>60000</v>
      </c>
      <c r="Y179" s="59" t="s">
        <v>57</v>
      </c>
    </row>
    <row r="180" spans="1:25" ht="21" customHeight="1">
      <c r="A180" s="46"/>
      <c r="B180" s="47"/>
      <c r="C180" s="47"/>
      <c r="D180" s="47"/>
      <c r="E180" s="49"/>
      <c r="F180" s="49"/>
      <c r="G180" s="50"/>
      <c r="H180" s="32"/>
      <c r="I180" s="334" t="s">
        <v>617</v>
      </c>
      <c r="J180" s="334"/>
      <c r="K180" s="333"/>
      <c r="L180" s="333"/>
      <c r="M180" s="333">
        <f>X174</f>
        <v>10440000</v>
      </c>
      <c r="N180" s="367" t="s">
        <v>57</v>
      </c>
      <c r="O180" s="367" t="s">
        <v>77</v>
      </c>
      <c r="P180" s="367">
        <v>12</v>
      </c>
      <c r="Q180" s="333" t="s">
        <v>0</v>
      </c>
      <c r="R180" s="333"/>
      <c r="S180" s="333"/>
      <c r="T180" s="333"/>
      <c r="U180" s="333" t="s">
        <v>53</v>
      </c>
      <c r="V180" s="333"/>
      <c r="W180" s="70"/>
      <c r="X180" s="70">
        <f>M180/P180</f>
        <v>870000</v>
      </c>
      <c r="Y180" s="59" t="s">
        <v>57</v>
      </c>
    </row>
    <row r="181" spans="1:25" ht="21" customHeight="1">
      <c r="A181" s="46"/>
      <c r="B181" s="47"/>
      <c r="C181" s="47"/>
      <c r="D181" s="47"/>
      <c r="E181" s="49"/>
      <c r="F181" s="49"/>
      <c r="G181" s="50"/>
      <c r="H181" s="32"/>
      <c r="I181" s="334"/>
      <c r="J181" s="334"/>
      <c r="K181" s="333"/>
      <c r="L181" s="333"/>
      <c r="M181" s="333"/>
      <c r="N181" s="333"/>
      <c r="O181" s="333"/>
      <c r="P181" s="333"/>
      <c r="Q181" s="333"/>
      <c r="R181" s="333"/>
      <c r="S181" s="333"/>
      <c r="T181" s="333"/>
      <c r="U181" s="333"/>
      <c r="V181" s="333"/>
      <c r="W181" s="70"/>
      <c r="X181" s="70"/>
      <c r="Y181" s="59"/>
    </row>
    <row r="182" spans="1:25" ht="21" customHeight="1" thickBot="1">
      <c r="A182" s="46"/>
      <c r="B182" s="47"/>
      <c r="C182" s="47"/>
      <c r="D182" s="47"/>
      <c r="E182" s="49"/>
      <c r="F182" s="49"/>
      <c r="G182" s="50"/>
      <c r="H182" s="32"/>
      <c r="I182" s="406" t="s">
        <v>618</v>
      </c>
      <c r="J182" s="334"/>
      <c r="K182" s="333"/>
      <c r="L182" s="333"/>
      <c r="M182" s="333"/>
      <c r="N182" s="333"/>
      <c r="O182" s="333"/>
      <c r="P182" s="333"/>
      <c r="Q182" s="504" t="s">
        <v>619</v>
      </c>
      <c r="R182" s="504"/>
      <c r="S182" s="504"/>
      <c r="T182" s="504"/>
      <c r="U182" s="504"/>
      <c r="V182" s="504"/>
      <c r="W182" s="504"/>
      <c r="X182" s="407">
        <f>SUM(X183:X184)</f>
        <v>5400000</v>
      </c>
      <c r="Y182" s="408" t="s">
        <v>57</v>
      </c>
    </row>
    <row r="183" spans="1:25" ht="21" customHeight="1">
      <c r="A183" s="46"/>
      <c r="B183" s="47"/>
      <c r="C183" s="47"/>
      <c r="D183" s="47"/>
      <c r="E183" s="49"/>
      <c r="F183" s="49"/>
      <c r="G183" s="50"/>
      <c r="H183" s="32"/>
      <c r="I183" s="458" t="s">
        <v>785</v>
      </c>
      <c r="J183" s="334"/>
      <c r="K183" s="333"/>
      <c r="L183" s="333"/>
      <c r="M183" s="333">
        <v>150000</v>
      </c>
      <c r="N183" s="333" t="s">
        <v>57</v>
      </c>
      <c r="O183" s="76" t="s">
        <v>58</v>
      </c>
      <c r="P183" s="333">
        <v>1</v>
      </c>
      <c r="Q183" s="333" t="s">
        <v>56</v>
      </c>
      <c r="R183" s="76" t="s">
        <v>58</v>
      </c>
      <c r="S183" s="333">
        <v>12</v>
      </c>
      <c r="T183" s="333" t="s">
        <v>0</v>
      </c>
      <c r="U183" s="333" t="s">
        <v>53</v>
      </c>
      <c r="V183" s="333"/>
      <c r="W183" s="70"/>
      <c r="X183" s="70">
        <f t="shared" ref="X183" si="64">M183*P183*S183</f>
        <v>1800000</v>
      </c>
      <c r="Y183" s="59" t="s">
        <v>57</v>
      </c>
    </row>
    <row r="184" spans="1:25" ht="21" customHeight="1">
      <c r="A184" s="46"/>
      <c r="B184" s="47"/>
      <c r="C184" s="47"/>
      <c r="D184" s="47"/>
      <c r="E184" s="49"/>
      <c r="F184" s="49"/>
      <c r="G184" s="50"/>
      <c r="H184" s="32"/>
      <c r="I184" s="458" t="s">
        <v>734</v>
      </c>
      <c r="J184" s="443"/>
      <c r="K184" s="442"/>
      <c r="L184" s="442"/>
      <c r="M184" s="442">
        <v>100000</v>
      </c>
      <c r="N184" s="442" t="s">
        <v>57</v>
      </c>
      <c r="O184" s="76" t="s">
        <v>58</v>
      </c>
      <c r="P184" s="442">
        <v>3</v>
      </c>
      <c r="Q184" s="442" t="s">
        <v>56</v>
      </c>
      <c r="R184" s="76" t="s">
        <v>58</v>
      </c>
      <c r="S184" s="442">
        <v>12</v>
      </c>
      <c r="T184" s="442" t="s">
        <v>29</v>
      </c>
      <c r="U184" s="442" t="s">
        <v>53</v>
      </c>
      <c r="V184" s="442"/>
      <c r="W184" s="70"/>
      <c r="X184" s="70">
        <f t="shared" ref="X184" si="65">M184*P184*S184</f>
        <v>3600000</v>
      </c>
      <c r="Y184" s="59" t="s">
        <v>57</v>
      </c>
    </row>
    <row r="185" spans="1:25" ht="21" customHeight="1">
      <c r="A185" s="46"/>
      <c r="B185" s="47"/>
      <c r="C185" s="47"/>
      <c r="D185" s="47"/>
      <c r="E185" s="49"/>
      <c r="F185" s="49"/>
      <c r="G185" s="50"/>
      <c r="H185" s="32"/>
      <c r="I185" s="443"/>
      <c r="J185" s="443"/>
      <c r="K185" s="442"/>
      <c r="L185" s="442"/>
      <c r="M185" s="442"/>
      <c r="N185" s="442"/>
      <c r="O185" s="76"/>
      <c r="P185" s="442"/>
      <c r="Q185" s="442"/>
      <c r="R185" s="76"/>
      <c r="S185" s="442"/>
      <c r="T185" s="442"/>
      <c r="U185" s="442"/>
      <c r="V185" s="442"/>
      <c r="W185" s="70"/>
      <c r="X185" s="70"/>
      <c r="Y185" s="59"/>
    </row>
    <row r="186" spans="1:25" ht="21" customHeight="1" thickBot="1">
      <c r="A186" s="46"/>
      <c r="B186" s="47"/>
      <c r="C186" s="47"/>
      <c r="D186" s="47"/>
      <c r="E186" s="49"/>
      <c r="F186" s="49"/>
      <c r="G186" s="50"/>
      <c r="H186" s="32"/>
      <c r="I186" s="406" t="s">
        <v>735</v>
      </c>
      <c r="J186" s="443"/>
      <c r="K186" s="442"/>
      <c r="L186" s="442"/>
      <c r="M186" s="442"/>
      <c r="N186" s="442"/>
      <c r="O186" s="442"/>
      <c r="P186" s="442"/>
      <c r="Q186" s="504" t="s">
        <v>740</v>
      </c>
      <c r="R186" s="504"/>
      <c r="S186" s="504"/>
      <c r="T186" s="504"/>
      <c r="U186" s="504"/>
      <c r="V186" s="504"/>
      <c r="W186" s="504"/>
      <c r="X186" s="440">
        <f>X187</f>
        <v>2080000</v>
      </c>
      <c r="Y186" s="408" t="s">
        <v>57</v>
      </c>
    </row>
    <row r="187" spans="1:25" ht="21" customHeight="1">
      <c r="A187" s="46"/>
      <c r="B187" s="47"/>
      <c r="C187" s="47"/>
      <c r="D187" s="47"/>
      <c r="E187" s="49"/>
      <c r="F187" s="49"/>
      <c r="G187" s="50"/>
      <c r="H187" s="32"/>
      <c r="I187" s="443" t="s">
        <v>736</v>
      </c>
      <c r="J187" s="443"/>
      <c r="K187" s="442"/>
      <c r="L187" s="442"/>
      <c r="M187" s="442">
        <v>40000</v>
      </c>
      <c r="N187" s="442" t="s">
        <v>57</v>
      </c>
      <c r="O187" s="76" t="s">
        <v>58</v>
      </c>
      <c r="P187" s="442">
        <v>52</v>
      </c>
      <c r="Q187" s="442" t="s">
        <v>737</v>
      </c>
      <c r="R187" s="76"/>
      <c r="S187" s="442"/>
      <c r="T187" s="442"/>
      <c r="U187" s="442" t="s">
        <v>53</v>
      </c>
      <c r="V187" s="442"/>
      <c r="W187" s="70"/>
      <c r="X187" s="70">
        <f>M187*P187</f>
        <v>2080000</v>
      </c>
      <c r="Y187" s="59" t="s">
        <v>57</v>
      </c>
    </row>
    <row r="188" spans="1:25" ht="21" customHeight="1">
      <c r="A188" s="46"/>
      <c r="B188" s="47"/>
      <c r="C188" s="47"/>
      <c r="D188" s="47"/>
      <c r="E188" s="49"/>
      <c r="F188" s="49"/>
      <c r="G188" s="50"/>
      <c r="H188" s="32"/>
      <c r="I188" s="334"/>
      <c r="J188" s="334"/>
      <c r="K188" s="333"/>
      <c r="L188" s="333"/>
      <c r="M188" s="333"/>
      <c r="N188" s="333"/>
      <c r="O188" s="76"/>
      <c r="P188" s="333"/>
      <c r="Q188" s="333"/>
      <c r="R188" s="76"/>
      <c r="S188" s="333"/>
      <c r="T188" s="333"/>
      <c r="U188" s="333"/>
      <c r="V188" s="333"/>
      <c r="W188" s="70"/>
      <c r="X188" s="70"/>
      <c r="Y188" s="59"/>
    </row>
    <row r="189" spans="1:25" ht="21" customHeight="1" thickBot="1">
      <c r="A189" s="46"/>
      <c r="B189" s="47"/>
      <c r="C189" s="47"/>
      <c r="D189" s="47"/>
      <c r="E189" s="49"/>
      <c r="F189" s="49"/>
      <c r="G189" s="50"/>
      <c r="H189" s="32"/>
      <c r="I189" s="406" t="s">
        <v>738</v>
      </c>
      <c r="J189" s="66"/>
      <c r="K189" s="333"/>
      <c r="L189" s="333"/>
      <c r="M189" s="333"/>
      <c r="N189" s="333"/>
      <c r="O189" s="333"/>
      <c r="P189" s="333"/>
      <c r="Q189" s="504" t="s">
        <v>620</v>
      </c>
      <c r="R189" s="504"/>
      <c r="S189" s="504"/>
      <c r="T189" s="504"/>
      <c r="U189" s="504"/>
      <c r="V189" s="504"/>
      <c r="W189" s="504"/>
      <c r="X189" s="407">
        <f>ROUND(SUM(X190:X191),-3)</f>
        <v>624000</v>
      </c>
      <c r="Y189" s="408" t="s">
        <v>57</v>
      </c>
    </row>
    <row r="190" spans="1:25" ht="21" customHeight="1">
      <c r="A190" s="46"/>
      <c r="B190" s="47"/>
      <c r="C190" s="47"/>
      <c r="D190" s="47"/>
      <c r="E190" s="49"/>
      <c r="F190" s="49"/>
      <c r="G190" s="50"/>
      <c r="H190" s="32"/>
      <c r="I190" s="334" t="s">
        <v>621</v>
      </c>
      <c r="J190" s="334"/>
      <c r="K190" s="333"/>
      <c r="L190" s="333"/>
      <c r="M190" s="333">
        <f>X182</f>
        <v>5400000</v>
      </c>
      <c r="N190" s="367" t="s">
        <v>57</v>
      </c>
      <c r="O190" s="367" t="s">
        <v>77</v>
      </c>
      <c r="P190" s="333">
        <v>12</v>
      </c>
      <c r="Q190" s="333" t="s">
        <v>0</v>
      </c>
      <c r="R190" s="333"/>
      <c r="S190" s="333"/>
      <c r="T190" s="333"/>
      <c r="U190" s="333" t="s">
        <v>53</v>
      </c>
      <c r="V190" s="333"/>
      <c r="W190" s="70"/>
      <c r="X190" s="70">
        <f>M190/P190</f>
        <v>450000</v>
      </c>
      <c r="Y190" s="59" t="s">
        <v>57</v>
      </c>
    </row>
    <row r="191" spans="1:25" ht="21" customHeight="1">
      <c r="A191" s="46"/>
      <c r="B191" s="47"/>
      <c r="C191" s="47"/>
      <c r="D191" s="47"/>
      <c r="E191" s="49"/>
      <c r="F191" s="49"/>
      <c r="G191" s="50"/>
      <c r="H191" s="32"/>
      <c r="I191" s="443" t="s">
        <v>739</v>
      </c>
      <c r="J191" s="443"/>
      <c r="K191" s="442"/>
      <c r="L191" s="442"/>
      <c r="M191" s="442">
        <f>X187</f>
        <v>2080000</v>
      </c>
      <c r="N191" s="439" t="s">
        <v>57</v>
      </c>
      <c r="O191" s="439" t="s">
        <v>77</v>
      </c>
      <c r="P191" s="442">
        <v>12</v>
      </c>
      <c r="Q191" s="442" t="s">
        <v>0</v>
      </c>
      <c r="R191" s="442"/>
      <c r="S191" s="442"/>
      <c r="T191" s="442"/>
      <c r="U191" s="442" t="s">
        <v>53</v>
      </c>
      <c r="V191" s="442"/>
      <c r="W191" s="70"/>
      <c r="X191" s="70">
        <f>ROUNDUP(M191/P191,-3)</f>
        <v>174000</v>
      </c>
      <c r="Y191" s="59" t="s">
        <v>57</v>
      </c>
    </row>
    <row r="192" spans="1:25" ht="21" customHeight="1">
      <c r="A192" s="46"/>
      <c r="B192" s="47"/>
      <c r="C192" s="47"/>
      <c r="D192" s="47"/>
      <c r="E192" s="49"/>
      <c r="F192" s="49"/>
      <c r="G192" s="50"/>
      <c r="H192" s="32"/>
      <c r="I192" s="334"/>
      <c r="J192" s="334"/>
      <c r="K192" s="333"/>
      <c r="L192" s="333"/>
      <c r="M192" s="333"/>
      <c r="N192" s="333"/>
      <c r="O192" s="333"/>
      <c r="P192" s="333"/>
      <c r="Q192" s="333"/>
      <c r="R192" s="333"/>
      <c r="S192" s="333"/>
      <c r="T192" s="333"/>
      <c r="U192" s="333"/>
      <c r="V192" s="333"/>
      <c r="W192" s="70"/>
      <c r="X192" s="70"/>
      <c r="Y192" s="59"/>
    </row>
    <row r="193" spans="1:25" ht="21" customHeight="1" thickBot="1">
      <c r="A193" s="46"/>
      <c r="B193" s="47"/>
      <c r="C193" s="47"/>
      <c r="D193" s="47"/>
      <c r="E193" s="49"/>
      <c r="F193" s="49"/>
      <c r="G193" s="50"/>
      <c r="H193" s="32"/>
      <c r="I193" s="406" t="s">
        <v>741</v>
      </c>
      <c r="J193" s="66"/>
      <c r="K193" s="333"/>
      <c r="L193" s="333"/>
      <c r="M193" s="333"/>
      <c r="N193" s="333"/>
      <c r="O193" s="333"/>
      <c r="P193" s="333"/>
      <c r="Q193" s="504" t="s">
        <v>622</v>
      </c>
      <c r="R193" s="504"/>
      <c r="S193" s="504"/>
      <c r="T193" s="504"/>
      <c r="U193" s="504"/>
      <c r="V193" s="504"/>
      <c r="W193" s="504"/>
      <c r="X193" s="407">
        <f>SUM(X194:X200)</f>
        <v>4860000</v>
      </c>
      <c r="Y193" s="408" t="s">
        <v>583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334" t="s">
        <v>623</v>
      </c>
      <c r="J194" s="334"/>
      <c r="K194" s="333"/>
      <c r="L194" s="333"/>
      <c r="M194" s="333">
        <v>100000</v>
      </c>
      <c r="N194" s="333" t="s">
        <v>583</v>
      </c>
      <c r="O194" s="76" t="s">
        <v>584</v>
      </c>
      <c r="P194" s="333">
        <v>1</v>
      </c>
      <c r="Q194" s="333" t="s">
        <v>585</v>
      </c>
      <c r="R194" s="76" t="s">
        <v>584</v>
      </c>
      <c r="S194" s="333">
        <v>12</v>
      </c>
      <c r="T194" s="333" t="s">
        <v>29</v>
      </c>
      <c r="U194" s="333" t="s">
        <v>587</v>
      </c>
      <c r="V194" s="333"/>
      <c r="W194" s="70"/>
      <c r="X194" s="70">
        <f>M194*P194*S194</f>
        <v>1200000</v>
      </c>
      <c r="Y194" s="59" t="s">
        <v>583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334" t="s">
        <v>624</v>
      </c>
      <c r="J195" s="334"/>
      <c r="K195" s="333"/>
      <c r="L195" s="333"/>
      <c r="M195" s="333">
        <v>300000</v>
      </c>
      <c r="N195" s="333" t="s">
        <v>583</v>
      </c>
      <c r="O195" s="76" t="s">
        <v>584</v>
      </c>
      <c r="P195" s="333">
        <v>2</v>
      </c>
      <c r="Q195" s="333" t="s">
        <v>625</v>
      </c>
      <c r="R195" s="333"/>
      <c r="S195" s="333"/>
      <c r="T195" s="333"/>
      <c r="U195" s="333" t="s">
        <v>587</v>
      </c>
      <c r="V195" s="333"/>
      <c r="W195" s="70"/>
      <c r="X195" s="70">
        <f>M195*P195</f>
        <v>600000</v>
      </c>
      <c r="Y195" s="59" t="s">
        <v>583</v>
      </c>
    </row>
    <row r="196" spans="1:25" ht="21" customHeight="1">
      <c r="A196" s="46"/>
      <c r="B196" s="47"/>
      <c r="C196" s="47"/>
      <c r="D196" s="47"/>
      <c r="E196" s="49"/>
      <c r="F196" s="49"/>
      <c r="G196" s="50"/>
      <c r="H196" s="32"/>
      <c r="I196" s="334" t="s">
        <v>626</v>
      </c>
      <c r="J196" s="334"/>
      <c r="K196" s="333"/>
      <c r="L196" s="333"/>
      <c r="M196" s="333">
        <v>20000</v>
      </c>
      <c r="N196" s="333" t="s">
        <v>583</v>
      </c>
      <c r="O196" s="76" t="s">
        <v>584</v>
      </c>
      <c r="P196" s="333">
        <v>34</v>
      </c>
      <c r="Q196" s="333" t="s">
        <v>585</v>
      </c>
      <c r="R196" s="76"/>
      <c r="S196" s="333"/>
      <c r="T196" s="333"/>
      <c r="U196" s="333" t="s">
        <v>587</v>
      </c>
      <c r="V196" s="333"/>
      <c r="W196" s="70"/>
      <c r="X196" s="70">
        <f>M196*P196</f>
        <v>680000</v>
      </c>
      <c r="Y196" s="59" t="s">
        <v>583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34" t="s">
        <v>627</v>
      </c>
      <c r="J197" s="334"/>
      <c r="K197" s="333"/>
      <c r="L197" s="333"/>
      <c r="M197" s="333">
        <v>8000</v>
      </c>
      <c r="N197" s="77" t="s">
        <v>583</v>
      </c>
      <c r="O197" s="76" t="s">
        <v>584</v>
      </c>
      <c r="P197" s="77">
        <v>35</v>
      </c>
      <c r="Q197" s="333" t="s">
        <v>585</v>
      </c>
      <c r="R197" s="77"/>
      <c r="S197" s="77"/>
      <c r="T197" s="77"/>
      <c r="U197" s="102" t="s">
        <v>587</v>
      </c>
      <c r="V197" s="77"/>
      <c r="W197" s="77"/>
      <c r="X197" s="333">
        <f>M197*P197</f>
        <v>280000</v>
      </c>
      <c r="Y197" s="101" t="s">
        <v>583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334" t="s">
        <v>628</v>
      </c>
      <c r="J198" s="334"/>
      <c r="K198" s="334"/>
      <c r="L198" s="334"/>
      <c r="M198" s="333">
        <v>20000</v>
      </c>
      <c r="N198" s="77" t="s">
        <v>583</v>
      </c>
      <c r="O198" s="76" t="s">
        <v>584</v>
      </c>
      <c r="P198" s="77">
        <v>35</v>
      </c>
      <c r="Q198" s="333" t="s">
        <v>585</v>
      </c>
      <c r="R198" s="77"/>
      <c r="S198" s="77"/>
      <c r="T198" s="77"/>
      <c r="U198" s="102" t="s">
        <v>587</v>
      </c>
      <c r="V198" s="77"/>
      <c r="W198" s="77"/>
      <c r="X198" s="333">
        <f>M198*P198</f>
        <v>700000</v>
      </c>
      <c r="Y198" s="101" t="s">
        <v>583</v>
      </c>
    </row>
    <row r="199" spans="1:25" ht="21" customHeight="1">
      <c r="A199" s="46"/>
      <c r="B199" s="47"/>
      <c r="C199" s="47"/>
      <c r="D199" s="47"/>
      <c r="E199" s="49"/>
      <c r="F199" s="49"/>
      <c r="G199" s="50"/>
      <c r="H199" s="32"/>
      <c r="I199" s="432" t="s">
        <v>694</v>
      </c>
      <c r="J199" s="432"/>
      <c r="K199" s="431"/>
      <c r="L199" s="431"/>
      <c r="M199" s="431">
        <v>300000</v>
      </c>
      <c r="N199" s="77" t="s">
        <v>57</v>
      </c>
      <c r="O199" s="76" t="s">
        <v>58</v>
      </c>
      <c r="P199" s="77">
        <v>2</v>
      </c>
      <c r="Q199" s="431" t="s">
        <v>56</v>
      </c>
      <c r="R199" s="76"/>
      <c r="S199" s="77"/>
      <c r="T199" s="77"/>
      <c r="U199" s="102" t="s">
        <v>53</v>
      </c>
      <c r="V199" s="77"/>
      <c r="W199" s="77"/>
      <c r="X199" s="431">
        <f>M199*P199</f>
        <v>600000</v>
      </c>
      <c r="Y199" s="101" t="s">
        <v>57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69" t="s">
        <v>629</v>
      </c>
      <c r="J200" s="334"/>
      <c r="K200" s="334"/>
      <c r="L200" s="334"/>
      <c r="M200" s="333"/>
      <c r="N200" s="77"/>
      <c r="O200" s="77"/>
      <c r="P200" s="77"/>
      <c r="Q200" s="333"/>
      <c r="R200" s="333"/>
      <c r="S200" s="77"/>
      <c r="T200" s="77"/>
      <c r="U200" s="77"/>
      <c r="V200" s="77"/>
      <c r="W200" s="77"/>
      <c r="X200" s="333">
        <v>800000</v>
      </c>
      <c r="Y200" s="101" t="s">
        <v>583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69"/>
      <c r="J201" s="334"/>
      <c r="K201" s="333"/>
      <c r="L201" s="333"/>
      <c r="M201" s="333"/>
      <c r="N201" s="333"/>
      <c r="O201" s="334"/>
      <c r="P201" s="333"/>
      <c r="Q201" s="333"/>
      <c r="R201" s="333"/>
      <c r="S201" s="333"/>
      <c r="T201" s="333"/>
      <c r="U201" s="333"/>
      <c r="V201" s="333"/>
      <c r="W201" s="70"/>
      <c r="X201" s="70"/>
      <c r="Y201" s="59"/>
    </row>
    <row r="202" spans="1:25" ht="21" customHeight="1" thickBot="1">
      <c r="A202" s="46"/>
      <c r="B202" s="47"/>
      <c r="C202" s="47"/>
      <c r="D202" s="47"/>
      <c r="E202" s="49"/>
      <c r="F202" s="49"/>
      <c r="G202" s="50"/>
      <c r="H202" s="32"/>
      <c r="I202" s="406" t="s">
        <v>742</v>
      </c>
      <c r="J202" s="66"/>
      <c r="K202" s="333"/>
      <c r="L202" s="333"/>
      <c r="M202" s="334"/>
      <c r="N202" s="334"/>
      <c r="O202" s="334"/>
      <c r="P202" s="334"/>
      <c r="Q202" s="504" t="s">
        <v>630</v>
      </c>
      <c r="R202" s="504"/>
      <c r="S202" s="504"/>
      <c r="T202" s="504"/>
      <c r="U202" s="504"/>
      <c r="V202" s="504"/>
      <c r="W202" s="504"/>
      <c r="X202" s="407">
        <f>SUM(X203:X205)</f>
        <v>2800000</v>
      </c>
      <c r="Y202" s="408" t="s">
        <v>583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69" t="s">
        <v>631</v>
      </c>
      <c r="J203" s="334"/>
      <c r="K203" s="334"/>
      <c r="L203" s="334"/>
      <c r="M203" s="333">
        <v>500000</v>
      </c>
      <c r="N203" s="77" t="s">
        <v>583</v>
      </c>
      <c r="O203" s="76" t="s">
        <v>584</v>
      </c>
      <c r="P203" s="77">
        <v>2</v>
      </c>
      <c r="Q203" s="333" t="s">
        <v>625</v>
      </c>
      <c r="R203" s="333"/>
      <c r="S203" s="77"/>
      <c r="T203" s="77"/>
      <c r="U203" s="77" t="s">
        <v>587</v>
      </c>
      <c r="V203" s="77"/>
      <c r="W203" s="77"/>
      <c r="X203" s="333">
        <f>M203*P203</f>
        <v>1000000</v>
      </c>
      <c r="Y203" s="101" t="s">
        <v>25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334" t="s">
        <v>632</v>
      </c>
      <c r="J204" s="334"/>
      <c r="K204" s="334"/>
      <c r="L204" s="334"/>
      <c r="M204" s="333"/>
      <c r="N204" s="333"/>
      <c r="O204" s="334"/>
      <c r="P204" s="333"/>
      <c r="Q204" s="333"/>
      <c r="R204" s="333"/>
      <c r="S204" s="77"/>
      <c r="T204" s="77"/>
      <c r="U204" s="77"/>
      <c r="V204" s="77"/>
      <c r="W204" s="77"/>
      <c r="X204" s="333">
        <v>400000</v>
      </c>
      <c r="Y204" s="101" t="s">
        <v>25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432" t="s">
        <v>696</v>
      </c>
      <c r="J205" s="334"/>
      <c r="K205" s="334"/>
      <c r="L205" s="334"/>
      <c r="M205" s="333">
        <v>100000</v>
      </c>
      <c r="N205" s="77" t="s">
        <v>57</v>
      </c>
      <c r="O205" s="76" t="s">
        <v>58</v>
      </c>
      <c r="P205" s="77">
        <v>14</v>
      </c>
      <c r="Q205" s="431" t="s">
        <v>56</v>
      </c>
      <c r="R205" s="77"/>
      <c r="S205" s="77"/>
      <c r="T205" s="77"/>
      <c r="U205" s="102" t="s">
        <v>53</v>
      </c>
      <c r="V205" s="77"/>
      <c r="W205" s="77"/>
      <c r="X205" s="431">
        <f>M205*P205</f>
        <v>1400000</v>
      </c>
      <c r="Y205" s="101" t="s">
        <v>583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T206" s="334"/>
      <c r="U206" s="334"/>
      <c r="V206" s="334"/>
      <c r="W206" s="334"/>
      <c r="X206" s="334"/>
      <c r="Y206" s="409"/>
    </row>
    <row r="207" spans="1:25" ht="21" customHeight="1" thickBot="1">
      <c r="A207" s="46"/>
      <c r="B207" s="47"/>
      <c r="C207" s="47"/>
      <c r="D207" s="47"/>
      <c r="E207" s="49"/>
      <c r="F207" s="49"/>
      <c r="G207" s="50"/>
      <c r="H207" s="32"/>
      <c r="I207" s="406" t="s">
        <v>743</v>
      </c>
      <c r="J207" s="66"/>
      <c r="K207" s="333"/>
      <c r="L207" s="333"/>
      <c r="M207" s="333"/>
      <c r="N207" s="333"/>
      <c r="O207" s="333"/>
      <c r="P207" s="334"/>
      <c r="Q207" s="334"/>
      <c r="R207" s="334"/>
      <c r="S207" s="410" t="s">
        <v>633</v>
      </c>
      <c r="T207" s="66"/>
      <c r="U207" s="66"/>
      <c r="V207" s="410"/>
      <c r="W207" s="410"/>
      <c r="X207" s="407">
        <f>SUM(X208:X210)</f>
        <v>3000000</v>
      </c>
      <c r="Y207" s="408" t="s">
        <v>583</v>
      </c>
    </row>
    <row r="208" spans="1:25" ht="21" customHeight="1">
      <c r="A208" s="46"/>
      <c r="B208" s="47"/>
      <c r="C208" s="47"/>
      <c r="D208" s="47"/>
      <c r="E208" s="49"/>
      <c r="F208" s="49"/>
      <c r="G208" s="50"/>
      <c r="H208" s="32"/>
      <c r="I208" s="69" t="s">
        <v>634</v>
      </c>
      <c r="J208" s="334"/>
      <c r="K208" s="333"/>
      <c r="L208" s="333"/>
      <c r="M208" s="333">
        <v>100000</v>
      </c>
      <c r="N208" s="333" t="s">
        <v>583</v>
      </c>
      <c r="O208" s="76" t="s">
        <v>584</v>
      </c>
      <c r="P208" s="333">
        <v>1</v>
      </c>
      <c r="Q208" s="333" t="s">
        <v>625</v>
      </c>
      <c r="R208" s="76" t="s">
        <v>584</v>
      </c>
      <c r="S208" s="333">
        <v>12</v>
      </c>
      <c r="T208" s="333" t="s">
        <v>29</v>
      </c>
      <c r="U208" s="333" t="s">
        <v>587</v>
      </c>
      <c r="V208" s="333"/>
      <c r="W208" s="70"/>
      <c r="X208" s="70">
        <f>M208*P208*S208</f>
        <v>1200000</v>
      </c>
      <c r="Y208" s="59" t="s">
        <v>583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69" t="s">
        <v>635</v>
      </c>
      <c r="J209" s="334"/>
      <c r="K209" s="333"/>
      <c r="L209" s="333"/>
      <c r="M209" s="333">
        <v>50000</v>
      </c>
      <c r="N209" s="333" t="s">
        <v>583</v>
      </c>
      <c r="O209" s="76" t="s">
        <v>584</v>
      </c>
      <c r="P209" s="333">
        <v>1</v>
      </c>
      <c r="Q209" s="333" t="s">
        <v>585</v>
      </c>
      <c r="R209" s="76" t="s">
        <v>584</v>
      </c>
      <c r="S209" s="333">
        <v>12</v>
      </c>
      <c r="T209" s="333" t="s">
        <v>29</v>
      </c>
      <c r="U209" s="333" t="s">
        <v>587</v>
      </c>
      <c r="V209" s="333"/>
      <c r="W209" s="70"/>
      <c r="X209" s="70">
        <f>M209*P209*S209</f>
        <v>600000</v>
      </c>
      <c r="Y209" s="59" t="s">
        <v>583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69" t="s">
        <v>636</v>
      </c>
      <c r="J210" s="334"/>
      <c r="K210" s="333"/>
      <c r="L210" s="333"/>
      <c r="M210" s="333">
        <v>50000</v>
      </c>
      <c r="N210" s="333" t="s">
        <v>583</v>
      </c>
      <c r="O210" s="76" t="s">
        <v>584</v>
      </c>
      <c r="P210" s="333">
        <v>6</v>
      </c>
      <c r="Q210" s="333" t="s">
        <v>585</v>
      </c>
      <c r="R210" s="76" t="s">
        <v>584</v>
      </c>
      <c r="S210" s="333">
        <v>4</v>
      </c>
      <c r="T210" s="333" t="s">
        <v>29</v>
      </c>
      <c r="U210" s="333" t="s">
        <v>587</v>
      </c>
      <c r="V210" s="333"/>
      <c r="W210" s="70"/>
      <c r="X210" s="70">
        <f>M210*P210*S210</f>
        <v>1200000</v>
      </c>
      <c r="Y210" s="59" t="s">
        <v>583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69"/>
      <c r="J211" s="334"/>
      <c r="K211" s="333"/>
      <c r="L211" s="333"/>
      <c r="M211" s="333"/>
      <c r="N211" s="333"/>
      <c r="O211" s="334"/>
      <c r="P211" s="333"/>
      <c r="Q211" s="333"/>
      <c r="R211" s="333"/>
      <c r="S211" s="333"/>
      <c r="T211" s="333"/>
      <c r="U211" s="333"/>
      <c r="V211" s="333"/>
      <c r="W211" s="70"/>
      <c r="X211" s="70"/>
      <c r="Y211" s="59"/>
    </row>
    <row r="212" spans="1:25" ht="21" customHeight="1" thickBot="1">
      <c r="A212" s="46"/>
      <c r="B212" s="47"/>
      <c r="C212" s="47"/>
      <c r="D212" s="47"/>
      <c r="E212" s="49"/>
      <c r="F212" s="49"/>
      <c r="G212" s="50"/>
      <c r="H212" s="32"/>
      <c r="I212" s="406" t="s">
        <v>744</v>
      </c>
      <c r="J212" s="411"/>
      <c r="K212" s="251"/>
      <c r="L212" s="251"/>
      <c r="M212" s="251"/>
      <c r="N212" s="251"/>
      <c r="O212" s="251"/>
      <c r="P212" s="251"/>
      <c r="Q212" s="251"/>
      <c r="R212" s="251"/>
      <c r="S212" s="411" t="s">
        <v>637</v>
      </c>
      <c r="T212" s="411"/>
      <c r="U212" s="411"/>
      <c r="V212" s="411"/>
      <c r="W212" s="411"/>
      <c r="X212" s="412">
        <f>X213</f>
        <v>500000</v>
      </c>
      <c r="Y212" s="408" t="s">
        <v>583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334" t="s">
        <v>638</v>
      </c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T213" s="334"/>
      <c r="U213" s="334"/>
      <c r="V213" s="334"/>
      <c r="W213" s="334"/>
      <c r="X213" s="413">
        <v>500000</v>
      </c>
      <c r="Y213" s="59" t="s">
        <v>583</v>
      </c>
    </row>
    <row r="214" spans="1:25" ht="21" customHeight="1">
      <c r="A214" s="60"/>
      <c r="B214" s="61"/>
      <c r="C214" s="61"/>
      <c r="D214" s="61"/>
      <c r="E214" s="63"/>
      <c r="F214" s="63"/>
      <c r="G214" s="64"/>
      <c r="H214" s="309"/>
      <c r="I214" s="73"/>
      <c r="J214" s="336"/>
      <c r="K214" s="335"/>
      <c r="L214" s="335"/>
      <c r="M214" s="335"/>
      <c r="N214" s="295"/>
      <c r="O214" s="319"/>
      <c r="P214" s="320"/>
      <c r="Q214" s="319"/>
      <c r="R214" s="321"/>
      <c r="S214" s="322"/>
      <c r="T214" s="322"/>
      <c r="U214" s="295"/>
      <c r="V214" s="335"/>
      <c r="W214" s="74"/>
      <c r="X214" s="74"/>
      <c r="Y214" s="75"/>
    </row>
    <row r="215" spans="1:25" ht="21" customHeight="1">
      <c r="A215" s="36" t="s">
        <v>14</v>
      </c>
      <c r="B215" s="37" t="s">
        <v>14</v>
      </c>
      <c r="C215" s="495" t="s">
        <v>598</v>
      </c>
      <c r="D215" s="496"/>
      <c r="E215" s="380">
        <f>SUM(E216,E241,E246)</f>
        <v>50482</v>
      </c>
      <c r="F215" s="380">
        <f>SUM(F216,F241,F246)</f>
        <v>48814</v>
      </c>
      <c r="G215" s="381">
        <f t="shared" ref="G215:G217" si="66">F215-E215</f>
        <v>-1668</v>
      </c>
      <c r="H215" s="382">
        <f t="shared" ref="H215:H217" si="67">IF(E215=0,0,G215/E215)</f>
        <v>-3.3041480131532033E-2</v>
      </c>
      <c r="I215" s="383" t="s">
        <v>602</v>
      </c>
      <c r="J215" s="384"/>
      <c r="K215" s="385"/>
      <c r="L215" s="385"/>
      <c r="M215" s="384"/>
      <c r="N215" s="384"/>
      <c r="O215" s="384"/>
      <c r="P215" s="384"/>
      <c r="Q215" s="384" t="s">
        <v>70</v>
      </c>
      <c r="R215" s="386"/>
      <c r="S215" s="386"/>
      <c r="T215" s="386"/>
      <c r="U215" s="386"/>
      <c r="V215" s="386"/>
      <c r="W215" s="386"/>
      <c r="X215" s="387">
        <f>SUM(X216,X241,X246)</f>
        <v>48814000</v>
      </c>
      <c r="Y215" s="399" t="s">
        <v>25</v>
      </c>
    </row>
    <row r="216" spans="1:25" ht="21" customHeight="1">
      <c r="A216" s="46"/>
      <c r="B216" s="47"/>
      <c r="C216" s="37" t="s">
        <v>456</v>
      </c>
      <c r="D216" s="397" t="s">
        <v>604</v>
      </c>
      <c r="E216" s="326">
        <f>SUM(E217,E220,E233,E237)</f>
        <v>27529</v>
      </c>
      <c r="F216" s="326">
        <f>SUM(F217,F220,F233,F237)</f>
        <v>35784</v>
      </c>
      <c r="G216" s="327">
        <f t="shared" si="66"/>
        <v>8255</v>
      </c>
      <c r="H216" s="328">
        <f t="shared" si="67"/>
        <v>0.29986559628028625</v>
      </c>
      <c r="I216" s="310" t="s">
        <v>608</v>
      </c>
      <c r="J216" s="311"/>
      <c r="K216" s="312"/>
      <c r="L216" s="312"/>
      <c r="M216" s="312"/>
      <c r="N216" s="312"/>
      <c r="O216" s="312"/>
      <c r="P216" s="313"/>
      <c r="Q216" s="313"/>
      <c r="R216" s="313"/>
      <c r="S216" s="313"/>
      <c r="T216" s="313"/>
      <c r="U216" s="313"/>
      <c r="V216" s="347" t="s">
        <v>593</v>
      </c>
      <c r="W216" s="348"/>
      <c r="X216" s="349">
        <f>SUM(X217,X220,X233,X237)</f>
        <v>35784000</v>
      </c>
      <c r="Y216" s="400" t="s">
        <v>583</v>
      </c>
    </row>
    <row r="217" spans="1:25" ht="21" customHeight="1">
      <c r="A217" s="46"/>
      <c r="B217" s="47"/>
      <c r="C217" s="47" t="s">
        <v>457</v>
      </c>
      <c r="D217" s="37" t="s">
        <v>565</v>
      </c>
      <c r="E217" s="38">
        <v>7288</v>
      </c>
      <c r="F217" s="49">
        <f>ROUND(X217/1000,0)</f>
        <v>15010</v>
      </c>
      <c r="G217" s="39">
        <f t="shared" si="66"/>
        <v>7722</v>
      </c>
      <c r="H217" s="40">
        <f t="shared" si="67"/>
        <v>1.0595499451152579</v>
      </c>
      <c r="I217" s="196" t="s">
        <v>564</v>
      </c>
      <c r="J217" s="21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497" t="s">
        <v>76</v>
      </c>
      <c r="W217" s="497"/>
      <c r="X217" s="198">
        <f>ROUND(SUM(W218:X219),-3)</f>
        <v>15010000</v>
      </c>
      <c r="Y217" s="199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69" t="s">
        <v>562</v>
      </c>
      <c r="J218" s="334"/>
      <c r="K218" s="333"/>
      <c r="L218" s="333"/>
      <c r="M218" s="333"/>
      <c r="N218" s="333"/>
      <c r="O218" s="333"/>
      <c r="P218" s="333"/>
      <c r="Q218" s="333"/>
      <c r="R218" s="333"/>
      <c r="S218" s="333"/>
      <c r="T218" s="333"/>
      <c r="U218" s="333"/>
      <c r="V218" s="367"/>
      <c r="W218" s="367"/>
      <c r="X218" s="70">
        <v>15000000</v>
      </c>
      <c r="Y218" s="59" t="s">
        <v>555</v>
      </c>
    </row>
    <row r="219" spans="1:25" ht="21" customHeight="1">
      <c r="A219" s="46"/>
      <c r="B219" s="47"/>
      <c r="C219" s="47"/>
      <c r="D219" s="61"/>
      <c r="E219" s="63"/>
      <c r="F219" s="63"/>
      <c r="G219" s="64"/>
      <c r="H219" s="309"/>
      <c r="I219" s="73" t="s">
        <v>563</v>
      </c>
      <c r="J219" s="336"/>
      <c r="K219" s="335"/>
      <c r="L219" s="335"/>
      <c r="M219" s="335"/>
      <c r="N219" s="335"/>
      <c r="O219" s="335"/>
      <c r="P219" s="335"/>
      <c r="Q219" s="335"/>
      <c r="R219" s="335"/>
      <c r="S219" s="335"/>
      <c r="T219" s="335"/>
      <c r="U219" s="335"/>
      <c r="V219" s="295"/>
      <c r="W219" s="295"/>
      <c r="X219" s="74">
        <v>10000</v>
      </c>
      <c r="Y219" s="75" t="s">
        <v>555</v>
      </c>
    </row>
    <row r="220" spans="1:25" ht="21" customHeight="1">
      <c r="A220" s="46"/>
      <c r="B220" s="47"/>
      <c r="C220" s="47"/>
      <c r="D220" s="37" t="s">
        <v>458</v>
      </c>
      <c r="E220" s="38">
        <v>14551</v>
      </c>
      <c r="F220" s="49">
        <f>ROUND(X220/1000,0)</f>
        <v>8111</v>
      </c>
      <c r="G220" s="39">
        <f t="shared" ref="G220" si="68">F220-E220</f>
        <v>-6440</v>
      </c>
      <c r="H220" s="40">
        <f t="shared" ref="H220" si="69">IF(E220=0,0,G220/E220)</f>
        <v>-0.44258126589237851</v>
      </c>
      <c r="I220" s="196" t="s">
        <v>566</v>
      </c>
      <c r="J220" s="21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497" t="s">
        <v>76</v>
      </c>
      <c r="W220" s="497"/>
      <c r="X220" s="198">
        <f>ROUND(SUM(W221:X231),-3)</f>
        <v>8111000</v>
      </c>
      <c r="Y220" s="199" t="s">
        <v>57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69" t="s">
        <v>556</v>
      </c>
      <c r="J221" s="334"/>
      <c r="K221" s="333"/>
      <c r="L221" s="333"/>
      <c r="M221" s="333"/>
      <c r="N221" s="333"/>
      <c r="O221" s="333"/>
      <c r="P221" s="333"/>
      <c r="Q221" s="333"/>
      <c r="R221" s="333"/>
      <c r="S221" s="333"/>
      <c r="T221" s="333"/>
      <c r="U221" s="333"/>
      <c r="V221" s="367"/>
      <c r="W221" s="367"/>
      <c r="X221" s="70">
        <v>5000000</v>
      </c>
      <c r="Y221" s="59" t="s">
        <v>555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69" t="s">
        <v>557</v>
      </c>
      <c r="J222" s="334"/>
      <c r="K222" s="333"/>
      <c r="L222" s="333"/>
      <c r="M222" s="333"/>
      <c r="N222" s="333"/>
      <c r="O222" s="333"/>
      <c r="P222" s="333"/>
      <c r="Q222" s="333"/>
      <c r="R222" s="333"/>
      <c r="S222" s="333"/>
      <c r="T222" s="333"/>
      <c r="U222" s="333"/>
      <c r="V222" s="367"/>
      <c r="W222" s="367"/>
      <c r="X222" s="70">
        <v>150000</v>
      </c>
      <c r="Y222" s="59" t="s">
        <v>555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69" t="s">
        <v>568</v>
      </c>
      <c r="J223" s="334"/>
      <c r="K223" s="333"/>
      <c r="L223" s="333"/>
      <c r="M223" s="333"/>
      <c r="N223" s="333"/>
      <c r="O223" s="333"/>
      <c r="P223" s="333"/>
      <c r="Q223" s="333"/>
      <c r="R223" s="333"/>
      <c r="S223" s="333"/>
      <c r="T223" s="333"/>
      <c r="U223" s="333"/>
      <c r="V223" s="367"/>
      <c r="W223" s="367"/>
      <c r="X223" s="70">
        <v>100000</v>
      </c>
      <c r="Y223" s="59" t="s">
        <v>555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69" t="s">
        <v>569</v>
      </c>
      <c r="J224" s="334"/>
      <c r="K224" s="333"/>
      <c r="L224" s="333"/>
      <c r="M224" s="333"/>
      <c r="N224" s="333"/>
      <c r="O224" s="333"/>
      <c r="P224" s="333"/>
      <c r="Q224" s="333"/>
      <c r="R224" s="333"/>
      <c r="S224" s="333"/>
      <c r="T224" s="333"/>
      <c r="U224" s="333"/>
      <c r="V224" s="367"/>
      <c r="W224" s="367"/>
      <c r="X224" s="70">
        <v>4000</v>
      </c>
      <c r="Y224" s="59" t="s">
        <v>555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69" t="s">
        <v>558</v>
      </c>
      <c r="J225" s="334"/>
      <c r="K225" s="333"/>
      <c r="L225" s="333"/>
      <c r="M225" s="333"/>
      <c r="N225" s="333"/>
      <c r="O225" s="333"/>
      <c r="P225" s="333"/>
      <c r="Q225" s="333"/>
      <c r="R225" s="333"/>
      <c r="S225" s="333"/>
      <c r="T225" s="333"/>
      <c r="U225" s="333"/>
      <c r="V225" s="367"/>
      <c r="W225" s="367"/>
      <c r="X225" s="70">
        <v>656000</v>
      </c>
      <c r="Y225" s="59" t="s">
        <v>555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69" t="s">
        <v>559</v>
      </c>
      <c r="J226" s="334"/>
      <c r="K226" s="333"/>
      <c r="L226" s="333"/>
      <c r="M226" s="333"/>
      <c r="N226" s="333"/>
      <c r="O226" s="333"/>
      <c r="P226" s="333"/>
      <c r="Q226" s="333"/>
      <c r="R226" s="333"/>
      <c r="S226" s="333"/>
      <c r="T226" s="333"/>
      <c r="U226" s="333"/>
      <c r="V226" s="367"/>
      <c r="W226" s="367"/>
      <c r="X226" s="70">
        <v>5000</v>
      </c>
      <c r="Y226" s="59" t="s">
        <v>555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9" t="s">
        <v>560</v>
      </c>
      <c r="J227" s="334"/>
      <c r="K227" s="333"/>
      <c r="L227" s="333"/>
      <c r="M227" s="333"/>
      <c r="N227" s="333"/>
      <c r="O227" s="333"/>
      <c r="P227" s="333"/>
      <c r="Q227" s="333"/>
      <c r="R227" s="333"/>
      <c r="S227" s="333"/>
      <c r="T227" s="333"/>
      <c r="U227" s="333"/>
      <c r="V227" s="367"/>
      <c r="W227" s="367"/>
      <c r="X227" s="70">
        <v>1350000</v>
      </c>
      <c r="Y227" s="59" t="s">
        <v>555</v>
      </c>
    </row>
    <row r="228" spans="1:25" ht="21" customHeight="1">
      <c r="A228" s="46"/>
      <c r="B228" s="47"/>
      <c r="C228" s="47"/>
      <c r="D228" s="47"/>
      <c r="E228" s="49"/>
      <c r="F228" s="49"/>
      <c r="G228" s="50"/>
      <c r="H228" s="32"/>
      <c r="I228" s="69" t="s">
        <v>561</v>
      </c>
      <c r="J228" s="334"/>
      <c r="K228" s="333"/>
      <c r="L228" s="333"/>
      <c r="M228" s="333"/>
      <c r="N228" s="333"/>
      <c r="O228" s="333"/>
      <c r="P228" s="333"/>
      <c r="Q228" s="333"/>
      <c r="R228" s="333"/>
      <c r="S228" s="333"/>
      <c r="T228" s="333"/>
      <c r="U228" s="333"/>
      <c r="V228" s="367"/>
      <c r="W228" s="367"/>
      <c r="X228" s="70">
        <v>20000</v>
      </c>
      <c r="Y228" s="59" t="s">
        <v>555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69" t="s">
        <v>746</v>
      </c>
      <c r="J229" s="334"/>
      <c r="K229" s="333"/>
      <c r="L229" s="333"/>
      <c r="M229" s="333"/>
      <c r="N229" s="333"/>
      <c r="O229" s="333"/>
      <c r="P229" s="333"/>
      <c r="Q229" s="333"/>
      <c r="R229" s="333"/>
      <c r="S229" s="333"/>
      <c r="T229" s="333"/>
      <c r="U229" s="333"/>
      <c r="V229" s="367"/>
      <c r="W229" s="367"/>
      <c r="X229" s="70">
        <v>823000</v>
      </c>
      <c r="Y229" s="59" t="s">
        <v>555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69" t="s">
        <v>745</v>
      </c>
      <c r="J230" s="334"/>
      <c r="K230" s="333"/>
      <c r="L230" s="333"/>
      <c r="M230" s="333"/>
      <c r="N230" s="333"/>
      <c r="O230" s="333"/>
      <c r="P230" s="333"/>
      <c r="Q230" s="333"/>
      <c r="R230" s="333"/>
      <c r="S230" s="333"/>
      <c r="T230" s="333"/>
      <c r="U230" s="333"/>
      <c r="V230" s="367"/>
      <c r="W230" s="367"/>
      <c r="X230" s="70">
        <v>3000</v>
      </c>
      <c r="Y230" s="59" t="s">
        <v>555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69" t="s">
        <v>652</v>
      </c>
      <c r="J231" s="423"/>
      <c r="K231" s="422"/>
      <c r="L231" s="422"/>
      <c r="M231" s="422"/>
      <c r="N231" s="422"/>
      <c r="O231" s="422"/>
      <c r="P231" s="422"/>
      <c r="Q231" s="422"/>
      <c r="R231" s="422"/>
      <c r="S231" s="422"/>
      <c r="T231" s="422"/>
      <c r="U231" s="422"/>
      <c r="V231" s="421"/>
      <c r="W231" s="421"/>
      <c r="X231" s="70">
        <v>0</v>
      </c>
      <c r="Y231" s="59" t="s">
        <v>643</v>
      </c>
    </row>
    <row r="232" spans="1:25" ht="21" customHeight="1">
      <c r="A232" s="46"/>
      <c r="B232" s="47"/>
      <c r="C232" s="47"/>
      <c r="D232" s="61"/>
      <c r="E232" s="63"/>
      <c r="F232" s="63"/>
      <c r="G232" s="64"/>
      <c r="H232" s="309"/>
      <c r="I232" s="73"/>
      <c r="J232" s="336"/>
      <c r="K232" s="335"/>
      <c r="L232" s="335"/>
      <c r="M232" s="335"/>
      <c r="N232" s="335"/>
      <c r="O232" s="335"/>
      <c r="P232" s="335"/>
      <c r="Q232" s="335"/>
      <c r="R232" s="335"/>
      <c r="S232" s="335"/>
      <c r="T232" s="335"/>
      <c r="U232" s="335"/>
      <c r="V232" s="295"/>
      <c r="W232" s="295"/>
      <c r="X232" s="74"/>
      <c r="Y232" s="75"/>
    </row>
    <row r="233" spans="1:25" ht="21" customHeight="1">
      <c r="A233" s="46"/>
      <c r="B233" s="47"/>
      <c r="C233" s="47"/>
      <c r="D233" s="37" t="s">
        <v>572</v>
      </c>
      <c r="E233" s="38">
        <v>404</v>
      </c>
      <c r="F233" s="38">
        <f>ROUND(X233/1000,0)</f>
        <v>653</v>
      </c>
      <c r="G233" s="39">
        <f t="shared" ref="G233" si="70">F233-E233</f>
        <v>249</v>
      </c>
      <c r="H233" s="40">
        <f t="shared" ref="H233" si="71">IF(E233=0,0,G233/E233)</f>
        <v>0.61633663366336633</v>
      </c>
      <c r="I233" s="196" t="s">
        <v>573</v>
      </c>
      <c r="J233" s="21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497" t="s">
        <v>76</v>
      </c>
      <c r="W233" s="497"/>
      <c r="X233" s="198">
        <f>ROUND(SUM(W234:X235),-3)</f>
        <v>653000</v>
      </c>
      <c r="Y233" s="199" t="s">
        <v>57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9" t="s">
        <v>574</v>
      </c>
      <c r="J234" s="334"/>
      <c r="K234" s="333"/>
      <c r="L234" s="333"/>
      <c r="M234" s="333"/>
      <c r="N234" s="333"/>
      <c r="O234" s="333"/>
      <c r="P234" s="333"/>
      <c r="Q234" s="333"/>
      <c r="R234" s="333"/>
      <c r="S234" s="333"/>
      <c r="T234" s="333"/>
      <c r="U234" s="333"/>
      <c r="V234" s="367"/>
      <c r="W234" s="367"/>
      <c r="X234" s="70">
        <v>650000</v>
      </c>
      <c r="Y234" s="59" t="s">
        <v>555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9" t="s">
        <v>575</v>
      </c>
      <c r="J235" s="334"/>
      <c r="K235" s="333"/>
      <c r="L235" s="333"/>
      <c r="M235" s="333"/>
      <c r="N235" s="333"/>
      <c r="O235" s="333"/>
      <c r="P235" s="333"/>
      <c r="Q235" s="333"/>
      <c r="R235" s="333"/>
      <c r="S235" s="333"/>
      <c r="T235" s="333"/>
      <c r="U235" s="333"/>
      <c r="V235" s="367"/>
      <c r="W235" s="367"/>
      <c r="X235" s="70">
        <v>3000</v>
      </c>
      <c r="Y235" s="59" t="s">
        <v>555</v>
      </c>
    </row>
    <row r="236" spans="1:25" ht="21" customHeight="1">
      <c r="A236" s="46"/>
      <c r="B236" s="47"/>
      <c r="C236" s="47"/>
      <c r="D236" s="61"/>
      <c r="E236" s="63"/>
      <c r="F236" s="63"/>
      <c r="G236" s="64"/>
      <c r="H236" s="309"/>
      <c r="I236" s="73"/>
      <c r="J236" s="336"/>
      <c r="K236" s="335"/>
      <c r="L236" s="335"/>
      <c r="M236" s="335"/>
      <c r="N236" s="335"/>
      <c r="O236" s="335"/>
      <c r="P236" s="335"/>
      <c r="Q236" s="335"/>
      <c r="R236" s="335"/>
      <c r="S236" s="335"/>
      <c r="T236" s="335"/>
      <c r="U236" s="335"/>
      <c r="V236" s="295"/>
      <c r="W236" s="295"/>
      <c r="X236" s="74"/>
      <c r="Y236" s="75"/>
    </row>
    <row r="237" spans="1:25" ht="21" customHeight="1">
      <c r="A237" s="46"/>
      <c r="B237" s="47"/>
      <c r="C237" s="47"/>
      <c r="D237" s="47" t="s">
        <v>567</v>
      </c>
      <c r="E237" s="49">
        <v>5286</v>
      </c>
      <c r="F237" s="38">
        <f>ROUND(X237/1000,0)</f>
        <v>12010</v>
      </c>
      <c r="G237" s="39">
        <f t="shared" ref="G237" si="72">F237-E237</f>
        <v>6724</v>
      </c>
      <c r="H237" s="40">
        <f t="shared" ref="H237" si="73">IF(E237=0,0,G237/E237)</f>
        <v>1.2720393492243662</v>
      </c>
      <c r="I237" s="196" t="s">
        <v>576</v>
      </c>
      <c r="J237" s="21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497" t="s">
        <v>76</v>
      </c>
      <c r="W237" s="497"/>
      <c r="X237" s="198">
        <f>ROUND(SUM(W238:X239),-3)</f>
        <v>12010000</v>
      </c>
      <c r="Y237" s="199" t="s">
        <v>57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69" t="s">
        <v>577</v>
      </c>
      <c r="J238" s="334"/>
      <c r="K238" s="333"/>
      <c r="L238" s="333"/>
      <c r="M238" s="333"/>
      <c r="N238" s="333"/>
      <c r="O238" s="333"/>
      <c r="P238" s="333"/>
      <c r="Q238" s="333"/>
      <c r="R238" s="333"/>
      <c r="S238" s="333"/>
      <c r="T238" s="333"/>
      <c r="U238" s="333"/>
      <c r="V238" s="367"/>
      <c r="W238" s="367"/>
      <c r="X238" s="70">
        <v>12000000</v>
      </c>
      <c r="Y238" s="59" t="s">
        <v>555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69" t="s">
        <v>578</v>
      </c>
      <c r="J239" s="334"/>
      <c r="K239" s="333"/>
      <c r="L239" s="333"/>
      <c r="M239" s="333"/>
      <c r="N239" s="333"/>
      <c r="O239" s="333"/>
      <c r="P239" s="333"/>
      <c r="Q239" s="333"/>
      <c r="R239" s="333"/>
      <c r="S239" s="333"/>
      <c r="T239" s="333"/>
      <c r="U239" s="333"/>
      <c r="V239" s="367"/>
      <c r="W239" s="367"/>
      <c r="X239" s="70">
        <v>10000</v>
      </c>
      <c r="Y239" s="59" t="s">
        <v>555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9"/>
      <c r="J240" s="334"/>
      <c r="K240" s="333"/>
      <c r="L240" s="333"/>
      <c r="M240" s="333"/>
      <c r="N240" s="367"/>
      <c r="O240" s="76"/>
      <c r="P240" s="71"/>
      <c r="Q240" s="76"/>
      <c r="R240" s="86"/>
      <c r="S240" s="78"/>
      <c r="T240" s="78"/>
      <c r="U240" s="367"/>
      <c r="V240" s="333"/>
      <c r="W240" s="70"/>
      <c r="X240" s="70"/>
      <c r="Y240" s="59"/>
    </row>
    <row r="241" spans="1:47" ht="21" customHeight="1">
      <c r="A241" s="46"/>
      <c r="B241" s="47"/>
      <c r="C241" s="37" t="s">
        <v>456</v>
      </c>
      <c r="D241" s="397" t="s">
        <v>311</v>
      </c>
      <c r="E241" s="326">
        <f>E242</f>
        <v>22953</v>
      </c>
      <c r="F241" s="326">
        <f>F242</f>
        <v>13030</v>
      </c>
      <c r="G241" s="327">
        <f t="shared" ref="G241:G242" si="74">F241-E241</f>
        <v>-9923</v>
      </c>
      <c r="H241" s="328">
        <f t="shared" ref="H241:H242" si="75">IF(E241=0,0,G241/E241)</f>
        <v>-0.43231821548381477</v>
      </c>
      <c r="I241" s="310" t="s">
        <v>460</v>
      </c>
      <c r="J241" s="311"/>
      <c r="K241" s="312"/>
      <c r="L241" s="312"/>
      <c r="M241" s="312"/>
      <c r="N241" s="312"/>
      <c r="O241" s="312"/>
      <c r="P241" s="313"/>
      <c r="Q241" s="313"/>
      <c r="R241" s="313"/>
      <c r="S241" s="313"/>
      <c r="T241" s="313"/>
      <c r="U241" s="313"/>
      <c r="V241" s="347" t="s">
        <v>76</v>
      </c>
      <c r="W241" s="348"/>
      <c r="X241" s="348">
        <f>X242</f>
        <v>13030000</v>
      </c>
      <c r="Y241" s="400" t="s">
        <v>57</v>
      </c>
    </row>
    <row r="242" spans="1:47" ht="21" customHeight="1">
      <c r="A242" s="46"/>
      <c r="B242" s="47"/>
      <c r="C242" s="47" t="s">
        <v>457</v>
      </c>
      <c r="D242" s="47" t="s">
        <v>459</v>
      </c>
      <c r="E242" s="49">
        <v>22953</v>
      </c>
      <c r="F242" s="49">
        <f>ROUND(X242/1000,0)</f>
        <v>13030</v>
      </c>
      <c r="G242" s="39">
        <f t="shared" si="74"/>
        <v>-9923</v>
      </c>
      <c r="H242" s="40">
        <f t="shared" si="75"/>
        <v>-0.43231821548381477</v>
      </c>
      <c r="I242" s="196" t="s">
        <v>570</v>
      </c>
      <c r="J242" s="21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497"/>
      <c r="W242" s="497"/>
      <c r="X242" s="198">
        <f>ROUND(SUM(W243:X244),-3)</f>
        <v>13030000</v>
      </c>
      <c r="Y242" s="199" t="s">
        <v>57</v>
      </c>
    </row>
    <row r="243" spans="1:47" ht="21" customHeight="1">
      <c r="A243" s="46"/>
      <c r="B243" s="47"/>
      <c r="C243" s="47" t="s">
        <v>452</v>
      </c>
      <c r="D243" s="47" t="s">
        <v>453</v>
      </c>
      <c r="E243" s="49"/>
      <c r="F243" s="49"/>
      <c r="G243" s="50"/>
      <c r="H243" s="72"/>
      <c r="I243" s="69" t="s">
        <v>571</v>
      </c>
      <c r="J243" s="334"/>
      <c r="K243" s="333"/>
      <c r="L243" s="333"/>
      <c r="M243" s="333"/>
      <c r="N243" s="333"/>
      <c r="O243" s="333"/>
      <c r="P243" s="333"/>
      <c r="Q243" s="55"/>
      <c r="R243" s="55"/>
      <c r="S243" s="55"/>
      <c r="T243" s="333"/>
      <c r="U243" s="333"/>
      <c r="V243" s="333"/>
      <c r="W243" s="70"/>
      <c r="X243" s="70">
        <v>13000000</v>
      </c>
      <c r="Y243" s="59" t="s">
        <v>241</v>
      </c>
    </row>
    <row r="244" spans="1:47" ht="21" customHeight="1">
      <c r="A244" s="46"/>
      <c r="B244" s="47"/>
      <c r="C244" s="47"/>
      <c r="D244" s="47"/>
      <c r="E244" s="49"/>
      <c r="F244" s="49"/>
      <c r="G244" s="50"/>
      <c r="H244" s="72"/>
      <c r="I244" s="69"/>
      <c r="J244" s="334"/>
      <c r="K244" s="333"/>
      <c r="L244" s="333"/>
      <c r="M244" s="333"/>
      <c r="N244" s="333"/>
      <c r="O244" s="333"/>
      <c r="P244" s="333"/>
      <c r="Q244" s="55"/>
      <c r="R244" s="55"/>
      <c r="S244" s="55"/>
      <c r="T244" s="333"/>
      <c r="U244" s="333"/>
      <c r="V244" s="333"/>
      <c r="W244" s="70"/>
      <c r="X244" s="70">
        <v>30000</v>
      </c>
      <c r="Y244" s="59" t="s">
        <v>57</v>
      </c>
    </row>
    <row r="245" spans="1:47" ht="21" customHeight="1">
      <c r="A245" s="46"/>
      <c r="B245" s="47"/>
      <c r="C245" s="47"/>
      <c r="D245" s="47"/>
      <c r="E245" s="49"/>
      <c r="F245" s="49"/>
      <c r="G245" s="50"/>
      <c r="H245" s="72"/>
      <c r="I245" s="69"/>
      <c r="J245" s="334"/>
      <c r="K245" s="333"/>
      <c r="L245" s="333"/>
      <c r="M245" s="333"/>
      <c r="N245" s="333"/>
      <c r="O245" s="333"/>
      <c r="P245" s="333"/>
      <c r="Q245" s="55"/>
      <c r="R245" s="55"/>
      <c r="S245" s="55"/>
      <c r="T245" s="333"/>
      <c r="U245" s="333"/>
      <c r="V245" s="333"/>
      <c r="W245" s="70"/>
      <c r="X245" s="70"/>
      <c r="Y245" s="59"/>
    </row>
    <row r="246" spans="1:47" ht="21" customHeight="1">
      <c r="A246" s="46"/>
      <c r="B246" s="47"/>
      <c r="C246" s="37" t="s">
        <v>461</v>
      </c>
      <c r="D246" s="397" t="s">
        <v>311</v>
      </c>
      <c r="E246" s="326">
        <f>E247</f>
        <v>0</v>
      </c>
      <c r="F246" s="326">
        <f>F247</f>
        <v>0</v>
      </c>
      <c r="G246" s="327">
        <f t="shared" ref="G246:G247" si="76">F246-E246</f>
        <v>0</v>
      </c>
      <c r="H246" s="328">
        <f t="shared" ref="H246:H247" si="77">IF(E246=0,0,G246/E246)</f>
        <v>0</v>
      </c>
      <c r="I246" s="310" t="s">
        <v>464</v>
      </c>
      <c r="J246" s="311"/>
      <c r="K246" s="312"/>
      <c r="L246" s="312"/>
      <c r="M246" s="312"/>
      <c r="N246" s="312"/>
      <c r="O246" s="312"/>
      <c r="P246" s="313"/>
      <c r="Q246" s="313"/>
      <c r="R246" s="313"/>
      <c r="S246" s="313"/>
      <c r="T246" s="313"/>
      <c r="U246" s="313"/>
      <c r="V246" s="347" t="s">
        <v>76</v>
      </c>
      <c r="W246" s="348"/>
      <c r="X246" s="348">
        <f>ROUND(SUM(W247:X248),-3)</f>
        <v>0</v>
      </c>
      <c r="Y246" s="400" t="s">
        <v>57</v>
      </c>
    </row>
    <row r="247" spans="1:47" ht="21" customHeight="1">
      <c r="A247" s="46"/>
      <c r="B247" s="47"/>
      <c r="C247" s="47" t="s">
        <v>462</v>
      </c>
      <c r="D247" s="47" t="s">
        <v>463</v>
      </c>
      <c r="E247" s="49">
        <v>0</v>
      </c>
      <c r="F247" s="49">
        <f>ROUND(X247/1000,0)</f>
        <v>0</v>
      </c>
      <c r="G247" s="39">
        <f t="shared" si="76"/>
        <v>0</v>
      </c>
      <c r="H247" s="40">
        <f t="shared" si="77"/>
        <v>0</v>
      </c>
      <c r="I247" s="69"/>
      <c r="J247" s="334"/>
      <c r="K247" s="333"/>
      <c r="L247" s="333"/>
      <c r="M247" s="333"/>
      <c r="N247" s="367"/>
      <c r="O247" s="76"/>
      <c r="P247" s="71"/>
      <c r="Q247" s="76"/>
      <c r="R247" s="86"/>
      <c r="S247" s="78"/>
      <c r="T247" s="78"/>
      <c r="U247" s="367"/>
      <c r="V247" s="333"/>
      <c r="W247" s="70"/>
      <c r="X247" s="70">
        <f>M247*P247</f>
        <v>0</v>
      </c>
      <c r="Y247" s="59" t="s">
        <v>57</v>
      </c>
    </row>
    <row r="248" spans="1:47" ht="21" customHeight="1">
      <c r="A248" s="60"/>
      <c r="B248" s="61"/>
      <c r="C248" s="61"/>
      <c r="D248" s="61"/>
      <c r="E248" s="63"/>
      <c r="F248" s="63"/>
      <c r="G248" s="64"/>
      <c r="H248" s="92"/>
      <c r="I248" s="73"/>
      <c r="J248" s="336"/>
      <c r="K248" s="335"/>
      <c r="L248" s="335"/>
      <c r="M248" s="335"/>
      <c r="N248" s="335"/>
      <c r="O248" s="335"/>
      <c r="P248" s="335"/>
      <c r="Q248" s="159"/>
      <c r="R248" s="159"/>
      <c r="S248" s="159"/>
      <c r="T248" s="335"/>
      <c r="U248" s="335"/>
      <c r="V248" s="335"/>
      <c r="W248" s="74"/>
      <c r="X248" s="74">
        <v>0</v>
      </c>
      <c r="Y248" s="75" t="s">
        <v>57</v>
      </c>
    </row>
    <row r="249" spans="1:47" s="4" customFormat="1" ht="21" customHeight="1">
      <c r="A249" s="46" t="s">
        <v>92</v>
      </c>
      <c r="B249" s="95" t="s">
        <v>16</v>
      </c>
      <c r="C249" s="495" t="s">
        <v>598</v>
      </c>
      <c r="D249" s="496"/>
      <c r="E249" s="380">
        <f>SUM(E250,E253,E265)</f>
        <v>31450</v>
      </c>
      <c r="F249" s="380">
        <f>SUM(F250,F253,F265)</f>
        <v>30250</v>
      </c>
      <c r="G249" s="381">
        <f t="shared" ref="G249:G251" si="78">F249-E249</f>
        <v>-1200</v>
      </c>
      <c r="H249" s="382">
        <f t="shared" ref="H249:H251" si="79">IF(E249=0,0,G249/E249)</f>
        <v>-3.8155802861685212E-2</v>
      </c>
      <c r="I249" s="383" t="s">
        <v>603</v>
      </c>
      <c r="J249" s="384"/>
      <c r="K249" s="385"/>
      <c r="L249" s="385"/>
      <c r="M249" s="384"/>
      <c r="N249" s="384"/>
      <c r="O249" s="384"/>
      <c r="P249" s="384"/>
      <c r="Q249" s="384" t="s">
        <v>70</v>
      </c>
      <c r="R249" s="386"/>
      <c r="S249" s="386"/>
      <c r="T249" s="386"/>
      <c r="U249" s="386"/>
      <c r="V249" s="386"/>
      <c r="W249" s="386"/>
      <c r="X249" s="396">
        <f>SUM(X250,X253,X265)</f>
        <v>30250000</v>
      </c>
      <c r="Y249" s="405" t="s">
        <v>583</v>
      </c>
      <c r="Z249" s="388"/>
      <c r="AA249" s="389"/>
      <c r="AB249" s="389"/>
      <c r="AC249" s="390"/>
      <c r="AD249" s="391"/>
      <c r="AE249" s="392"/>
      <c r="AF249" s="393"/>
      <c r="AG249" s="394"/>
      <c r="AH249" s="394"/>
      <c r="AI249" s="393"/>
      <c r="AJ249" s="393"/>
      <c r="AK249" s="393"/>
      <c r="AL249" s="393"/>
      <c r="AM249" s="393"/>
      <c r="AN249" s="392"/>
      <c r="AO249" s="392"/>
      <c r="AP249" s="392"/>
      <c r="AQ249" s="392"/>
      <c r="AR249" s="392"/>
      <c r="AS249" s="392"/>
      <c r="AT249" s="395"/>
      <c r="AU249" s="393"/>
    </row>
    <row r="250" spans="1:47" ht="21" customHeight="1">
      <c r="A250" s="46"/>
      <c r="B250" s="106"/>
      <c r="C250" s="37" t="s">
        <v>465</v>
      </c>
      <c r="D250" s="397" t="s">
        <v>311</v>
      </c>
      <c r="E250" s="326">
        <f>E251</f>
        <v>0</v>
      </c>
      <c r="F250" s="326">
        <f>F251</f>
        <v>0</v>
      </c>
      <c r="G250" s="327">
        <f t="shared" si="78"/>
        <v>0</v>
      </c>
      <c r="H250" s="328">
        <f t="shared" si="79"/>
        <v>0</v>
      </c>
      <c r="I250" s="310" t="s">
        <v>474</v>
      </c>
      <c r="J250" s="311"/>
      <c r="K250" s="312"/>
      <c r="L250" s="312"/>
      <c r="M250" s="312"/>
      <c r="N250" s="312"/>
      <c r="O250" s="312"/>
      <c r="P250" s="313"/>
      <c r="Q250" s="313"/>
      <c r="R250" s="313"/>
      <c r="S250" s="313"/>
      <c r="T250" s="313"/>
      <c r="U250" s="313"/>
      <c r="V250" s="347" t="s">
        <v>76</v>
      </c>
      <c r="W250" s="348"/>
      <c r="X250" s="349">
        <f>SUM(X251:X251)</f>
        <v>0</v>
      </c>
      <c r="Y250" s="400" t="s">
        <v>57</v>
      </c>
    </row>
    <row r="251" spans="1:47" s="11" customFormat="1" ht="19.5" customHeight="1">
      <c r="A251" s="62"/>
      <c r="B251" s="108"/>
      <c r="C251" s="47" t="s">
        <v>466</v>
      </c>
      <c r="D251" s="37" t="s">
        <v>467</v>
      </c>
      <c r="E251" s="38">
        <v>0</v>
      </c>
      <c r="F251" s="49">
        <f>ROUND(X251/1000,0)</f>
        <v>0</v>
      </c>
      <c r="G251" s="39">
        <f t="shared" si="78"/>
        <v>0</v>
      </c>
      <c r="H251" s="40">
        <f t="shared" si="79"/>
        <v>0</v>
      </c>
      <c r="I251" s="196" t="s">
        <v>474</v>
      </c>
      <c r="J251" s="21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497" t="s">
        <v>76</v>
      </c>
      <c r="W251" s="497"/>
      <c r="X251" s="198">
        <f>SUM(X252:X252)</f>
        <v>0</v>
      </c>
      <c r="Y251" s="199" t="s">
        <v>57</v>
      </c>
      <c r="Z251" s="6"/>
    </row>
    <row r="252" spans="1:47" s="11" customFormat="1" ht="19.5" customHeight="1">
      <c r="A252" s="62"/>
      <c r="B252" s="98"/>
      <c r="C252" s="47"/>
      <c r="D252" s="47"/>
      <c r="E252" s="49"/>
      <c r="F252" s="49"/>
      <c r="G252" s="50"/>
      <c r="H252" s="32"/>
      <c r="I252" s="69"/>
      <c r="J252" s="334"/>
      <c r="K252" s="333"/>
      <c r="L252" s="333"/>
      <c r="M252" s="333"/>
      <c r="N252" s="367"/>
      <c r="O252" s="76"/>
      <c r="P252" s="71"/>
      <c r="Q252" s="76"/>
      <c r="R252" s="86"/>
      <c r="S252" s="78"/>
      <c r="T252" s="78"/>
      <c r="U252" s="367"/>
      <c r="V252" s="333"/>
      <c r="W252" s="70"/>
      <c r="X252" s="70">
        <f>M252*P252</f>
        <v>0</v>
      </c>
      <c r="Y252" s="59" t="s">
        <v>57</v>
      </c>
      <c r="Z252" s="6"/>
    </row>
    <row r="253" spans="1:47" s="11" customFormat="1" ht="19.5" customHeight="1">
      <c r="A253" s="62"/>
      <c r="B253" s="98"/>
      <c r="C253" s="37" t="s">
        <v>468</v>
      </c>
      <c r="D253" s="397" t="s">
        <v>311</v>
      </c>
      <c r="E253" s="326">
        <f>E254</f>
        <v>250</v>
      </c>
      <c r="F253" s="326">
        <f>F254</f>
        <v>250</v>
      </c>
      <c r="G253" s="327">
        <f t="shared" ref="G253:G254" si="80">F253-E253</f>
        <v>0</v>
      </c>
      <c r="H253" s="328">
        <f t="shared" ref="H253:H254" si="81">IF(E253=0,0,G253/E253)</f>
        <v>0</v>
      </c>
      <c r="I253" s="310" t="s">
        <v>475</v>
      </c>
      <c r="J253" s="311"/>
      <c r="K253" s="312"/>
      <c r="L253" s="312"/>
      <c r="M253" s="312"/>
      <c r="N253" s="312"/>
      <c r="O253" s="312"/>
      <c r="P253" s="313"/>
      <c r="Q253" s="313"/>
      <c r="R253" s="313"/>
      <c r="S253" s="313"/>
      <c r="T253" s="313"/>
      <c r="U253" s="313"/>
      <c r="V253" s="347" t="s">
        <v>76</v>
      </c>
      <c r="W253" s="348"/>
      <c r="X253" s="348">
        <f>SUM(X254:X254)</f>
        <v>250000</v>
      </c>
      <c r="Y253" s="400" t="s">
        <v>57</v>
      </c>
      <c r="Z253" s="6"/>
    </row>
    <row r="254" spans="1:47" s="11" customFormat="1" ht="19.5" customHeight="1">
      <c r="A254" s="62"/>
      <c r="B254" s="98"/>
      <c r="C254" s="47" t="s">
        <v>469</v>
      </c>
      <c r="D254" s="47" t="s">
        <v>470</v>
      </c>
      <c r="E254" s="49">
        <v>250</v>
      </c>
      <c r="F254" s="49">
        <f>ROUND(X254/1000,0)</f>
        <v>250</v>
      </c>
      <c r="G254" s="39">
        <f t="shared" si="80"/>
        <v>0</v>
      </c>
      <c r="H254" s="40">
        <f t="shared" si="81"/>
        <v>0</v>
      </c>
      <c r="I254" s="196" t="s">
        <v>579</v>
      </c>
      <c r="J254" s="21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497"/>
      <c r="W254" s="497"/>
      <c r="X254" s="198">
        <f>ROUND(SUM(W255:X263),-3)</f>
        <v>250000</v>
      </c>
      <c r="Y254" s="199" t="s">
        <v>57</v>
      </c>
      <c r="Z254" s="6"/>
    </row>
    <row r="255" spans="1:47" s="11" customFormat="1" ht="19.5" customHeight="1">
      <c r="A255" s="62"/>
      <c r="B255" s="98"/>
      <c r="C255" s="47" t="s">
        <v>412</v>
      </c>
      <c r="D255" s="47" t="s">
        <v>471</v>
      </c>
      <c r="E255" s="49"/>
      <c r="F255" s="49"/>
      <c r="G255" s="50"/>
      <c r="H255" s="72"/>
      <c r="I255" s="69" t="s">
        <v>557</v>
      </c>
      <c r="J255" s="334"/>
      <c r="K255" s="333"/>
      <c r="L255" s="333"/>
      <c r="M255" s="333"/>
      <c r="N255" s="333"/>
      <c r="O255" s="333"/>
      <c r="P255" s="333"/>
      <c r="Q255" s="55"/>
      <c r="R255" s="55"/>
      <c r="S255" s="55"/>
      <c r="T255" s="333"/>
      <c r="U255" s="333"/>
      <c r="V255" s="333"/>
      <c r="W255" s="70"/>
      <c r="X255" s="70">
        <v>150000</v>
      </c>
      <c r="Y255" s="59" t="s">
        <v>57</v>
      </c>
      <c r="Z255" s="6"/>
    </row>
    <row r="256" spans="1:47" s="11" customFormat="1" ht="19.5" customHeight="1">
      <c r="A256" s="62"/>
      <c r="B256" s="98"/>
      <c r="C256" s="47"/>
      <c r="D256" s="47"/>
      <c r="E256" s="49"/>
      <c r="F256" s="49"/>
      <c r="G256" s="50"/>
      <c r="H256" s="72"/>
      <c r="I256" s="69" t="s">
        <v>569</v>
      </c>
      <c r="J256" s="334"/>
      <c r="K256" s="333"/>
      <c r="L256" s="333"/>
      <c r="M256" s="333"/>
      <c r="N256" s="333"/>
      <c r="O256" s="333"/>
      <c r="P256" s="333"/>
      <c r="Q256" s="55"/>
      <c r="R256" s="55"/>
      <c r="S256" s="55"/>
      <c r="T256" s="333"/>
      <c r="U256" s="333"/>
      <c r="V256" s="333"/>
      <c r="W256" s="70"/>
      <c r="X256" s="70">
        <v>5000</v>
      </c>
      <c r="Y256" s="59" t="s">
        <v>57</v>
      </c>
      <c r="Z256" s="6"/>
    </row>
    <row r="257" spans="1:26" s="11" customFormat="1" ht="19.5" customHeight="1">
      <c r="A257" s="62"/>
      <c r="B257" s="98"/>
      <c r="C257" s="47"/>
      <c r="D257" s="47"/>
      <c r="E257" s="49"/>
      <c r="F257" s="49"/>
      <c r="G257" s="50"/>
      <c r="H257" s="72"/>
      <c r="I257" s="69" t="s">
        <v>559</v>
      </c>
      <c r="J257" s="334"/>
      <c r="K257" s="333"/>
      <c r="L257" s="333"/>
      <c r="M257" s="333"/>
      <c r="N257" s="333"/>
      <c r="O257" s="333"/>
      <c r="P257" s="333"/>
      <c r="Q257" s="55"/>
      <c r="R257" s="55"/>
      <c r="S257" s="55"/>
      <c r="T257" s="333"/>
      <c r="U257" s="333"/>
      <c r="V257" s="333"/>
      <c r="W257" s="70"/>
      <c r="X257" s="70">
        <v>5000</v>
      </c>
      <c r="Y257" s="59" t="s">
        <v>57</v>
      </c>
      <c r="Z257" s="6"/>
    </row>
    <row r="258" spans="1:26" s="11" customFormat="1" ht="19.5" customHeight="1">
      <c r="A258" s="62"/>
      <c r="B258" s="98"/>
      <c r="C258" s="47"/>
      <c r="D258" s="47"/>
      <c r="E258" s="49"/>
      <c r="F258" s="49"/>
      <c r="G258" s="50"/>
      <c r="H258" s="72"/>
      <c r="I258" s="69" t="s">
        <v>561</v>
      </c>
      <c r="J258" s="334"/>
      <c r="K258" s="333"/>
      <c r="L258" s="333"/>
      <c r="M258" s="333"/>
      <c r="N258" s="333"/>
      <c r="O258" s="333"/>
      <c r="P258" s="333"/>
      <c r="Q258" s="55"/>
      <c r="R258" s="55"/>
      <c r="S258" s="55"/>
      <c r="T258" s="333"/>
      <c r="U258" s="333"/>
      <c r="V258" s="333"/>
      <c r="W258" s="70"/>
      <c r="X258" s="70">
        <v>25000</v>
      </c>
      <c r="Y258" s="59" t="s">
        <v>57</v>
      </c>
      <c r="Z258" s="6"/>
    </row>
    <row r="259" spans="1:26" s="11" customFormat="1" ht="19.5" customHeight="1">
      <c r="A259" s="62"/>
      <c r="B259" s="98"/>
      <c r="C259" s="47"/>
      <c r="D259" s="47"/>
      <c r="E259" s="49"/>
      <c r="F259" s="49"/>
      <c r="G259" s="50"/>
      <c r="H259" s="72"/>
      <c r="I259" s="69" t="s">
        <v>580</v>
      </c>
      <c r="J259" s="334"/>
      <c r="K259" s="333"/>
      <c r="L259" s="333"/>
      <c r="M259" s="333"/>
      <c r="N259" s="333"/>
      <c r="O259" s="333"/>
      <c r="P259" s="333"/>
      <c r="Q259" s="55"/>
      <c r="R259" s="55"/>
      <c r="S259" s="55"/>
      <c r="T259" s="333"/>
      <c r="U259" s="333"/>
      <c r="V259" s="333"/>
      <c r="W259" s="70"/>
      <c r="X259" s="70">
        <v>0</v>
      </c>
      <c r="Y259" s="59" t="s">
        <v>57</v>
      </c>
      <c r="Z259" s="6"/>
    </row>
    <row r="260" spans="1:26" s="11" customFormat="1" ht="19.5" customHeight="1">
      <c r="A260" s="62"/>
      <c r="B260" s="98"/>
      <c r="C260" s="47"/>
      <c r="D260" s="47"/>
      <c r="E260" s="49"/>
      <c r="F260" s="49"/>
      <c r="G260" s="50"/>
      <c r="H260" s="72"/>
      <c r="I260" s="69" t="s">
        <v>563</v>
      </c>
      <c r="J260" s="334"/>
      <c r="K260" s="333"/>
      <c r="L260" s="333"/>
      <c r="M260" s="333"/>
      <c r="N260" s="333"/>
      <c r="O260" s="333"/>
      <c r="P260" s="333"/>
      <c r="Q260" s="55"/>
      <c r="R260" s="55"/>
      <c r="S260" s="55"/>
      <c r="T260" s="333"/>
      <c r="U260" s="333"/>
      <c r="V260" s="333"/>
      <c r="W260" s="70"/>
      <c r="X260" s="70">
        <v>20000</v>
      </c>
      <c r="Y260" s="59" t="s">
        <v>57</v>
      </c>
      <c r="Z260" s="6"/>
    </row>
    <row r="261" spans="1:26" s="11" customFormat="1" ht="19.5" customHeight="1">
      <c r="A261" s="62"/>
      <c r="B261" s="98"/>
      <c r="C261" s="47"/>
      <c r="D261" s="47"/>
      <c r="E261" s="49"/>
      <c r="F261" s="49"/>
      <c r="G261" s="50"/>
      <c r="H261" s="72"/>
      <c r="I261" s="69" t="s">
        <v>581</v>
      </c>
      <c r="J261" s="334"/>
      <c r="K261" s="333"/>
      <c r="L261" s="333"/>
      <c r="M261" s="333"/>
      <c r="N261" s="333"/>
      <c r="O261" s="333"/>
      <c r="P261" s="333"/>
      <c r="Q261" s="55"/>
      <c r="R261" s="55"/>
      <c r="S261" s="55"/>
      <c r="T261" s="333"/>
      <c r="U261" s="333"/>
      <c r="V261" s="333"/>
      <c r="W261" s="70"/>
      <c r="X261" s="70">
        <v>30000</v>
      </c>
      <c r="Y261" s="59" t="s">
        <v>57</v>
      </c>
      <c r="Z261" s="6"/>
    </row>
    <row r="262" spans="1:26" s="11" customFormat="1" ht="19.5" customHeight="1">
      <c r="A262" s="62"/>
      <c r="B262" s="98"/>
      <c r="C262" s="47"/>
      <c r="D262" s="47"/>
      <c r="E262" s="49"/>
      <c r="F262" s="49"/>
      <c r="G262" s="50"/>
      <c r="H262" s="72"/>
      <c r="I262" s="69" t="s">
        <v>575</v>
      </c>
      <c r="J262" s="334"/>
      <c r="K262" s="333"/>
      <c r="L262" s="333"/>
      <c r="M262" s="333"/>
      <c r="N262" s="333"/>
      <c r="O262" s="333"/>
      <c r="P262" s="333"/>
      <c r="Q262" s="55"/>
      <c r="R262" s="55"/>
      <c r="S262" s="55"/>
      <c r="T262" s="333"/>
      <c r="U262" s="333"/>
      <c r="V262" s="333"/>
      <c r="W262" s="70"/>
      <c r="X262" s="70">
        <v>5000</v>
      </c>
      <c r="Y262" s="59" t="s">
        <v>57</v>
      </c>
      <c r="Z262" s="6"/>
    </row>
    <row r="263" spans="1:26" s="11" customFormat="1" ht="19.5" customHeight="1">
      <c r="A263" s="62"/>
      <c r="B263" s="98"/>
      <c r="C263" s="47"/>
      <c r="D263" s="47"/>
      <c r="E263" s="49"/>
      <c r="F263" s="49"/>
      <c r="G263" s="50"/>
      <c r="H263" s="72"/>
      <c r="I263" s="69" t="s">
        <v>578</v>
      </c>
      <c r="J263" s="334"/>
      <c r="K263" s="333"/>
      <c r="L263" s="333"/>
      <c r="M263" s="333"/>
      <c r="N263" s="333"/>
      <c r="O263" s="333"/>
      <c r="P263" s="333"/>
      <c r="Q263" s="55"/>
      <c r="R263" s="55"/>
      <c r="S263" s="55"/>
      <c r="T263" s="333"/>
      <c r="U263" s="333"/>
      <c r="V263" s="333"/>
      <c r="W263" s="70"/>
      <c r="X263" s="70">
        <v>10000</v>
      </c>
      <c r="Y263" s="59" t="s">
        <v>57</v>
      </c>
      <c r="Z263" s="6"/>
    </row>
    <row r="264" spans="1:26" s="11" customFormat="1" ht="19.5" customHeight="1">
      <c r="A264" s="62"/>
      <c r="B264" s="98"/>
      <c r="C264" s="47"/>
      <c r="D264" s="47"/>
      <c r="E264" s="49"/>
      <c r="F264" s="49"/>
      <c r="G264" s="50"/>
      <c r="H264" s="72"/>
      <c r="I264" s="69"/>
      <c r="J264" s="334"/>
      <c r="K264" s="333"/>
      <c r="L264" s="333"/>
      <c r="M264" s="333"/>
      <c r="N264" s="333"/>
      <c r="O264" s="333"/>
      <c r="P264" s="333"/>
      <c r="Q264" s="55"/>
      <c r="R264" s="55"/>
      <c r="S264" s="55"/>
      <c r="T264" s="333"/>
      <c r="U264" s="333"/>
      <c r="V264" s="333"/>
      <c r="W264" s="70"/>
      <c r="X264" s="70"/>
      <c r="Y264" s="59"/>
      <c r="Z264" s="6"/>
    </row>
    <row r="265" spans="1:26" s="11" customFormat="1" ht="19.5" customHeight="1">
      <c r="A265" s="62"/>
      <c r="B265" s="98"/>
      <c r="C265" s="37" t="s">
        <v>430</v>
      </c>
      <c r="D265" s="397" t="s">
        <v>604</v>
      </c>
      <c r="E265" s="326">
        <f>E266</f>
        <v>31200</v>
      </c>
      <c r="F265" s="326">
        <f>F266</f>
        <v>30000</v>
      </c>
      <c r="G265" s="327">
        <f t="shared" ref="G265:G266" si="82">F265-E265</f>
        <v>-1200</v>
      </c>
      <c r="H265" s="328">
        <f t="shared" ref="H265:H266" si="83">IF(E265=0,0,G265/E265)</f>
        <v>-3.8461538461538464E-2</v>
      </c>
      <c r="I265" s="310" t="s">
        <v>582</v>
      </c>
      <c r="J265" s="311"/>
      <c r="K265" s="312"/>
      <c r="L265" s="312"/>
      <c r="M265" s="312"/>
      <c r="N265" s="312"/>
      <c r="O265" s="312"/>
      <c r="P265" s="313"/>
      <c r="Q265" s="313"/>
      <c r="R265" s="313"/>
      <c r="S265" s="313"/>
      <c r="T265" s="313"/>
      <c r="U265" s="313"/>
      <c r="V265" s="347" t="s">
        <v>593</v>
      </c>
      <c r="W265" s="348"/>
      <c r="X265" s="348">
        <f>SUM(X266:X266)</f>
        <v>30000000</v>
      </c>
      <c r="Y265" s="400" t="s">
        <v>583</v>
      </c>
      <c r="Z265" s="6"/>
    </row>
    <row r="266" spans="1:26" s="11" customFormat="1" ht="19.5" customHeight="1">
      <c r="A266" s="62"/>
      <c r="B266" s="98"/>
      <c r="C266" s="47" t="s">
        <v>472</v>
      </c>
      <c r="D266" s="47" t="s">
        <v>473</v>
      </c>
      <c r="E266" s="49">
        <v>31200</v>
      </c>
      <c r="F266" s="49">
        <f>ROUND(X266/1000,0)</f>
        <v>30000</v>
      </c>
      <c r="G266" s="39">
        <f t="shared" si="82"/>
        <v>-1200</v>
      </c>
      <c r="H266" s="40">
        <f t="shared" si="83"/>
        <v>-3.8461538461538464E-2</v>
      </c>
      <c r="I266" s="196" t="s">
        <v>582</v>
      </c>
      <c r="J266" s="21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497"/>
      <c r="W266" s="497"/>
      <c r="X266" s="198">
        <f>ROUND(SUM(W267:X271),-3)</f>
        <v>30000000</v>
      </c>
      <c r="Y266" s="199" t="s">
        <v>57</v>
      </c>
      <c r="Z266" s="6"/>
    </row>
    <row r="267" spans="1:26" s="11" customFormat="1" ht="19.5" customHeight="1">
      <c r="A267" s="62"/>
      <c r="B267" s="98"/>
      <c r="C267" s="47"/>
      <c r="D267" s="47"/>
      <c r="E267" s="49"/>
      <c r="F267" s="49"/>
      <c r="G267" s="50"/>
      <c r="H267" s="32"/>
      <c r="I267" s="69" t="s">
        <v>592</v>
      </c>
      <c r="J267" s="333"/>
      <c r="K267" s="333"/>
      <c r="L267" s="333"/>
      <c r="M267" s="333">
        <v>50000</v>
      </c>
      <c r="N267" s="333" t="s">
        <v>583</v>
      </c>
      <c r="O267" s="334" t="s">
        <v>584</v>
      </c>
      <c r="P267" s="333">
        <v>31</v>
      </c>
      <c r="Q267" s="334" t="s">
        <v>585</v>
      </c>
      <c r="R267" s="334" t="s">
        <v>584</v>
      </c>
      <c r="S267" s="333">
        <v>12</v>
      </c>
      <c r="T267" s="333" t="s">
        <v>586</v>
      </c>
      <c r="U267" s="367" t="s">
        <v>587</v>
      </c>
      <c r="V267" s="367"/>
      <c r="W267" s="334"/>
      <c r="X267" s="333">
        <f>ROUND(M267*P267*S267,-3)</f>
        <v>18600000</v>
      </c>
      <c r="Y267" s="59" t="s">
        <v>583</v>
      </c>
      <c r="Z267" s="6"/>
    </row>
    <row r="268" spans="1:26" s="11" customFormat="1" ht="19.5" customHeight="1">
      <c r="A268" s="62"/>
      <c r="B268" s="98"/>
      <c r="C268" s="47"/>
      <c r="D268" s="47"/>
      <c r="E268" s="49"/>
      <c r="F268" s="49"/>
      <c r="G268" s="50"/>
      <c r="H268" s="32"/>
      <c r="I268" s="69" t="s">
        <v>588</v>
      </c>
      <c r="J268" s="333"/>
      <c r="K268" s="333"/>
      <c r="L268" s="333"/>
      <c r="M268" s="333">
        <v>50000</v>
      </c>
      <c r="N268" s="333" t="s">
        <v>583</v>
      </c>
      <c r="O268" s="334" t="s">
        <v>584</v>
      </c>
      <c r="P268" s="333">
        <v>12</v>
      </c>
      <c r="Q268" s="334" t="s">
        <v>585</v>
      </c>
      <c r="R268" s="334" t="s">
        <v>584</v>
      </c>
      <c r="S268" s="333">
        <v>12</v>
      </c>
      <c r="T268" s="333" t="s">
        <v>586</v>
      </c>
      <c r="U268" s="367" t="s">
        <v>587</v>
      </c>
      <c r="V268" s="367"/>
      <c r="W268" s="334"/>
      <c r="X268" s="333">
        <f>ROUND(M268*P268*S268,-3)</f>
        <v>7200000</v>
      </c>
      <c r="Y268" s="59" t="s">
        <v>583</v>
      </c>
      <c r="Z268" s="6"/>
    </row>
    <row r="269" spans="1:26" s="11" customFormat="1" ht="19.5" customHeight="1">
      <c r="A269" s="62"/>
      <c r="B269" s="98"/>
      <c r="C269" s="47"/>
      <c r="D269" s="47"/>
      <c r="E269" s="49"/>
      <c r="F269" s="49"/>
      <c r="G269" s="50"/>
      <c r="H269" s="32"/>
      <c r="I269" s="69" t="s">
        <v>589</v>
      </c>
      <c r="J269" s="333"/>
      <c r="K269" s="333"/>
      <c r="L269" s="333"/>
      <c r="M269" s="333">
        <v>150000</v>
      </c>
      <c r="N269" s="333" t="s">
        <v>583</v>
      </c>
      <c r="O269" s="334" t="s">
        <v>584</v>
      </c>
      <c r="P269" s="333">
        <v>12</v>
      </c>
      <c r="Q269" s="334" t="s">
        <v>586</v>
      </c>
      <c r="R269" s="334"/>
      <c r="S269" s="333"/>
      <c r="T269" s="333"/>
      <c r="U269" s="367" t="s">
        <v>587</v>
      </c>
      <c r="V269" s="367"/>
      <c r="W269" s="334"/>
      <c r="X269" s="333">
        <f>M269*P269</f>
        <v>1800000</v>
      </c>
      <c r="Y269" s="59" t="s">
        <v>583</v>
      </c>
      <c r="Z269" s="6"/>
    </row>
    <row r="270" spans="1:26" s="11" customFormat="1" ht="19.5" customHeight="1">
      <c r="A270" s="62"/>
      <c r="B270" s="98"/>
      <c r="C270" s="47"/>
      <c r="D270" s="47"/>
      <c r="E270" s="49"/>
      <c r="F270" s="49"/>
      <c r="G270" s="50"/>
      <c r="H270" s="32"/>
      <c r="I270" s="69" t="s">
        <v>590</v>
      </c>
      <c r="J270" s="333"/>
      <c r="K270" s="333"/>
      <c r="L270" s="333"/>
      <c r="M270" s="333">
        <v>70000</v>
      </c>
      <c r="N270" s="333" t="s">
        <v>583</v>
      </c>
      <c r="O270" s="334" t="s">
        <v>584</v>
      </c>
      <c r="P270" s="333">
        <v>20</v>
      </c>
      <c r="Q270" s="334" t="s">
        <v>585</v>
      </c>
      <c r="R270" s="334" t="s">
        <v>584</v>
      </c>
      <c r="S270" s="333"/>
      <c r="T270" s="333"/>
      <c r="U270" s="367" t="s">
        <v>587</v>
      </c>
      <c r="V270" s="367"/>
      <c r="W270" s="334"/>
      <c r="X270" s="333">
        <f>ROUND(M270*P270,-3)</f>
        <v>1400000</v>
      </c>
      <c r="Y270" s="59" t="s">
        <v>583</v>
      </c>
      <c r="Z270" s="6"/>
    </row>
    <row r="271" spans="1:26" s="11" customFormat="1" ht="19.5" customHeight="1">
      <c r="A271" s="62"/>
      <c r="B271" s="98"/>
      <c r="C271" s="47"/>
      <c r="D271" s="47"/>
      <c r="E271" s="49"/>
      <c r="F271" s="49"/>
      <c r="G271" s="50"/>
      <c r="H271" s="32"/>
      <c r="I271" s="69" t="s">
        <v>591</v>
      </c>
      <c r="J271" s="333"/>
      <c r="K271" s="333"/>
      <c r="L271" s="333"/>
      <c r="M271" s="333"/>
      <c r="N271" s="333"/>
      <c r="O271" s="334"/>
      <c r="P271" s="333"/>
      <c r="Q271" s="334"/>
      <c r="R271" s="334"/>
      <c r="S271" s="333"/>
      <c r="T271" s="333"/>
      <c r="U271" s="367"/>
      <c r="V271" s="367"/>
      <c r="W271" s="334"/>
      <c r="X271" s="333">
        <v>1000000</v>
      </c>
      <c r="Y271" s="59" t="s">
        <v>583</v>
      </c>
      <c r="Z271" s="6"/>
    </row>
    <row r="272" spans="1:26" s="11" customFormat="1" ht="19.5" customHeight="1" thickBot="1">
      <c r="A272" s="111"/>
      <c r="B272" s="112"/>
      <c r="C272" s="112"/>
      <c r="D272" s="113"/>
      <c r="E272" s="114"/>
      <c r="F272" s="114"/>
      <c r="G272" s="115"/>
      <c r="H272" s="116"/>
      <c r="I272" s="65"/>
      <c r="J272" s="67"/>
      <c r="K272" s="67"/>
      <c r="L272" s="67"/>
      <c r="M272" s="67"/>
      <c r="N272" s="67"/>
      <c r="O272" s="66"/>
      <c r="P272" s="67"/>
      <c r="Q272" s="66"/>
      <c r="R272" s="66"/>
      <c r="S272" s="67"/>
      <c r="T272" s="67"/>
      <c r="U272" s="117"/>
      <c r="V272" s="117"/>
      <c r="W272" s="66"/>
      <c r="X272" s="67"/>
      <c r="Y272" s="68"/>
      <c r="Z272" s="6"/>
    </row>
    <row r="283" spans="26:26" ht="19.5" customHeight="1">
      <c r="Z283" s="6" t="s">
        <v>67</v>
      </c>
    </row>
  </sheetData>
  <mergeCells count="50">
    <mergeCell ref="V266:W266"/>
    <mergeCell ref="V154:W154"/>
    <mergeCell ref="Q173:W173"/>
    <mergeCell ref="Q182:W182"/>
    <mergeCell ref="Q189:W189"/>
    <mergeCell ref="Q193:W193"/>
    <mergeCell ref="Q202:W202"/>
    <mergeCell ref="V172:W172"/>
    <mergeCell ref="V220:W220"/>
    <mergeCell ref="V242:W242"/>
    <mergeCell ref="V233:W233"/>
    <mergeCell ref="V237:W237"/>
    <mergeCell ref="V254:W254"/>
    <mergeCell ref="Q186:W186"/>
    <mergeCell ref="C215:D215"/>
    <mergeCell ref="V217:W217"/>
    <mergeCell ref="C249:D249"/>
    <mergeCell ref="V251:W251"/>
    <mergeCell ref="F2:F3"/>
    <mergeCell ref="C11:D11"/>
    <mergeCell ref="C146:D146"/>
    <mergeCell ref="C159:D159"/>
    <mergeCell ref="V161:W161"/>
    <mergeCell ref="C166:D166"/>
    <mergeCell ref="G2:H2"/>
    <mergeCell ref="I2:Y3"/>
    <mergeCell ref="V148:W148"/>
    <mergeCell ref="V168:W168"/>
    <mergeCell ref="V27:W27"/>
    <mergeCell ref="V28:W28"/>
    <mergeCell ref="V88:W88"/>
    <mergeCell ref="V89:W89"/>
    <mergeCell ref="V39:W39"/>
    <mergeCell ref="V40:W40"/>
    <mergeCell ref="A1:D1"/>
    <mergeCell ref="A2:D2"/>
    <mergeCell ref="E2:E3"/>
    <mergeCell ref="A4:D4"/>
    <mergeCell ref="V26:W26"/>
    <mergeCell ref="V56:W56"/>
    <mergeCell ref="V57:W57"/>
    <mergeCell ref="V58:W58"/>
    <mergeCell ref="V59:W59"/>
    <mergeCell ref="V87:W87"/>
    <mergeCell ref="V117:W117"/>
    <mergeCell ref="V118:W118"/>
    <mergeCell ref="V119:W119"/>
    <mergeCell ref="V120:W120"/>
    <mergeCell ref="V100:W100"/>
    <mergeCell ref="V101:W10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2"/>
  <sheetViews>
    <sheetView topLeftCell="M1" workbookViewId="0">
      <selection activeCell="AD6" sqref="A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6" width="10.21875" style="18" bestFit="1" customWidth="1"/>
    <col min="7" max="7" width="8.6640625" style="18" bestFit="1" customWidth="1"/>
    <col min="8" max="10" width="7.77734375" style="18" bestFit="1" customWidth="1"/>
    <col min="11" max="11" width="8.5546875" style="18" bestFit="1" customWidth="1"/>
    <col min="12" max="12" width="7.77734375" style="18" customWidth="1"/>
    <col min="13" max="13" width="6.6640625" style="18" bestFit="1" customWidth="1"/>
    <col min="14" max="14" width="6.77734375" style="245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77734375" style="5" bestFit="1" customWidth="1"/>
    <col min="20" max="20" width="3.21875" style="5" bestFit="1" customWidth="1"/>
    <col min="21" max="21" width="4" style="5" bestFit="1" customWidth="1"/>
    <col min="22" max="22" width="6.777343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87" t="s">
        <v>714</v>
      </c>
      <c r="B1" s="487"/>
      <c r="C1" s="487"/>
      <c r="D1" s="487"/>
      <c r="E1" s="118"/>
      <c r="F1" s="118"/>
      <c r="G1" s="118"/>
      <c r="H1" s="118"/>
      <c r="I1" s="118"/>
      <c r="J1" s="118"/>
      <c r="K1" s="118"/>
      <c r="L1" s="118"/>
      <c r="M1" s="118"/>
      <c r="N1" s="227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488" t="s">
        <v>22</v>
      </c>
      <c r="B2" s="489"/>
      <c r="C2" s="489"/>
      <c r="D2" s="531" t="s">
        <v>721</v>
      </c>
      <c r="E2" s="531" t="s">
        <v>716</v>
      </c>
      <c r="F2" s="533"/>
      <c r="G2" s="533"/>
      <c r="H2" s="533"/>
      <c r="I2" s="533"/>
      <c r="J2" s="533"/>
      <c r="K2" s="533"/>
      <c r="L2" s="534"/>
      <c r="M2" s="500" t="s">
        <v>23</v>
      </c>
      <c r="N2" s="500"/>
      <c r="O2" s="512" t="s">
        <v>54</v>
      </c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  <c r="AD2" s="513"/>
      <c r="AE2" s="51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32"/>
      <c r="E3" s="202" t="s">
        <v>230</v>
      </c>
      <c r="F3" s="248" t="s">
        <v>332</v>
      </c>
      <c r="G3" s="248" t="s">
        <v>333</v>
      </c>
      <c r="H3" s="202" t="s">
        <v>227</v>
      </c>
      <c r="I3" s="202" t="s">
        <v>64</v>
      </c>
      <c r="J3" s="202" t="s">
        <v>225</v>
      </c>
      <c r="K3" s="202" t="s">
        <v>228</v>
      </c>
      <c r="L3" s="202" t="s">
        <v>65</v>
      </c>
      <c r="M3" s="201" t="s">
        <v>231</v>
      </c>
      <c r="N3" s="119" t="s">
        <v>4</v>
      </c>
      <c r="O3" s="515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7"/>
    </row>
    <row r="4" spans="1:32" s="11" customFormat="1" ht="21" customHeight="1">
      <c r="A4" s="529" t="s">
        <v>31</v>
      </c>
      <c r="B4" s="530"/>
      <c r="C4" s="530"/>
      <c r="D4" s="220">
        <f t="shared" ref="D4:L4" si="0">SUM(D5,D182,D203,D323,D337,D341)</f>
        <v>1664373</v>
      </c>
      <c r="E4" s="220">
        <f t="shared" si="0"/>
        <v>1787572</v>
      </c>
      <c r="F4" s="220">
        <f t="shared" si="0"/>
        <v>1283954</v>
      </c>
      <c r="G4" s="220">
        <f t="shared" si="0"/>
        <v>197902</v>
      </c>
      <c r="H4" s="220">
        <f t="shared" si="0"/>
        <v>22833</v>
      </c>
      <c r="I4" s="220">
        <f t="shared" si="0"/>
        <v>103660</v>
      </c>
      <c r="J4" s="220">
        <f t="shared" si="0"/>
        <v>105030</v>
      </c>
      <c r="K4" s="220">
        <f t="shared" si="0"/>
        <v>32173</v>
      </c>
      <c r="L4" s="220">
        <f t="shared" si="0"/>
        <v>42020</v>
      </c>
      <c r="M4" s="219">
        <f>E4-D4</f>
        <v>123199</v>
      </c>
      <c r="N4" s="221">
        <f>IF(D4=0,0,M4/D4)</f>
        <v>7.4021268069116714E-2</v>
      </c>
      <c r="O4" s="222" t="s">
        <v>289</v>
      </c>
      <c r="P4" s="223"/>
      <c r="Q4" s="223"/>
      <c r="R4" s="223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>
        <f>SUM(AD5,AD182,AD203,AD323,AD337,AD341)</f>
        <v>1787572000</v>
      </c>
      <c r="AE4" s="225" t="s">
        <v>25</v>
      </c>
      <c r="AF4" s="2"/>
    </row>
    <row r="5" spans="1:32" s="11" customFormat="1" ht="21" customHeight="1">
      <c r="A5" s="125" t="s">
        <v>6</v>
      </c>
      <c r="B5" s="527" t="s">
        <v>7</v>
      </c>
      <c r="C5" s="528"/>
      <c r="D5" s="217">
        <f t="shared" ref="D5:L5" si="1">SUM(D6,D100,D111)</f>
        <v>1339287</v>
      </c>
      <c r="E5" s="217">
        <f t="shared" si="1"/>
        <v>1462599</v>
      </c>
      <c r="F5" s="217">
        <f t="shared" si="1"/>
        <v>1198295</v>
      </c>
      <c r="G5" s="217">
        <f t="shared" si="1"/>
        <v>171665</v>
      </c>
      <c r="H5" s="217">
        <f t="shared" si="1"/>
        <v>0</v>
      </c>
      <c r="I5" s="217">
        <f t="shared" si="1"/>
        <v>14085</v>
      </c>
      <c r="J5" s="217">
        <f t="shared" si="1"/>
        <v>15878</v>
      </c>
      <c r="K5" s="217">
        <f t="shared" si="1"/>
        <v>32168</v>
      </c>
      <c r="L5" s="217">
        <f t="shared" si="1"/>
        <v>30508</v>
      </c>
      <c r="M5" s="120">
        <f>E5-D5</f>
        <v>123312</v>
      </c>
      <c r="N5" s="226">
        <f>IF(D5=0,0,M5/D5)</f>
        <v>9.2072871610043253E-2</v>
      </c>
      <c r="O5" s="251" t="s">
        <v>288</v>
      </c>
      <c r="P5" s="208"/>
      <c r="Q5" s="208"/>
      <c r="R5" s="208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>
        <f>SUM(AD6,AD100,AD111)</f>
        <v>1462599000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29" t="s">
        <v>5</v>
      </c>
      <c r="D6" s="228">
        <f t="shared" ref="D6:L6" si="2">SUM(D7,D16,D20,D42,D55,D82)</f>
        <v>1260360</v>
      </c>
      <c r="E6" s="228">
        <f t="shared" si="2"/>
        <v>1363738</v>
      </c>
      <c r="F6" s="228">
        <f t="shared" si="2"/>
        <v>1150295</v>
      </c>
      <c r="G6" s="228">
        <f t="shared" si="2"/>
        <v>168065</v>
      </c>
      <c r="H6" s="228">
        <f t="shared" si="2"/>
        <v>0</v>
      </c>
      <c r="I6" s="228">
        <f t="shared" si="2"/>
        <v>8412</v>
      </c>
      <c r="J6" s="228">
        <f t="shared" si="2"/>
        <v>0</v>
      </c>
      <c r="K6" s="228">
        <f t="shared" si="2"/>
        <v>26615</v>
      </c>
      <c r="L6" s="228">
        <f t="shared" si="2"/>
        <v>10351</v>
      </c>
      <c r="M6" s="230">
        <f>E6-D6</f>
        <v>103378</v>
      </c>
      <c r="N6" s="231">
        <f>IF(D6=0,0,M6/D6)</f>
        <v>8.2022596718397914E-2</v>
      </c>
      <c r="O6" s="232" t="s">
        <v>287</v>
      </c>
      <c r="P6" s="232"/>
      <c r="Q6" s="232"/>
      <c r="R6" s="232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>
        <f>SUM(AD7,AD16,AD20,AD42,AD55,AD82)</f>
        <v>1363738000</v>
      </c>
      <c r="AE6" s="234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2">
        <v>737644</v>
      </c>
      <c r="E7" s="127">
        <f>ROUND(AD7/1000,0)</f>
        <v>779805</v>
      </c>
      <c r="F7" s="127">
        <f>기본급/1000</f>
        <v>726264</v>
      </c>
      <c r="G7" s="127">
        <f>기본급7종/1000</f>
        <v>43101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42161</v>
      </c>
      <c r="N7" s="134">
        <f>IF(D7=0,0,M7/D7)</f>
        <v>5.715629761782106E-2</v>
      </c>
      <c r="O7" s="129" t="s">
        <v>94</v>
      </c>
      <c r="P7" s="129"/>
      <c r="Q7" s="208"/>
      <c r="R7" s="208"/>
      <c r="S7" s="208"/>
      <c r="T7" s="207"/>
      <c r="U7" s="207"/>
      <c r="V7" s="207"/>
      <c r="W7" s="110" t="s">
        <v>232</v>
      </c>
      <c r="X7" s="110"/>
      <c r="Y7" s="110"/>
      <c r="Z7" s="110"/>
      <c r="AA7" s="110"/>
      <c r="AB7" s="110"/>
      <c r="AC7" s="131"/>
      <c r="AD7" s="131">
        <f>SUM(기본급,기본급7종,기본급법인)</f>
        <v>779805000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10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08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10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274" t="s">
        <v>344</v>
      </c>
      <c r="P9" s="155"/>
      <c r="Q9" s="155"/>
      <c r="R9" s="155"/>
      <c r="S9" s="51"/>
      <c r="T9" s="52"/>
      <c r="U9" s="52"/>
      <c r="V9" s="52"/>
      <c r="W9" s="87" t="s">
        <v>96</v>
      </c>
      <c r="X9" s="87"/>
      <c r="Y9" s="87"/>
      <c r="Z9" s="87"/>
      <c r="AA9" s="87"/>
      <c r="AB9" s="87"/>
      <c r="AC9" s="74"/>
      <c r="AD9" s="74">
        <v>726264000</v>
      </c>
      <c r="AE9" s="75" t="s">
        <v>95</v>
      </c>
      <c r="AF9" s="2"/>
    </row>
    <row r="10" spans="1:32" s="11" customFormat="1" ht="21" customHeight="1">
      <c r="A10" s="46"/>
      <c r="B10" s="47"/>
      <c r="C10" s="47"/>
      <c r="D10" s="210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09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10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204" t="s">
        <v>149</v>
      </c>
      <c r="P11" s="155"/>
      <c r="Q11" s="155"/>
      <c r="R11" s="155"/>
      <c r="S11" s="51"/>
      <c r="T11" s="52"/>
      <c r="U11" s="52"/>
      <c r="V11" s="52"/>
      <c r="W11" s="87" t="s">
        <v>96</v>
      </c>
      <c r="X11" s="87"/>
      <c r="Y11" s="87"/>
      <c r="Z11" s="87"/>
      <c r="AA11" s="87"/>
      <c r="AB11" s="87"/>
      <c r="AC11" s="74"/>
      <c r="AD11" s="74">
        <v>43101000</v>
      </c>
      <c r="AE11" s="75" t="s">
        <v>95</v>
      </c>
      <c r="AF11" s="1"/>
    </row>
    <row r="12" spans="1:32" s="11" customFormat="1" ht="21" customHeight="1">
      <c r="A12" s="46"/>
      <c r="B12" s="47"/>
      <c r="C12" s="47"/>
      <c r="D12" s="210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09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10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4" t="s">
        <v>150</v>
      </c>
      <c r="P13" s="155"/>
      <c r="Q13" s="155"/>
      <c r="R13" s="155"/>
      <c r="S13" s="51"/>
      <c r="T13" s="52"/>
      <c r="U13" s="52"/>
      <c r="V13" s="52"/>
      <c r="W13" s="87" t="s">
        <v>96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95</v>
      </c>
      <c r="AF13" s="1"/>
    </row>
    <row r="14" spans="1:32" s="11" customFormat="1" ht="21" customHeight="1">
      <c r="A14" s="46"/>
      <c r="B14" s="47"/>
      <c r="C14" s="47"/>
      <c r="D14" s="210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10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3"/>
      <c r="W15" s="203"/>
      <c r="X15" s="203"/>
      <c r="Y15" s="203"/>
      <c r="Z15" s="203"/>
      <c r="AA15" s="203"/>
      <c r="AB15" s="203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93</v>
      </c>
      <c r="D16" s="212">
        <v>1500</v>
      </c>
      <c r="E16" s="127">
        <f>ROUND(AD16/1000,0)</f>
        <v>5400</v>
      </c>
      <c r="F16" s="127">
        <v>0</v>
      </c>
      <c r="G16" s="127">
        <f>AD16/1000</f>
        <v>5400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E16-D16</f>
        <v>3900</v>
      </c>
      <c r="N16" s="134">
        <f>IF(D16=0,0,M16/D16)</f>
        <v>2.6</v>
      </c>
      <c r="O16" s="107" t="s">
        <v>97</v>
      </c>
      <c r="P16" s="232"/>
      <c r="Q16" s="103"/>
      <c r="R16" s="103"/>
      <c r="S16" s="103"/>
      <c r="T16" s="97"/>
      <c r="U16" s="97"/>
      <c r="V16" s="207"/>
      <c r="W16" s="110" t="s">
        <v>232</v>
      </c>
      <c r="X16" s="110"/>
      <c r="Y16" s="110"/>
      <c r="Z16" s="110"/>
      <c r="AA16" s="110"/>
      <c r="AB16" s="110"/>
      <c r="AC16" s="131"/>
      <c r="AD16" s="131">
        <f>SUM(AD18)</f>
        <v>5400000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10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08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10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204" t="s">
        <v>151</v>
      </c>
      <c r="P18" s="88"/>
      <c r="Q18" s="51"/>
      <c r="R18" s="51"/>
      <c r="S18" s="143">
        <v>45000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57">
        <v>120</v>
      </c>
      <c r="Z18" s="99" t="s">
        <v>153</v>
      </c>
      <c r="AA18" s="99" t="s">
        <v>53</v>
      </c>
      <c r="AB18" s="52"/>
      <c r="AC18" s="70"/>
      <c r="AD18" s="143">
        <f>S18*V18*Y18</f>
        <v>5400000</v>
      </c>
      <c r="AE18" s="59" t="s">
        <v>95</v>
      </c>
      <c r="AF18" s="1"/>
    </row>
    <row r="19" spans="1:32" s="11" customFormat="1" ht="21" customHeight="1">
      <c r="A19" s="46"/>
      <c r="B19" s="47"/>
      <c r="C19" s="47"/>
      <c r="D19" s="210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37" t="s">
        <v>33</v>
      </c>
      <c r="D20" s="212">
        <v>329966</v>
      </c>
      <c r="E20" s="127">
        <f>ROUND(AD20/1000,0)</f>
        <v>367488</v>
      </c>
      <c r="F20" s="127">
        <f>SUM(AD22,AD26,AD30)/1000</f>
        <v>254001</v>
      </c>
      <c r="G20" s="127">
        <f>SUM(AD23,AD27,AD31,AD33)/1000</f>
        <v>106007</v>
      </c>
      <c r="H20" s="127">
        <v>0</v>
      </c>
      <c r="I20" s="127">
        <v>0</v>
      </c>
      <c r="J20" s="127">
        <v>0</v>
      </c>
      <c r="K20" s="127">
        <f>(AD35+AD39)/1000</f>
        <v>7480</v>
      </c>
      <c r="L20" s="127">
        <v>0</v>
      </c>
      <c r="M20" s="126">
        <f>E20-D20</f>
        <v>37522</v>
      </c>
      <c r="N20" s="134">
        <f>IF(D20=0,0,M20/D20)</f>
        <v>0.1137147463678076</v>
      </c>
      <c r="O20" s="107" t="s">
        <v>34</v>
      </c>
      <c r="P20" s="232"/>
      <c r="Q20" s="103"/>
      <c r="R20" s="103"/>
      <c r="S20" s="103"/>
      <c r="T20" s="97"/>
      <c r="U20" s="97"/>
      <c r="V20" s="97"/>
      <c r="W20" s="233" t="s">
        <v>232</v>
      </c>
      <c r="X20" s="233"/>
      <c r="Y20" s="233"/>
      <c r="Z20" s="233"/>
      <c r="AA20" s="233"/>
      <c r="AB20" s="233"/>
      <c r="AC20" s="235"/>
      <c r="AD20" s="235">
        <f>SUM(명절휴가비,가족수당,연장근로수당,AD33,AD35,AD39)</f>
        <v>367488000</v>
      </c>
      <c r="AE20" s="234" t="s">
        <v>57</v>
      </c>
      <c r="AF20" s="1"/>
    </row>
    <row r="21" spans="1:32" s="11" customFormat="1" ht="21" customHeight="1">
      <c r="A21" s="46"/>
      <c r="B21" s="47"/>
      <c r="C21" s="47"/>
      <c r="D21" s="210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204" t="s">
        <v>217</v>
      </c>
      <c r="P21" s="144"/>
      <c r="Q21" s="144"/>
      <c r="R21" s="144"/>
      <c r="S21" s="144"/>
      <c r="T21" s="143"/>
      <c r="U21" s="143"/>
      <c r="V21" s="143"/>
      <c r="W21" s="154" t="s">
        <v>75</v>
      </c>
      <c r="X21" s="154"/>
      <c r="Y21" s="154"/>
      <c r="Z21" s="154"/>
      <c r="AA21" s="154"/>
      <c r="AB21" s="154"/>
      <c r="AC21" s="74" t="s">
        <v>103</v>
      </c>
      <c r="AD21" s="74">
        <f>ROUND(SUM(AD22:AD23),-3)</f>
        <v>76736000</v>
      </c>
      <c r="AE21" s="75" t="s">
        <v>57</v>
      </c>
      <c r="AF21" s="17"/>
    </row>
    <row r="22" spans="1:32" s="11" customFormat="1" ht="21" customHeight="1">
      <c r="A22" s="46"/>
      <c r="B22" s="47"/>
      <c r="C22" s="47"/>
      <c r="D22" s="210"/>
      <c r="E22" s="121"/>
      <c r="F22" s="121"/>
      <c r="G22" s="121"/>
      <c r="H22" s="121"/>
      <c r="I22" s="121"/>
      <c r="J22" s="121"/>
      <c r="K22" s="121"/>
      <c r="L22" s="121"/>
      <c r="M22" s="121"/>
      <c r="N22" s="72"/>
      <c r="O22" s="273" t="s">
        <v>345</v>
      </c>
      <c r="P22" s="144"/>
      <c r="Q22" s="144"/>
      <c r="R22" s="144"/>
      <c r="S22" s="144"/>
      <c r="T22" s="143"/>
      <c r="U22" s="143"/>
      <c r="V22" s="143"/>
      <c r="W22" s="143"/>
      <c r="X22" s="143"/>
      <c r="Y22" s="143"/>
      <c r="Z22" s="143"/>
      <c r="AA22" s="143"/>
      <c r="AB22" s="143"/>
      <c r="AC22" s="70"/>
      <c r="AD22" s="70">
        <v>72407000</v>
      </c>
      <c r="AE22" s="59" t="s">
        <v>69</v>
      </c>
      <c r="AF22" s="17"/>
    </row>
    <row r="23" spans="1:32" s="11" customFormat="1" ht="21" customHeight="1">
      <c r="A23" s="46"/>
      <c r="B23" s="47"/>
      <c r="C23" s="47"/>
      <c r="D23" s="210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206" t="s">
        <v>154</v>
      </c>
      <c r="P23" s="144"/>
      <c r="Q23" s="144"/>
      <c r="R23" s="144"/>
      <c r="S23" s="144"/>
      <c r="T23" s="143"/>
      <c r="U23" s="143"/>
      <c r="V23" s="143"/>
      <c r="W23" s="143"/>
      <c r="X23" s="143"/>
      <c r="Y23" s="143"/>
      <c r="Z23" s="143"/>
      <c r="AA23" s="143"/>
      <c r="AB23" s="143"/>
      <c r="AC23" s="70"/>
      <c r="AD23" s="70">
        <v>4329000</v>
      </c>
      <c r="AE23" s="59" t="s">
        <v>69</v>
      </c>
      <c r="AF23" s="17"/>
    </row>
    <row r="24" spans="1:32" s="11" customFormat="1" ht="21" customHeight="1">
      <c r="A24" s="46"/>
      <c r="B24" s="47"/>
      <c r="C24" s="47"/>
      <c r="D24" s="210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06"/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/>
      <c r="AE24" s="59"/>
      <c r="AF24" s="17"/>
    </row>
    <row r="25" spans="1:32" s="11" customFormat="1" ht="21" customHeight="1">
      <c r="A25" s="46"/>
      <c r="B25" s="47"/>
      <c r="C25" s="47"/>
      <c r="D25" s="210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04" t="s">
        <v>218</v>
      </c>
      <c r="P25" s="144"/>
      <c r="Q25" s="144"/>
      <c r="R25" s="144"/>
      <c r="S25" s="144"/>
      <c r="T25" s="143"/>
      <c r="U25" s="143"/>
      <c r="V25" s="143"/>
      <c r="W25" s="154" t="s">
        <v>75</v>
      </c>
      <c r="X25" s="154"/>
      <c r="Y25" s="154"/>
      <c r="Z25" s="154"/>
      <c r="AA25" s="154"/>
      <c r="AB25" s="154"/>
      <c r="AC25" s="74" t="s">
        <v>103</v>
      </c>
      <c r="AD25" s="74">
        <f>SUM(AD26:AD27)</f>
        <v>8400000</v>
      </c>
      <c r="AE25" s="75" t="s">
        <v>57</v>
      </c>
      <c r="AF25" s="17"/>
    </row>
    <row r="26" spans="1:32" s="11" customFormat="1" ht="21" customHeight="1">
      <c r="A26" s="46"/>
      <c r="B26" s="47"/>
      <c r="C26" s="47"/>
      <c r="D26" s="210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06" t="s">
        <v>183</v>
      </c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>
        <v>7200000</v>
      </c>
      <c r="AE26" s="59" t="s">
        <v>69</v>
      </c>
      <c r="AF26" s="17"/>
    </row>
    <row r="27" spans="1:32" s="11" customFormat="1" ht="21" customHeight="1">
      <c r="A27" s="46"/>
      <c r="B27" s="47"/>
      <c r="C27" s="47"/>
      <c r="D27" s="210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6" t="s">
        <v>154</v>
      </c>
      <c r="P27" s="144"/>
      <c r="Q27" s="144"/>
      <c r="R27" s="144"/>
      <c r="S27" s="144"/>
      <c r="T27" s="143"/>
      <c r="U27" s="143"/>
      <c r="V27" s="143"/>
      <c r="W27" s="143"/>
      <c r="X27" s="143"/>
      <c r="Y27" s="143"/>
      <c r="Z27" s="143"/>
      <c r="AA27" s="143"/>
      <c r="AB27" s="143"/>
      <c r="AC27" s="70"/>
      <c r="AD27" s="70">
        <v>1200000</v>
      </c>
      <c r="AE27" s="59" t="s">
        <v>69</v>
      </c>
      <c r="AF27" s="17"/>
    </row>
    <row r="28" spans="1:32" s="11" customFormat="1" ht="21" customHeight="1">
      <c r="A28" s="46"/>
      <c r="B28" s="47"/>
      <c r="C28" s="47"/>
      <c r="D28" s="210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06"/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/>
      <c r="AE28" s="59"/>
      <c r="AF28" s="17"/>
    </row>
    <row r="29" spans="1:32" s="11" customFormat="1" ht="21" customHeight="1">
      <c r="A29" s="46"/>
      <c r="B29" s="47"/>
      <c r="C29" s="47"/>
      <c r="D29" s="210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204" t="s">
        <v>219</v>
      </c>
      <c r="P29" s="144"/>
      <c r="Q29" s="144"/>
      <c r="R29" s="144"/>
      <c r="S29" s="144"/>
      <c r="T29" s="143"/>
      <c r="U29" s="143"/>
      <c r="V29" s="143"/>
      <c r="W29" s="154" t="s">
        <v>75</v>
      </c>
      <c r="X29" s="154"/>
      <c r="Y29" s="154"/>
      <c r="Z29" s="154"/>
      <c r="AA29" s="154"/>
      <c r="AB29" s="154"/>
      <c r="AC29" s="74" t="s">
        <v>103</v>
      </c>
      <c r="AD29" s="74">
        <f>ROUND(SUM(AD30:AD31),-3)</f>
        <v>184322000</v>
      </c>
      <c r="AE29" s="75" t="s">
        <v>57</v>
      </c>
      <c r="AF29" s="17"/>
    </row>
    <row r="30" spans="1:32" s="11" customFormat="1" ht="21" customHeight="1">
      <c r="A30" s="46"/>
      <c r="B30" s="47"/>
      <c r="C30" s="47"/>
      <c r="D30" s="210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206" t="s">
        <v>183</v>
      </c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>
        <v>174394000</v>
      </c>
      <c r="AE30" s="59" t="s">
        <v>69</v>
      </c>
      <c r="AF30" s="17"/>
    </row>
    <row r="31" spans="1:32" s="11" customFormat="1" ht="21" customHeight="1">
      <c r="A31" s="46"/>
      <c r="B31" s="47"/>
      <c r="C31" s="47"/>
      <c r="D31" s="210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206" t="s">
        <v>154</v>
      </c>
      <c r="P31" s="144"/>
      <c r="Q31" s="144"/>
      <c r="R31" s="144"/>
      <c r="S31" s="144"/>
      <c r="T31" s="143"/>
      <c r="U31" s="143"/>
      <c r="V31" s="143"/>
      <c r="W31" s="143"/>
      <c r="X31" s="143"/>
      <c r="Y31" s="143"/>
      <c r="Z31" s="143"/>
      <c r="AA31" s="143"/>
      <c r="AB31" s="143"/>
      <c r="AC31" s="70"/>
      <c r="AD31" s="70">
        <v>9928000</v>
      </c>
      <c r="AE31" s="59" t="s">
        <v>69</v>
      </c>
      <c r="AF31" s="17"/>
    </row>
    <row r="32" spans="1:32" s="11" customFormat="1" ht="21" customHeight="1">
      <c r="A32" s="46"/>
      <c r="B32" s="47"/>
      <c r="C32" s="47"/>
      <c r="D32" s="210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206"/>
      <c r="P32" s="51"/>
      <c r="Q32" s="51"/>
      <c r="R32" s="51"/>
      <c r="S32" s="51"/>
      <c r="T32" s="52"/>
      <c r="U32" s="52"/>
      <c r="V32" s="52"/>
      <c r="W32" s="52"/>
      <c r="X32" s="52"/>
      <c r="Y32" s="52"/>
      <c r="Z32" s="52"/>
      <c r="AA32" s="52"/>
      <c r="AB32" s="52"/>
      <c r="AC32" s="70"/>
      <c r="AD32" s="70"/>
      <c r="AE32" s="59"/>
      <c r="AF32" s="17"/>
    </row>
    <row r="33" spans="1:32" s="11" customFormat="1" ht="21" customHeight="1">
      <c r="A33" s="46"/>
      <c r="B33" s="47"/>
      <c r="C33" s="47"/>
      <c r="D33" s="210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434" t="s">
        <v>695</v>
      </c>
      <c r="P33" s="51"/>
      <c r="Q33" s="51"/>
      <c r="R33" s="51"/>
      <c r="S33" s="51"/>
      <c r="T33" s="52"/>
      <c r="U33" s="52"/>
      <c r="V33" s="52"/>
      <c r="W33" s="87" t="s">
        <v>104</v>
      </c>
      <c r="X33" s="87"/>
      <c r="Y33" s="87"/>
      <c r="Z33" s="87"/>
      <c r="AA33" s="87"/>
      <c r="AB33" s="87"/>
      <c r="AC33" s="74" t="s">
        <v>106</v>
      </c>
      <c r="AD33" s="74">
        <v>90550000</v>
      </c>
      <c r="AE33" s="75" t="s">
        <v>105</v>
      </c>
      <c r="AF33" s="17"/>
    </row>
    <row r="34" spans="1:32" s="11" customFormat="1" ht="21" customHeight="1">
      <c r="A34" s="46"/>
      <c r="B34" s="47"/>
      <c r="C34" s="47"/>
      <c r="D34" s="210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06"/>
      <c r="P34" s="194"/>
      <c r="Q34" s="194"/>
      <c r="R34" s="194"/>
      <c r="S34" s="194"/>
      <c r="T34" s="193"/>
      <c r="U34" s="193"/>
      <c r="V34" s="193"/>
      <c r="W34" s="193"/>
      <c r="X34" s="193"/>
      <c r="Y34" s="193"/>
      <c r="Z34" s="193"/>
      <c r="AA34" s="193"/>
      <c r="AB34" s="193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10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04" t="s">
        <v>220</v>
      </c>
      <c r="P35" s="194"/>
      <c r="Q35" s="194"/>
      <c r="R35" s="194"/>
      <c r="S35" s="194"/>
      <c r="T35" s="193"/>
      <c r="U35" s="193"/>
      <c r="V35" s="193"/>
      <c r="W35" s="192" t="s">
        <v>75</v>
      </c>
      <c r="X35" s="192"/>
      <c r="Y35" s="192"/>
      <c r="Z35" s="192"/>
      <c r="AA35" s="192"/>
      <c r="AB35" s="192"/>
      <c r="AC35" s="74" t="s">
        <v>62</v>
      </c>
      <c r="AD35" s="74">
        <f>SUM(AD36:AD37)</f>
        <v>5400000</v>
      </c>
      <c r="AE35" s="75" t="s">
        <v>57</v>
      </c>
      <c r="AF35" s="17"/>
    </row>
    <row r="36" spans="1:32" s="11" customFormat="1" ht="21" customHeight="1">
      <c r="A36" s="46"/>
      <c r="B36" s="47"/>
      <c r="C36" s="47"/>
      <c r="D36" s="210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518" t="s">
        <v>786</v>
      </c>
      <c r="P36" s="519"/>
      <c r="Q36" s="193"/>
      <c r="R36" s="193"/>
      <c r="S36" s="193">
        <v>150000</v>
      </c>
      <c r="T36" s="193" t="s">
        <v>57</v>
      </c>
      <c r="U36" s="194" t="s">
        <v>58</v>
      </c>
      <c r="V36" s="193">
        <v>1</v>
      </c>
      <c r="W36" s="193" t="s">
        <v>56</v>
      </c>
      <c r="X36" s="194" t="s">
        <v>58</v>
      </c>
      <c r="Y36" s="57">
        <v>12</v>
      </c>
      <c r="Z36" s="191" t="s">
        <v>29</v>
      </c>
      <c r="AA36" s="191" t="s">
        <v>53</v>
      </c>
      <c r="AB36" s="191"/>
      <c r="AC36" s="194"/>
      <c r="AD36" s="193">
        <f t="shared" ref="AD36:AD37" si="3">S36*V36*Y36</f>
        <v>1800000</v>
      </c>
      <c r="AE36" s="59" t="s">
        <v>57</v>
      </c>
      <c r="AF36" s="17"/>
    </row>
    <row r="37" spans="1:32" s="11" customFormat="1" ht="21" customHeight="1">
      <c r="A37" s="46"/>
      <c r="B37" s="47"/>
      <c r="C37" s="47"/>
      <c r="D37" s="210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518" t="s">
        <v>752</v>
      </c>
      <c r="P37" s="519"/>
      <c r="Q37" s="193"/>
      <c r="R37" s="193"/>
      <c r="S37" s="193">
        <v>100000</v>
      </c>
      <c r="T37" s="193" t="s">
        <v>57</v>
      </c>
      <c r="U37" s="194" t="s">
        <v>58</v>
      </c>
      <c r="V37" s="193">
        <v>3</v>
      </c>
      <c r="W37" s="193" t="s">
        <v>56</v>
      </c>
      <c r="X37" s="194" t="s">
        <v>58</v>
      </c>
      <c r="Y37" s="57">
        <v>12</v>
      </c>
      <c r="Z37" s="191" t="s">
        <v>0</v>
      </c>
      <c r="AA37" s="191" t="s">
        <v>53</v>
      </c>
      <c r="AB37" s="191"/>
      <c r="AC37" s="194"/>
      <c r="AD37" s="193">
        <f t="shared" si="3"/>
        <v>3600000</v>
      </c>
      <c r="AE37" s="59" t="s">
        <v>57</v>
      </c>
      <c r="AF37" s="17"/>
    </row>
    <row r="38" spans="1:32" s="11" customFormat="1" ht="21" customHeight="1">
      <c r="A38" s="46"/>
      <c r="B38" s="47"/>
      <c r="C38" s="47"/>
      <c r="D38" s="210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441"/>
      <c r="P38" s="441"/>
      <c r="Q38" s="251"/>
      <c r="R38" s="251"/>
      <c r="S38" s="442"/>
      <c r="T38" s="442"/>
      <c r="U38" s="443"/>
      <c r="V38" s="442"/>
      <c r="W38" s="442"/>
      <c r="X38" s="443"/>
      <c r="Y38" s="57"/>
      <c r="Z38" s="439"/>
      <c r="AA38" s="439"/>
      <c r="AB38" s="439"/>
      <c r="AC38" s="443"/>
      <c r="AD38" s="442"/>
      <c r="AE38" s="59"/>
      <c r="AF38" s="17"/>
    </row>
    <row r="39" spans="1:32" s="11" customFormat="1" ht="21" customHeight="1">
      <c r="A39" s="46"/>
      <c r="B39" s="47"/>
      <c r="C39" s="47"/>
      <c r="D39" s="210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445" t="s">
        <v>756</v>
      </c>
      <c r="P39" s="443"/>
      <c r="Q39" s="443"/>
      <c r="R39" s="443"/>
      <c r="S39" s="443"/>
      <c r="T39" s="442"/>
      <c r="U39" s="442"/>
      <c r="V39" s="442"/>
      <c r="W39" s="444" t="s">
        <v>75</v>
      </c>
      <c r="X39" s="444"/>
      <c r="Y39" s="444"/>
      <c r="Z39" s="444"/>
      <c r="AA39" s="444"/>
      <c r="AB39" s="444"/>
      <c r="AC39" s="74" t="s">
        <v>62</v>
      </c>
      <c r="AD39" s="74">
        <f>AD40</f>
        <v>2080000</v>
      </c>
      <c r="AE39" s="75" t="s">
        <v>57</v>
      </c>
      <c r="AF39" s="17"/>
    </row>
    <row r="40" spans="1:32" s="11" customFormat="1" ht="21" customHeight="1">
      <c r="A40" s="46"/>
      <c r="B40" s="47"/>
      <c r="C40" s="47"/>
      <c r="D40" s="210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535" t="s">
        <v>757</v>
      </c>
      <c r="P40" s="536"/>
      <c r="Q40" s="442"/>
      <c r="R40" s="442"/>
      <c r="S40" s="442">
        <v>40000</v>
      </c>
      <c r="T40" s="442" t="s">
        <v>57</v>
      </c>
      <c r="U40" s="443" t="s">
        <v>58</v>
      </c>
      <c r="V40" s="442">
        <v>52</v>
      </c>
      <c r="W40" s="442" t="s">
        <v>737</v>
      </c>
      <c r="X40" s="443" t="s">
        <v>58</v>
      </c>
      <c r="Y40" s="57">
        <v>12</v>
      </c>
      <c r="Z40" s="439" t="s">
        <v>29</v>
      </c>
      <c r="AA40" s="439" t="s">
        <v>53</v>
      </c>
      <c r="AB40" s="439"/>
      <c r="AC40" s="443"/>
      <c r="AD40" s="442">
        <f>S40*V40</f>
        <v>2080000</v>
      </c>
      <c r="AE40" s="59" t="s">
        <v>57</v>
      </c>
      <c r="AF40" s="17"/>
    </row>
    <row r="41" spans="1:32" s="11" customFormat="1" ht="21" customHeight="1">
      <c r="A41" s="46"/>
      <c r="B41" s="47"/>
      <c r="C41" s="47"/>
      <c r="D41" s="210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206"/>
      <c r="P41" s="51"/>
      <c r="Q41" s="51"/>
      <c r="R41" s="51"/>
      <c r="S41" s="52"/>
      <c r="T41" s="56"/>
      <c r="U41" s="137"/>
      <c r="V41" s="56"/>
      <c r="W41" s="135"/>
      <c r="X41" s="135"/>
      <c r="Y41" s="52"/>
      <c r="Z41" s="52"/>
      <c r="AA41" s="52"/>
      <c r="AB41" s="52"/>
      <c r="AC41" s="52"/>
      <c r="AD41" s="52"/>
      <c r="AE41" s="59"/>
      <c r="AF41" s="17"/>
    </row>
    <row r="42" spans="1:32" s="11" customFormat="1" ht="21" customHeight="1">
      <c r="A42" s="46"/>
      <c r="B42" s="47"/>
      <c r="C42" s="37" t="s">
        <v>9</v>
      </c>
      <c r="D42" s="212">
        <v>88968</v>
      </c>
      <c r="E42" s="127">
        <f>ROUND(AD42/1000,0)</f>
        <v>95609</v>
      </c>
      <c r="F42" s="127">
        <f>AD43/1000</f>
        <v>81689</v>
      </c>
      <c r="G42" s="127">
        <f>AD45/1000</f>
        <v>4880</v>
      </c>
      <c r="H42" s="127">
        <v>0</v>
      </c>
      <c r="I42" s="127">
        <f>AD52/1000</f>
        <v>7546</v>
      </c>
      <c r="J42" s="127">
        <v>0</v>
      </c>
      <c r="K42" s="127">
        <f>AD47/1000</f>
        <v>1494</v>
      </c>
      <c r="L42" s="127">
        <v>0</v>
      </c>
      <c r="M42" s="126">
        <f>E42-D42</f>
        <v>6641</v>
      </c>
      <c r="N42" s="134">
        <f>IF(D42=0,0,M42/D42)</f>
        <v>7.4644816113658849E-2</v>
      </c>
      <c r="O42" s="107" t="s">
        <v>35</v>
      </c>
      <c r="P42" s="232"/>
      <c r="Q42" s="205"/>
      <c r="R42" s="103"/>
      <c r="S42" s="103"/>
      <c r="T42" s="97"/>
      <c r="U42" s="97"/>
      <c r="V42" s="97"/>
      <c r="W42" s="429" t="s">
        <v>678</v>
      </c>
      <c r="X42" s="429"/>
      <c r="Y42" s="429"/>
      <c r="Z42" s="429"/>
      <c r="AA42" s="429"/>
      <c r="AB42" s="429"/>
      <c r="AC42" s="235" t="s">
        <v>679</v>
      </c>
      <c r="AD42" s="235">
        <f>SUM(AD43,AD45,AD47,AD52)</f>
        <v>95609000</v>
      </c>
      <c r="AE42" s="234" t="s">
        <v>680</v>
      </c>
      <c r="AF42" s="2"/>
    </row>
    <row r="43" spans="1:32" s="11" customFormat="1" ht="21" customHeight="1">
      <c r="A43" s="46"/>
      <c r="B43" s="47"/>
      <c r="C43" s="47"/>
      <c r="D43" s="213"/>
      <c r="E43" s="121"/>
      <c r="F43" s="121"/>
      <c r="G43" s="121"/>
      <c r="H43" s="121"/>
      <c r="I43" s="121"/>
      <c r="J43" s="121"/>
      <c r="K43" s="121"/>
      <c r="L43" s="121"/>
      <c r="M43" s="128"/>
      <c r="N43" s="72"/>
      <c r="O43" s="274" t="s">
        <v>346</v>
      </c>
      <c r="P43" s="51"/>
      <c r="Q43" s="51"/>
      <c r="R43" s="51"/>
      <c r="S43" s="51"/>
      <c r="T43" s="52"/>
      <c r="U43" s="52"/>
      <c r="V43" s="52"/>
      <c r="W43" s="87" t="s">
        <v>104</v>
      </c>
      <c r="X43" s="87"/>
      <c r="Y43" s="87"/>
      <c r="Z43" s="87"/>
      <c r="AA43" s="87"/>
      <c r="AB43" s="87"/>
      <c r="AC43" s="74"/>
      <c r="AD43" s="74">
        <f>ROUNDUP(AD44,-3)</f>
        <v>81689000</v>
      </c>
      <c r="AE43" s="75" t="s">
        <v>105</v>
      </c>
      <c r="AF43" s="2"/>
    </row>
    <row r="44" spans="1:32" s="11" customFormat="1" ht="21" customHeight="1">
      <c r="A44" s="46"/>
      <c r="B44" s="47"/>
      <c r="C44" s="47"/>
      <c r="D44" s="213"/>
      <c r="E44" s="121"/>
      <c r="F44" s="121"/>
      <c r="G44" s="121"/>
      <c r="H44" s="121"/>
      <c r="I44" s="121"/>
      <c r="J44" s="121"/>
      <c r="K44" s="121"/>
      <c r="L44" s="121"/>
      <c r="M44" s="128"/>
      <c r="N44" s="72"/>
      <c r="O44" s="206"/>
      <c r="P44" s="51"/>
      <c r="Q44" s="51"/>
      <c r="R44" s="51"/>
      <c r="S44" s="180">
        <v>980265000</v>
      </c>
      <c r="T44" s="99" t="s">
        <v>57</v>
      </c>
      <c r="U44" s="99" t="s">
        <v>77</v>
      </c>
      <c r="V44" s="79">
        <v>12</v>
      </c>
      <c r="W44" s="76" t="s">
        <v>0</v>
      </c>
      <c r="X44" s="143"/>
      <c r="Y44" s="143"/>
      <c r="Z44" s="143"/>
      <c r="AA44" s="143" t="s">
        <v>78</v>
      </c>
      <c r="AB44" s="52"/>
      <c r="AC44" s="70"/>
      <c r="AD44" s="70">
        <f>ROUND(S44/V44,-3)</f>
        <v>81689000</v>
      </c>
      <c r="AE44" s="59" t="s">
        <v>69</v>
      </c>
      <c r="AF44" s="2"/>
    </row>
    <row r="45" spans="1:32" s="11" customFormat="1" ht="21" customHeight="1">
      <c r="A45" s="46"/>
      <c r="B45" s="47"/>
      <c r="C45" s="47"/>
      <c r="D45" s="213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204" t="s">
        <v>155</v>
      </c>
      <c r="P45" s="51"/>
      <c r="Q45" s="51"/>
      <c r="R45" s="51"/>
      <c r="S45" s="51"/>
      <c r="T45" s="52"/>
      <c r="U45" s="52"/>
      <c r="V45" s="52"/>
      <c r="W45" s="87" t="s">
        <v>104</v>
      </c>
      <c r="X45" s="87"/>
      <c r="Y45" s="87"/>
      <c r="Z45" s="87"/>
      <c r="AA45" s="87"/>
      <c r="AB45" s="87"/>
      <c r="AC45" s="74" t="s">
        <v>106</v>
      </c>
      <c r="AD45" s="74">
        <f>ROUNDUP(AD46,-3)</f>
        <v>4880000</v>
      </c>
      <c r="AE45" s="75" t="s">
        <v>105</v>
      </c>
      <c r="AF45" s="2"/>
    </row>
    <row r="46" spans="1:32" s="11" customFormat="1" ht="21" customHeight="1">
      <c r="A46" s="46"/>
      <c r="B46" s="47"/>
      <c r="C46" s="47"/>
      <c r="D46" s="213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206"/>
      <c r="P46" s="51"/>
      <c r="Q46" s="51"/>
      <c r="R46" s="51"/>
      <c r="S46" s="143">
        <v>58558000</v>
      </c>
      <c r="T46" s="99" t="s">
        <v>57</v>
      </c>
      <c r="U46" s="99" t="s">
        <v>77</v>
      </c>
      <c r="V46" s="79">
        <v>12</v>
      </c>
      <c r="W46" s="76" t="s">
        <v>0</v>
      </c>
      <c r="X46" s="143"/>
      <c r="Y46" s="143"/>
      <c r="Z46" s="143"/>
      <c r="AA46" s="143" t="s">
        <v>78</v>
      </c>
      <c r="AB46" s="143"/>
      <c r="AC46" s="70"/>
      <c r="AD46" s="70">
        <f>ROUNDUP(S46/V46,-3)</f>
        <v>4880000</v>
      </c>
      <c r="AE46" s="59" t="s">
        <v>69</v>
      </c>
      <c r="AF46" s="2"/>
    </row>
    <row r="47" spans="1:32" s="11" customFormat="1" ht="21" customHeight="1">
      <c r="A47" s="46"/>
      <c r="B47" s="47"/>
      <c r="C47" s="47"/>
      <c r="D47" s="213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4" t="s">
        <v>221</v>
      </c>
      <c r="P47" s="51"/>
      <c r="Q47" s="51"/>
      <c r="R47" s="51"/>
      <c r="S47" s="51"/>
      <c r="T47" s="52"/>
      <c r="U47" s="52"/>
      <c r="V47" s="52"/>
      <c r="W47" s="87" t="s">
        <v>104</v>
      </c>
      <c r="X47" s="87"/>
      <c r="Y47" s="87"/>
      <c r="Z47" s="87"/>
      <c r="AA47" s="87"/>
      <c r="AB47" s="87"/>
      <c r="AC47" s="74" t="s">
        <v>106</v>
      </c>
      <c r="AD47" s="74">
        <f>SUM(AD48:AD50)</f>
        <v>1494000</v>
      </c>
      <c r="AE47" s="75" t="s">
        <v>105</v>
      </c>
      <c r="AF47" s="2"/>
    </row>
    <row r="48" spans="1:32" s="11" customFormat="1" ht="21" customHeight="1">
      <c r="A48" s="46"/>
      <c r="B48" s="47"/>
      <c r="C48" s="47"/>
      <c r="D48" s="213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06" t="s">
        <v>184</v>
      </c>
      <c r="P48" s="51"/>
      <c r="Q48" s="51"/>
      <c r="R48" s="51"/>
      <c r="S48" s="143">
        <v>10440000</v>
      </c>
      <c r="T48" s="99" t="s">
        <v>57</v>
      </c>
      <c r="U48" s="99" t="s">
        <v>77</v>
      </c>
      <c r="V48" s="79">
        <v>12</v>
      </c>
      <c r="W48" s="76" t="s">
        <v>0</v>
      </c>
      <c r="X48" s="143"/>
      <c r="Y48" s="143"/>
      <c r="Z48" s="143"/>
      <c r="AA48" s="143" t="s">
        <v>78</v>
      </c>
      <c r="AB48" s="143"/>
      <c r="AC48" s="70"/>
      <c r="AD48" s="70">
        <f>S48/V48</f>
        <v>870000</v>
      </c>
      <c r="AE48" s="59" t="s">
        <v>69</v>
      </c>
      <c r="AF48" s="2"/>
    </row>
    <row r="49" spans="1:32" s="11" customFormat="1" ht="21" customHeight="1">
      <c r="A49" s="46"/>
      <c r="B49" s="47"/>
      <c r="C49" s="47"/>
      <c r="D49" s="213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73" t="s">
        <v>347</v>
      </c>
      <c r="P49" s="273"/>
      <c r="Q49" s="273"/>
      <c r="R49" s="273"/>
      <c r="S49" s="272">
        <f>AD35</f>
        <v>5400000</v>
      </c>
      <c r="T49" s="271" t="s">
        <v>57</v>
      </c>
      <c r="U49" s="271" t="s">
        <v>77</v>
      </c>
      <c r="V49" s="79">
        <v>12</v>
      </c>
      <c r="W49" s="76" t="s">
        <v>0</v>
      </c>
      <c r="X49" s="272"/>
      <c r="Y49" s="272"/>
      <c r="Z49" s="272"/>
      <c r="AA49" s="272" t="s">
        <v>53</v>
      </c>
      <c r="AB49" s="272"/>
      <c r="AC49" s="70"/>
      <c r="AD49" s="70">
        <f>S49/V49</f>
        <v>450000</v>
      </c>
      <c r="AE49" s="59" t="s">
        <v>57</v>
      </c>
      <c r="AF49" s="2"/>
    </row>
    <row r="50" spans="1:32" s="11" customFormat="1" ht="21" customHeight="1">
      <c r="A50" s="46"/>
      <c r="B50" s="47"/>
      <c r="C50" s="47"/>
      <c r="D50" s="213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443" t="s">
        <v>755</v>
      </c>
      <c r="P50" s="277"/>
      <c r="Q50" s="277"/>
      <c r="R50" s="277"/>
      <c r="S50" s="276">
        <f>AD40</f>
        <v>2080000</v>
      </c>
      <c r="T50" s="275" t="s">
        <v>57</v>
      </c>
      <c r="U50" s="275" t="s">
        <v>77</v>
      </c>
      <c r="V50" s="79">
        <v>12</v>
      </c>
      <c r="W50" s="76" t="s">
        <v>0</v>
      </c>
      <c r="X50" s="276"/>
      <c r="Y50" s="276"/>
      <c r="Z50" s="276"/>
      <c r="AA50" s="276" t="s">
        <v>53</v>
      </c>
      <c r="AB50" s="276"/>
      <c r="AC50" s="70"/>
      <c r="AD50" s="70">
        <f>ROUNDUP(S50/V50,-3)</f>
        <v>174000</v>
      </c>
      <c r="AE50" s="59" t="s">
        <v>57</v>
      </c>
      <c r="AF50" s="2"/>
    </row>
    <row r="51" spans="1:32" s="11" customFormat="1" ht="21" customHeight="1">
      <c r="A51" s="46"/>
      <c r="B51" s="47"/>
      <c r="C51" s="47"/>
      <c r="D51" s="213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253"/>
      <c r="P51" s="253"/>
      <c r="Q51" s="253"/>
      <c r="R51" s="253"/>
      <c r="S51" s="252"/>
      <c r="T51" s="247"/>
      <c r="U51" s="247"/>
      <c r="V51" s="79"/>
      <c r="W51" s="76"/>
      <c r="X51" s="252"/>
      <c r="Y51" s="252"/>
      <c r="Z51" s="252"/>
      <c r="AA51" s="252"/>
      <c r="AB51" s="252"/>
      <c r="AC51" s="70"/>
      <c r="AD51" s="70"/>
      <c r="AE51" s="59"/>
      <c r="AF51" s="2"/>
    </row>
    <row r="52" spans="1:32" s="11" customFormat="1" ht="21" customHeight="1">
      <c r="A52" s="46"/>
      <c r="B52" s="47"/>
      <c r="C52" s="47"/>
      <c r="D52" s="213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55" t="s">
        <v>328</v>
      </c>
      <c r="P52" s="253"/>
      <c r="Q52" s="253"/>
      <c r="R52" s="253"/>
      <c r="S52" s="253"/>
      <c r="T52" s="252"/>
      <c r="U52" s="252"/>
      <c r="V52" s="252"/>
      <c r="W52" s="254" t="s">
        <v>75</v>
      </c>
      <c r="X52" s="254"/>
      <c r="Y52" s="254"/>
      <c r="Z52" s="254"/>
      <c r="AA52" s="254"/>
      <c r="AB52" s="254"/>
      <c r="AC52" s="74" t="s">
        <v>62</v>
      </c>
      <c r="AD52" s="74">
        <f>ROUND(SUM(AD53:AD53),-3)</f>
        <v>7546000</v>
      </c>
      <c r="AE52" s="75" t="s">
        <v>57</v>
      </c>
      <c r="AF52" s="2"/>
    </row>
    <row r="53" spans="1:32" s="11" customFormat="1" ht="21" customHeight="1">
      <c r="A53" s="46"/>
      <c r="B53" s="47"/>
      <c r="C53" s="47"/>
      <c r="D53" s="213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443" t="s">
        <v>753</v>
      </c>
      <c r="P53" s="443"/>
      <c r="Q53" s="443"/>
      <c r="R53" s="443"/>
      <c r="S53" s="442">
        <f>AD33</f>
        <v>90550000</v>
      </c>
      <c r="T53" s="439" t="s">
        <v>57</v>
      </c>
      <c r="U53" s="439" t="s">
        <v>77</v>
      </c>
      <c r="V53" s="79">
        <v>12</v>
      </c>
      <c r="W53" s="76" t="s">
        <v>0</v>
      </c>
      <c r="X53" s="442"/>
      <c r="Y53" s="442"/>
      <c r="Z53" s="442"/>
      <c r="AA53" s="442" t="s">
        <v>53</v>
      </c>
      <c r="AB53" s="442" t="s">
        <v>754</v>
      </c>
      <c r="AC53" s="70"/>
      <c r="AD53" s="70">
        <f>ROUNDUP(S53/V53,-3)</f>
        <v>7546000</v>
      </c>
      <c r="AE53" s="59" t="s">
        <v>57</v>
      </c>
      <c r="AF53" s="2"/>
    </row>
    <row r="54" spans="1:32" s="11" customFormat="1" ht="21" customHeight="1">
      <c r="A54" s="46"/>
      <c r="B54" s="47"/>
      <c r="C54" s="47"/>
      <c r="D54" s="214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33"/>
      <c r="P54" s="33"/>
      <c r="Q54" s="33"/>
      <c r="R54" s="33"/>
      <c r="S54" s="33"/>
      <c r="T54" s="34"/>
      <c r="U54" s="34"/>
      <c r="V54" s="34"/>
      <c r="W54" s="34"/>
      <c r="X54" s="34"/>
      <c r="Y54" s="34"/>
      <c r="Z54" s="34"/>
      <c r="AA54" s="34"/>
      <c r="AB54" s="34"/>
      <c r="AC54" s="53"/>
      <c r="AD54" s="53"/>
      <c r="AE54" s="35"/>
      <c r="AF54" s="2"/>
    </row>
    <row r="55" spans="1:32" s="11" customFormat="1" ht="21" customHeight="1">
      <c r="A55" s="46"/>
      <c r="B55" s="47"/>
      <c r="C55" s="138" t="s">
        <v>107</v>
      </c>
      <c r="D55" s="212">
        <v>88665</v>
      </c>
      <c r="E55" s="127">
        <f>ROUND(AD55/1000,0)</f>
        <v>94559</v>
      </c>
      <c r="F55" s="127">
        <f>ROUNDUP(SUM(AD58,AD63,AD68,AD73,AD78),-3)/1000</f>
        <v>88341</v>
      </c>
      <c r="G55" s="127">
        <f>ROUNDUP(SUM(AD59,AD64,AD69,AD74,AD79),-3)/1000</f>
        <v>5277</v>
      </c>
      <c r="H55" s="127">
        <v>0</v>
      </c>
      <c r="I55" s="127">
        <v>0</v>
      </c>
      <c r="J55" s="127">
        <v>0</v>
      </c>
      <c r="K55" s="127">
        <f>ROUNDUP(SUM(AD60,AD65,AD70,AD75,AD80),-3)/1000</f>
        <v>941</v>
      </c>
      <c r="L55" s="127">
        <v>0</v>
      </c>
      <c r="M55" s="139">
        <f>E55-D55</f>
        <v>5894</v>
      </c>
      <c r="N55" s="134">
        <f>IF(D55=0,0,M55/D55)</f>
        <v>6.6474933739356007E-2</v>
      </c>
      <c r="O55" s="107" t="s">
        <v>36</v>
      </c>
      <c r="P55" s="232"/>
      <c r="Q55" s="103"/>
      <c r="R55" s="103"/>
      <c r="S55" s="103"/>
      <c r="T55" s="97"/>
      <c r="U55" s="97"/>
      <c r="V55" s="97"/>
      <c r="W55" s="233" t="s">
        <v>232</v>
      </c>
      <c r="X55" s="233"/>
      <c r="Y55" s="233"/>
      <c r="Z55" s="233"/>
      <c r="AA55" s="233"/>
      <c r="AB55" s="233"/>
      <c r="AC55" s="235"/>
      <c r="AD55" s="235">
        <f>SUM(AD57,AD62,AD67,AD72,AD77)</f>
        <v>94559000</v>
      </c>
      <c r="AE55" s="234" t="s">
        <v>25</v>
      </c>
    </row>
    <row r="56" spans="1:32" s="11" customFormat="1" ht="21" customHeight="1">
      <c r="A56" s="46"/>
      <c r="B56" s="47"/>
      <c r="C56" s="47" t="s">
        <v>233</v>
      </c>
      <c r="D56" s="210"/>
      <c r="E56" s="121"/>
      <c r="F56" s="121"/>
      <c r="G56" s="121"/>
      <c r="H56" s="121"/>
      <c r="I56" s="121"/>
      <c r="J56" s="121"/>
      <c r="K56" s="121"/>
      <c r="L56" s="121"/>
      <c r="M56" s="121"/>
      <c r="N56" s="72"/>
      <c r="O56" s="208"/>
      <c r="P56" s="33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53"/>
      <c r="AD56" s="53"/>
      <c r="AE56" s="35"/>
      <c r="AF56" s="2"/>
    </row>
    <row r="57" spans="1:32" s="11" customFormat="1" ht="21" customHeight="1">
      <c r="A57" s="46"/>
      <c r="B57" s="47"/>
      <c r="C57" s="47"/>
      <c r="D57" s="210"/>
      <c r="E57" s="121"/>
      <c r="F57" s="121"/>
      <c r="G57" s="121"/>
      <c r="H57" s="121"/>
      <c r="I57" s="121"/>
      <c r="J57" s="121"/>
      <c r="K57" s="121"/>
      <c r="L57" s="121"/>
      <c r="M57" s="121"/>
      <c r="N57" s="72"/>
      <c r="O57" s="204" t="s">
        <v>156</v>
      </c>
      <c r="P57" s="51"/>
      <c r="Q57" s="51"/>
      <c r="R57" s="51"/>
      <c r="S57" s="51"/>
      <c r="T57" s="52"/>
      <c r="U57" s="52"/>
      <c r="V57" s="52"/>
      <c r="W57" s="87" t="s">
        <v>104</v>
      </c>
      <c r="X57" s="87"/>
      <c r="Y57" s="87"/>
      <c r="Z57" s="87"/>
      <c r="AA57" s="87"/>
      <c r="AB57" s="87"/>
      <c r="AC57" s="74"/>
      <c r="AD57" s="74">
        <f>ROUNDUP(SUM(AD58:AD60),-3)</f>
        <v>47217000</v>
      </c>
      <c r="AE57" s="75" t="s">
        <v>105</v>
      </c>
      <c r="AF57" s="2"/>
    </row>
    <row r="58" spans="1:32" s="11" customFormat="1" ht="21" customHeight="1">
      <c r="A58" s="46"/>
      <c r="B58" s="47"/>
      <c r="C58" s="47"/>
      <c r="D58" s="210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273" t="s">
        <v>345</v>
      </c>
      <c r="P58" s="144"/>
      <c r="Q58" s="144"/>
      <c r="R58" s="144"/>
      <c r="S58" s="252">
        <f>S44</f>
        <v>980265000</v>
      </c>
      <c r="T58" s="247" t="s">
        <v>57</v>
      </c>
      <c r="U58" s="76" t="s">
        <v>58</v>
      </c>
      <c r="V58" s="80">
        <v>0.09</v>
      </c>
      <c r="W58" s="247" t="s">
        <v>77</v>
      </c>
      <c r="X58" s="81">
        <v>2</v>
      </c>
      <c r="Y58" s="78"/>
      <c r="Z58" s="78"/>
      <c r="AA58" s="247" t="s">
        <v>53</v>
      </c>
      <c r="AB58" s="143"/>
      <c r="AC58" s="70"/>
      <c r="AD58" s="70">
        <f>ROUND(S58*V58/X58,-3)</f>
        <v>44112000</v>
      </c>
      <c r="AE58" s="59" t="s">
        <v>69</v>
      </c>
      <c r="AF58" s="2"/>
    </row>
    <row r="59" spans="1:32" s="11" customFormat="1" ht="21" customHeight="1">
      <c r="A59" s="46"/>
      <c r="B59" s="47"/>
      <c r="C59" s="47"/>
      <c r="D59" s="210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206" t="s">
        <v>161</v>
      </c>
      <c r="P59" s="144"/>
      <c r="Q59" s="144"/>
      <c r="R59" s="144"/>
      <c r="S59" s="252">
        <f>S46</f>
        <v>58558000</v>
      </c>
      <c r="T59" s="247" t="s">
        <v>57</v>
      </c>
      <c r="U59" s="76" t="s">
        <v>58</v>
      </c>
      <c r="V59" s="80">
        <v>0.09</v>
      </c>
      <c r="W59" s="247" t="s">
        <v>77</v>
      </c>
      <c r="X59" s="81">
        <v>2</v>
      </c>
      <c r="Y59" s="78"/>
      <c r="Z59" s="78"/>
      <c r="AA59" s="247" t="s">
        <v>53</v>
      </c>
      <c r="AB59" s="143"/>
      <c r="AC59" s="70"/>
      <c r="AD59" s="70">
        <f>ROUND(S59*V59/X59,-3)</f>
        <v>2635000</v>
      </c>
      <c r="AE59" s="59" t="s">
        <v>69</v>
      </c>
      <c r="AF59" s="2"/>
    </row>
    <row r="60" spans="1:32" s="11" customFormat="1" ht="21" customHeight="1">
      <c r="A60" s="46"/>
      <c r="B60" s="47"/>
      <c r="C60" s="47"/>
      <c r="D60" s="210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206" t="s">
        <v>162</v>
      </c>
      <c r="P60" s="144"/>
      <c r="Q60" s="144"/>
      <c r="R60" s="144"/>
      <c r="S60" s="252">
        <v>10440000</v>
      </c>
      <c r="T60" s="247" t="s">
        <v>57</v>
      </c>
      <c r="U60" s="76" t="s">
        <v>58</v>
      </c>
      <c r="V60" s="80">
        <v>0.09</v>
      </c>
      <c r="W60" s="247" t="s">
        <v>77</v>
      </c>
      <c r="X60" s="81">
        <v>2</v>
      </c>
      <c r="Y60" s="78"/>
      <c r="Z60" s="78"/>
      <c r="AA60" s="247" t="s">
        <v>53</v>
      </c>
      <c r="AB60" s="143"/>
      <c r="AC60" s="70"/>
      <c r="AD60" s="70">
        <f t="shared" ref="AD60" si="4">ROUND(S60*V60/X60,-3)</f>
        <v>470000</v>
      </c>
      <c r="AE60" s="59" t="s">
        <v>69</v>
      </c>
      <c r="AF60" s="2"/>
    </row>
    <row r="61" spans="1:32" s="11" customFormat="1" ht="21" customHeight="1">
      <c r="A61" s="46"/>
      <c r="B61" s="47"/>
      <c r="C61" s="47"/>
      <c r="D61" s="210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206"/>
      <c r="P61" s="51"/>
      <c r="Q61" s="51"/>
      <c r="R61" s="51"/>
      <c r="S61" s="51"/>
      <c r="T61" s="52"/>
      <c r="U61" s="52"/>
      <c r="V61" s="52"/>
      <c r="W61" s="52"/>
      <c r="X61" s="52"/>
      <c r="Y61" s="52"/>
      <c r="Z61" s="52"/>
      <c r="AA61" s="52"/>
      <c r="AB61" s="52"/>
      <c r="AC61" s="70"/>
      <c r="AD61" s="70"/>
      <c r="AE61" s="59"/>
      <c r="AF61" s="2"/>
    </row>
    <row r="62" spans="1:32" s="11" customFormat="1" ht="21" customHeight="1">
      <c r="A62" s="46"/>
      <c r="B62" s="47"/>
      <c r="C62" s="47"/>
      <c r="D62" s="210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04" t="s">
        <v>157</v>
      </c>
      <c r="P62" s="51"/>
      <c r="Q62" s="51"/>
      <c r="R62" s="51"/>
      <c r="S62" s="51"/>
      <c r="T62" s="52"/>
      <c r="U62" s="52"/>
      <c r="V62" s="52"/>
      <c r="W62" s="87" t="s">
        <v>104</v>
      </c>
      <c r="X62" s="87"/>
      <c r="Y62" s="87"/>
      <c r="Z62" s="87"/>
      <c r="AA62" s="87"/>
      <c r="AB62" s="87"/>
      <c r="AC62" s="74" t="s">
        <v>106</v>
      </c>
      <c r="AD62" s="74">
        <f>ROUNDUP(SUM(AD63:AD65),-3)</f>
        <v>30901000</v>
      </c>
      <c r="AE62" s="75" t="s">
        <v>105</v>
      </c>
      <c r="AF62" s="2"/>
    </row>
    <row r="63" spans="1:32" s="11" customFormat="1" ht="21" customHeight="1">
      <c r="A63" s="46"/>
      <c r="B63" s="47"/>
      <c r="C63" s="47"/>
      <c r="D63" s="210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273" t="s">
        <v>345</v>
      </c>
      <c r="P63" s="144"/>
      <c r="Q63" s="144"/>
      <c r="R63" s="144"/>
      <c r="S63" s="252">
        <f>S58</f>
        <v>980265000</v>
      </c>
      <c r="T63" s="247" t="s">
        <v>57</v>
      </c>
      <c r="U63" s="76" t="s">
        <v>58</v>
      </c>
      <c r="V63" s="82">
        <v>5.8900000000000001E-2</v>
      </c>
      <c r="W63" s="247" t="s">
        <v>77</v>
      </c>
      <c r="X63" s="258">
        <v>2</v>
      </c>
      <c r="Y63" s="78"/>
      <c r="Z63" s="78"/>
      <c r="AA63" s="247" t="s">
        <v>53</v>
      </c>
      <c r="AB63" s="252"/>
      <c r="AC63" s="70"/>
      <c r="AD63" s="70">
        <f>ROUND(S63*V63/X63,-3)</f>
        <v>28869000</v>
      </c>
      <c r="AE63" s="59" t="s">
        <v>69</v>
      </c>
      <c r="AF63" s="2"/>
    </row>
    <row r="64" spans="1:32" s="11" customFormat="1" ht="21" customHeight="1">
      <c r="A64" s="46"/>
      <c r="B64" s="47"/>
      <c r="C64" s="47"/>
      <c r="D64" s="210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206" t="s">
        <v>161</v>
      </c>
      <c r="P64" s="144"/>
      <c r="Q64" s="144"/>
      <c r="R64" s="144"/>
      <c r="S64" s="252">
        <f>S59</f>
        <v>58558000</v>
      </c>
      <c r="T64" s="143" t="s">
        <v>25</v>
      </c>
      <c r="U64" s="247" t="s">
        <v>26</v>
      </c>
      <c r="V64" s="82">
        <v>5.8900000000000001E-2</v>
      </c>
      <c r="W64" s="143" t="s">
        <v>280</v>
      </c>
      <c r="X64" s="247">
        <v>2</v>
      </c>
      <c r="Y64" s="143"/>
      <c r="Z64" s="143"/>
      <c r="AA64" s="143" t="s">
        <v>27</v>
      </c>
      <c r="AB64" s="143"/>
      <c r="AC64" s="70"/>
      <c r="AD64" s="70">
        <f>ROUNDUP(S64*V64/X64,-3)</f>
        <v>1725000</v>
      </c>
      <c r="AE64" s="59" t="s">
        <v>69</v>
      </c>
      <c r="AF64" s="2"/>
    </row>
    <row r="65" spans="1:32" s="11" customFormat="1" ht="21" customHeight="1">
      <c r="A65" s="46"/>
      <c r="B65" s="47"/>
      <c r="C65" s="47"/>
      <c r="D65" s="210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206" t="s">
        <v>162</v>
      </c>
      <c r="P65" s="144"/>
      <c r="Q65" s="144"/>
      <c r="R65" s="144"/>
      <c r="S65" s="252">
        <v>10440000</v>
      </c>
      <c r="T65" s="143" t="s">
        <v>25</v>
      </c>
      <c r="U65" s="247" t="s">
        <v>26</v>
      </c>
      <c r="V65" s="82">
        <v>5.8900000000000001E-2</v>
      </c>
      <c r="W65" s="143" t="s">
        <v>280</v>
      </c>
      <c r="X65" s="247">
        <v>2</v>
      </c>
      <c r="Y65" s="143"/>
      <c r="Z65" s="143"/>
      <c r="AA65" s="143" t="s">
        <v>27</v>
      </c>
      <c r="AB65" s="143"/>
      <c r="AC65" s="70"/>
      <c r="AD65" s="70">
        <f t="shared" ref="AD65" si="5">ROUND(S65*V65/X65,-3)</f>
        <v>307000</v>
      </c>
      <c r="AE65" s="59" t="s">
        <v>69</v>
      </c>
      <c r="AF65" s="2"/>
    </row>
    <row r="66" spans="1:32" s="11" customFormat="1" ht="21" customHeight="1">
      <c r="A66" s="46"/>
      <c r="B66" s="47"/>
      <c r="C66" s="47"/>
      <c r="D66" s="210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06"/>
      <c r="P66" s="51"/>
      <c r="Q66" s="51"/>
      <c r="R66" s="51"/>
      <c r="S66" s="51"/>
      <c r="T66" s="52"/>
      <c r="U66" s="52"/>
      <c r="V66" s="52"/>
      <c r="W66" s="52"/>
      <c r="X66" s="52"/>
      <c r="Y66" s="52"/>
      <c r="Z66" s="52"/>
      <c r="AA66" s="52"/>
      <c r="AB66" s="52"/>
      <c r="AC66" s="70"/>
      <c r="AD66" s="70"/>
      <c r="AE66" s="59"/>
      <c r="AF66" s="2"/>
    </row>
    <row r="67" spans="1:32" s="11" customFormat="1" ht="21" customHeight="1">
      <c r="A67" s="46"/>
      <c r="B67" s="47"/>
      <c r="C67" s="47"/>
      <c r="D67" s="210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04" t="s">
        <v>158</v>
      </c>
      <c r="P67" s="51"/>
      <c r="Q67" s="51"/>
      <c r="R67" s="51"/>
      <c r="S67" s="51"/>
      <c r="T67" s="52"/>
      <c r="U67" s="52"/>
      <c r="V67" s="52"/>
      <c r="W67" s="87" t="s">
        <v>104</v>
      </c>
      <c r="X67" s="87"/>
      <c r="Y67" s="87"/>
      <c r="Z67" s="87"/>
      <c r="AA67" s="87"/>
      <c r="AB67" s="87"/>
      <c r="AC67" s="74" t="s">
        <v>106</v>
      </c>
      <c r="AD67" s="74">
        <f>ROUNDUP(SUM(AD68:AD70),-3)</f>
        <v>2024000</v>
      </c>
      <c r="AE67" s="75" t="s">
        <v>105</v>
      </c>
      <c r="AF67" s="2"/>
    </row>
    <row r="68" spans="1:32" s="11" customFormat="1" ht="21" customHeight="1">
      <c r="A68" s="46"/>
      <c r="B68" s="47"/>
      <c r="C68" s="47"/>
      <c r="D68" s="210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273" t="s">
        <v>345</v>
      </c>
      <c r="P68" s="144"/>
      <c r="Q68" s="144"/>
      <c r="R68" s="144"/>
      <c r="S68" s="259">
        <f>AD63</f>
        <v>28869000</v>
      </c>
      <c r="T68" s="247" t="s">
        <v>57</v>
      </c>
      <c r="U68" s="76" t="s">
        <v>58</v>
      </c>
      <c r="V68" s="82">
        <v>6.5500000000000003E-2</v>
      </c>
      <c r="W68" s="83"/>
      <c r="X68" s="84"/>
      <c r="Y68" s="85"/>
      <c r="Z68" s="85"/>
      <c r="AA68" s="247" t="s">
        <v>53</v>
      </c>
      <c r="AB68" s="252"/>
      <c r="AC68" s="70"/>
      <c r="AD68" s="70">
        <f>ROUND(S68*V68,-3)</f>
        <v>1891000</v>
      </c>
      <c r="AE68" s="59" t="s">
        <v>69</v>
      </c>
      <c r="AF68" s="2"/>
    </row>
    <row r="69" spans="1:32" s="11" customFormat="1" ht="21" customHeight="1">
      <c r="A69" s="46"/>
      <c r="B69" s="47"/>
      <c r="C69" s="47"/>
      <c r="D69" s="210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206" t="s">
        <v>161</v>
      </c>
      <c r="P69" s="144"/>
      <c r="Q69" s="144"/>
      <c r="R69" s="144"/>
      <c r="S69" s="259">
        <f>AD64</f>
        <v>1725000</v>
      </c>
      <c r="T69" s="247" t="s">
        <v>57</v>
      </c>
      <c r="U69" s="76" t="s">
        <v>58</v>
      </c>
      <c r="V69" s="82">
        <v>6.5500000000000003E-2</v>
      </c>
      <c r="W69" s="83"/>
      <c r="X69" s="84"/>
      <c r="Y69" s="85"/>
      <c r="Z69" s="85"/>
      <c r="AA69" s="247" t="s">
        <v>53</v>
      </c>
      <c r="AB69" s="252"/>
      <c r="AC69" s="70"/>
      <c r="AD69" s="70">
        <f>ROUNDUP(S69*V69,-3)</f>
        <v>113000</v>
      </c>
      <c r="AE69" s="59" t="s">
        <v>69</v>
      </c>
      <c r="AF69" s="2"/>
    </row>
    <row r="70" spans="1:32" s="11" customFormat="1" ht="21" customHeight="1">
      <c r="A70" s="46"/>
      <c r="B70" s="47"/>
      <c r="C70" s="47"/>
      <c r="D70" s="210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206" t="s">
        <v>162</v>
      </c>
      <c r="P70" s="144"/>
      <c r="Q70" s="144"/>
      <c r="R70" s="144"/>
      <c r="S70" s="259">
        <f>AD65</f>
        <v>307000</v>
      </c>
      <c r="T70" s="247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47" t="s">
        <v>53</v>
      </c>
      <c r="AB70" s="252"/>
      <c r="AC70" s="70"/>
      <c r="AD70" s="70">
        <f>ROUND(S70*V70,-3)</f>
        <v>20000</v>
      </c>
      <c r="AE70" s="59" t="s">
        <v>69</v>
      </c>
      <c r="AF70" s="2"/>
    </row>
    <row r="71" spans="1:32" s="11" customFormat="1" ht="21" customHeight="1">
      <c r="A71" s="46"/>
      <c r="B71" s="47"/>
      <c r="C71" s="47"/>
      <c r="D71" s="210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06"/>
      <c r="P71" s="51"/>
      <c r="Q71" s="51"/>
      <c r="R71" s="51"/>
      <c r="S71" s="51"/>
      <c r="T71" s="52"/>
      <c r="U71" s="52"/>
      <c r="V71" s="52"/>
      <c r="W71" s="52"/>
      <c r="X71" s="52"/>
      <c r="Y71" s="52"/>
      <c r="Z71" s="52"/>
      <c r="AA71" s="52"/>
      <c r="AB71" s="52"/>
      <c r="AC71" s="70"/>
      <c r="AD71" s="70"/>
      <c r="AE71" s="59"/>
      <c r="AF71" s="2"/>
    </row>
    <row r="72" spans="1:32" s="11" customFormat="1" ht="21" customHeight="1">
      <c r="A72" s="46"/>
      <c r="B72" s="47"/>
      <c r="C72" s="47"/>
      <c r="D72" s="210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04" t="s">
        <v>159</v>
      </c>
      <c r="P72" s="144"/>
      <c r="Q72" s="144"/>
      <c r="R72" s="144"/>
      <c r="S72" s="51"/>
      <c r="T72" s="52"/>
      <c r="U72" s="52"/>
      <c r="V72" s="52"/>
      <c r="W72" s="87" t="s">
        <v>104</v>
      </c>
      <c r="X72" s="87"/>
      <c r="Y72" s="87"/>
      <c r="Z72" s="87"/>
      <c r="AA72" s="87"/>
      <c r="AB72" s="87"/>
      <c r="AC72" s="74" t="s">
        <v>106</v>
      </c>
      <c r="AD72" s="74">
        <f>ROUNDUP(SUM(AD73:AD75),-3)</f>
        <v>8394000</v>
      </c>
      <c r="AE72" s="75" t="s">
        <v>105</v>
      </c>
      <c r="AF72" s="2"/>
    </row>
    <row r="73" spans="1:32" s="11" customFormat="1" ht="21" customHeight="1">
      <c r="A73" s="46"/>
      <c r="B73" s="47"/>
      <c r="C73" s="47"/>
      <c r="D73" s="210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273" t="s">
        <v>345</v>
      </c>
      <c r="P73" s="144"/>
      <c r="Q73" s="144"/>
      <c r="R73" s="144"/>
      <c r="S73" s="252">
        <f>S63</f>
        <v>980265000</v>
      </c>
      <c r="T73" s="247" t="s">
        <v>57</v>
      </c>
      <c r="U73" s="76" t="s">
        <v>58</v>
      </c>
      <c r="V73" s="82">
        <v>8.0000000000000002E-3</v>
      </c>
      <c r="W73" s="76"/>
      <c r="X73" s="86"/>
      <c r="Y73" s="78"/>
      <c r="Z73" s="78"/>
      <c r="AA73" s="247" t="s">
        <v>53</v>
      </c>
      <c r="AB73" s="252"/>
      <c r="AC73" s="70"/>
      <c r="AD73" s="70">
        <f>ROUND(S73*V73,-3)</f>
        <v>7842000</v>
      </c>
      <c r="AE73" s="59" t="s">
        <v>69</v>
      </c>
      <c r="AF73" s="2"/>
    </row>
    <row r="74" spans="1:32" s="11" customFormat="1" ht="21" customHeight="1">
      <c r="A74" s="46"/>
      <c r="B74" s="47"/>
      <c r="C74" s="47"/>
      <c r="D74" s="210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206" t="s">
        <v>161</v>
      </c>
      <c r="P74" s="144"/>
      <c r="Q74" s="144"/>
      <c r="R74" s="144"/>
      <c r="S74" s="252">
        <f>S64</f>
        <v>58558000</v>
      </c>
      <c r="T74" s="247" t="s">
        <v>57</v>
      </c>
      <c r="U74" s="76" t="s">
        <v>58</v>
      </c>
      <c r="V74" s="82">
        <v>8.0000000000000002E-3</v>
      </c>
      <c r="W74" s="76"/>
      <c r="X74" s="86"/>
      <c r="Y74" s="78"/>
      <c r="Z74" s="78"/>
      <c r="AA74" s="247" t="s">
        <v>53</v>
      </c>
      <c r="AB74" s="252"/>
      <c r="AC74" s="70"/>
      <c r="AD74" s="70">
        <f>ROUND(S74*V74,-3)</f>
        <v>468000</v>
      </c>
      <c r="AE74" s="59" t="s">
        <v>69</v>
      </c>
      <c r="AF74" s="2"/>
    </row>
    <row r="75" spans="1:32" s="11" customFormat="1" ht="21" customHeight="1">
      <c r="A75" s="46"/>
      <c r="B75" s="47"/>
      <c r="C75" s="47"/>
      <c r="D75" s="210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206" t="s">
        <v>162</v>
      </c>
      <c r="P75" s="144"/>
      <c r="Q75" s="144"/>
      <c r="R75" s="144"/>
      <c r="S75" s="252">
        <v>10440000</v>
      </c>
      <c r="T75" s="247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47" t="s">
        <v>53</v>
      </c>
      <c r="AB75" s="252"/>
      <c r="AC75" s="70"/>
      <c r="AD75" s="70">
        <f>ROUND(S75*V75,-3)</f>
        <v>84000</v>
      </c>
      <c r="AE75" s="59" t="s">
        <v>69</v>
      </c>
      <c r="AF75" s="2"/>
    </row>
    <row r="76" spans="1:32" s="11" customFormat="1" ht="21" customHeight="1">
      <c r="A76" s="46"/>
      <c r="B76" s="47"/>
      <c r="C76" s="47"/>
      <c r="D76" s="210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52"/>
      <c r="Z76" s="52"/>
      <c r="AA76" s="52"/>
      <c r="AB76" s="52"/>
      <c r="AC76" s="70"/>
      <c r="AD76" s="70"/>
      <c r="AE76" s="59"/>
      <c r="AF76" s="2"/>
    </row>
    <row r="77" spans="1:32" s="11" customFormat="1" ht="21" customHeight="1">
      <c r="A77" s="46"/>
      <c r="B77" s="47"/>
      <c r="C77" s="47"/>
      <c r="D77" s="210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204" t="s">
        <v>160</v>
      </c>
      <c r="P77" s="144"/>
      <c r="Q77" s="144"/>
      <c r="R77" s="144"/>
      <c r="S77" s="51"/>
      <c r="T77" s="52"/>
      <c r="U77" s="52"/>
      <c r="V77" s="52"/>
      <c r="W77" s="87" t="s">
        <v>104</v>
      </c>
      <c r="X77" s="87"/>
      <c r="Y77" s="87"/>
      <c r="Z77" s="87"/>
      <c r="AA77" s="87"/>
      <c r="AB77" s="87"/>
      <c r="AC77" s="74" t="s">
        <v>106</v>
      </c>
      <c r="AD77" s="74">
        <f>ROUNDUP(SUM(AD78:AD80),-3)</f>
        <v>6023000</v>
      </c>
      <c r="AE77" s="75" t="s">
        <v>105</v>
      </c>
      <c r="AF77" s="2"/>
    </row>
    <row r="78" spans="1:32" s="11" customFormat="1" ht="21" customHeight="1">
      <c r="A78" s="46"/>
      <c r="B78" s="47"/>
      <c r="C78" s="47"/>
      <c r="D78" s="210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273" t="s">
        <v>345</v>
      </c>
      <c r="P78" s="144"/>
      <c r="Q78" s="144"/>
      <c r="R78" s="144"/>
      <c r="S78" s="252">
        <f>S73</f>
        <v>980265000</v>
      </c>
      <c r="T78" s="247" t="s">
        <v>57</v>
      </c>
      <c r="U78" s="76" t="s">
        <v>58</v>
      </c>
      <c r="V78" s="424">
        <v>5.7400000000000003E-3</v>
      </c>
      <c r="W78" s="76"/>
      <c r="X78" s="86"/>
      <c r="Y78" s="78"/>
      <c r="Z78" s="78"/>
      <c r="AA78" s="247" t="s">
        <v>53</v>
      </c>
      <c r="AB78" s="252"/>
      <c r="AC78" s="70"/>
      <c r="AD78" s="70">
        <f>ROUND(S78*V78,-3)</f>
        <v>5627000</v>
      </c>
      <c r="AE78" s="59" t="s">
        <v>69</v>
      </c>
      <c r="AF78" s="2"/>
    </row>
    <row r="79" spans="1:32" s="11" customFormat="1" ht="21" customHeight="1">
      <c r="A79" s="46"/>
      <c r="B79" s="47"/>
      <c r="C79" s="47"/>
      <c r="D79" s="210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206" t="s">
        <v>161</v>
      </c>
      <c r="P79" s="144"/>
      <c r="Q79" s="144"/>
      <c r="R79" s="144"/>
      <c r="S79" s="252">
        <f>S74</f>
        <v>58558000</v>
      </c>
      <c r="T79" s="247" t="s">
        <v>57</v>
      </c>
      <c r="U79" s="76" t="s">
        <v>58</v>
      </c>
      <c r="V79" s="424">
        <v>5.7400000000000003E-3</v>
      </c>
      <c r="W79" s="76"/>
      <c r="X79" s="86"/>
      <c r="Y79" s="78"/>
      <c r="Z79" s="78"/>
      <c r="AA79" s="247" t="s">
        <v>53</v>
      </c>
      <c r="AB79" s="252"/>
      <c r="AC79" s="70"/>
      <c r="AD79" s="70">
        <f>ROUND(S79*V79,-3)</f>
        <v>336000</v>
      </c>
      <c r="AE79" s="59" t="s">
        <v>69</v>
      </c>
      <c r="AF79" s="2"/>
    </row>
    <row r="80" spans="1:32" s="11" customFormat="1" ht="21" customHeight="1">
      <c r="A80" s="46"/>
      <c r="B80" s="47"/>
      <c r="C80" s="47"/>
      <c r="D80" s="210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206" t="s">
        <v>162</v>
      </c>
      <c r="P80" s="144"/>
      <c r="Q80" s="144"/>
      <c r="R80" s="144"/>
      <c r="S80" s="252">
        <v>10440000</v>
      </c>
      <c r="T80" s="247" t="s">
        <v>57</v>
      </c>
      <c r="U80" s="76" t="s">
        <v>58</v>
      </c>
      <c r="V80" s="424">
        <v>5.7400000000000003E-3</v>
      </c>
      <c r="W80" s="76"/>
      <c r="X80" s="86"/>
      <c r="Y80" s="78"/>
      <c r="Z80" s="78"/>
      <c r="AA80" s="247" t="s">
        <v>53</v>
      </c>
      <c r="AB80" s="252"/>
      <c r="AC80" s="70"/>
      <c r="AD80" s="70">
        <f>ROUNDUP(S80*V80,-3)</f>
        <v>60000</v>
      </c>
      <c r="AE80" s="59" t="s">
        <v>69</v>
      </c>
      <c r="AF80" s="2"/>
    </row>
    <row r="81" spans="1:32" s="11" customFormat="1" ht="21" customHeight="1">
      <c r="A81" s="46"/>
      <c r="B81" s="47"/>
      <c r="C81" s="47"/>
      <c r="D81" s="210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06"/>
      <c r="P81" s="51"/>
      <c r="Q81" s="51"/>
      <c r="R81" s="51"/>
      <c r="S81" s="51"/>
      <c r="T81" s="52"/>
      <c r="U81" s="52"/>
      <c r="V81" s="52"/>
      <c r="W81" s="52"/>
      <c r="X81" s="52"/>
      <c r="Y81" s="52"/>
      <c r="Z81" s="52"/>
      <c r="AA81" s="52"/>
      <c r="AB81" s="52"/>
      <c r="AC81" s="70"/>
      <c r="AD81" s="70"/>
      <c r="AE81" s="59"/>
      <c r="AF81" s="2"/>
    </row>
    <row r="82" spans="1:32" s="11" customFormat="1" ht="21" customHeight="1">
      <c r="A82" s="46"/>
      <c r="B82" s="47"/>
      <c r="C82" s="37" t="s">
        <v>108</v>
      </c>
      <c r="D82" s="212">
        <v>13617</v>
      </c>
      <c r="E82" s="127">
        <f>ROUND(AD82/1000,0)</f>
        <v>20877</v>
      </c>
      <c r="F82" s="127">
        <v>0</v>
      </c>
      <c r="G82" s="127">
        <f>AD89/1000</f>
        <v>3400</v>
      </c>
      <c r="H82" s="127">
        <v>0</v>
      </c>
      <c r="I82" s="127">
        <f>SUM(AD96:AD98)/1000</f>
        <v>866</v>
      </c>
      <c r="J82" s="127">
        <v>0</v>
      </c>
      <c r="K82" s="127">
        <f>SUM(AD83:AD85,AD87:AD88,AD90,AD92,AD93)/1000</f>
        <v>6260</v>
      </c>
      <c r="L82" s="127">
        <f>SUM(AD86,AD91,AD94,AD95)/1000</f>
        <v>10351</v>
      </c>
      <c r="M82" s="126">
        <f>E82-D82</f>
        <v>7260</v>
      </c>
      <c r="N82" s="134">
        <f>IF(D82=0,0,M82/D82)</f>
        <v>0.53315708305794229</v>
      </c>
      <c r="O82" s="107" t="s">
        <v>109</v>
      </c>
      <c r="P82" s="232"/>
      <c r="Q82" s="103"/>
      <c r="R82" s="103"/>
      <c r="S82" s="103"/>
      <c r="T82" s="97"/>
      <c r="U82" s="97"/>
      <c r="V82" s="97"/>
      <c r="W82" s="233" t="s">
        <v>232</v>
      </c>
      <c r="X82" s="233"/>
      <c r="Y82" s="233"/>
      <c r="Z82" s="233"/>
      <c r="AA82" s="233"/>
      <c r="AB82" s="233"/>
      <c r="AC82" s="235"/>
      <c r="AD82" s="235">
        <f>SUM(AD83:AD98)</f>
        <v>20877000</v>
      </c>
      <c r="AE82" s="234" t="s">
        <v>25</v>
      </c>
      <c r="AF82" s="21"/>
    </row>
    <row r="83" spans="1:32" s="11" customFormat="1" ht="21" customHeight="1">
      <c r="A83" s="46"/>
      <c r="B83" s="47"/>
      <c r="C83" s="47" t="s">
        <v>235</v>
      </c>
      <c r="D83" s="210"/>
      <c r="E83" s="121"/>
      <c r="F83" s="121"/>
      <c r="G83" s="121"/>
      <c r="H83" s="121"/>
      <c r="I83" s="121"/>
      <c r="J83" s="121"/>
      <c r="K83" s="121"/>
      <c r="L83" s="121"/>
      <c r="M83" s="121"/>
      <c r="N83" s="72"/>
      <c r="O83" s="179" t="s">
        <v>177</v>
      </c>
      <c r="P83" s="144"/>
      <c r="Q83" s="143"/>
      <c r="R83" s="143"/>
      <c r="S83" s="143">
        <v>20000</v>
      </c>
      <c r="T83" s="143" t="s">
        <v>69</v>
      </c>
      <c r="U83" s="76" t="s">
        <v>58</v>
      </c>
      <c r="V83" s="143">
        <v>34</v>
      </c>
      <c r="W83" s="143" t="s">
        <v>79</v>
      </c>
      <c r="X83" s="143"/>
      <c r="Y83" s="143"/>
      <c r="Z83" s="143"/>
      <c r="AA83" s="143" t="s">
        <v>78</v>
      </c>
      <c r="AB83" s="276" t="s">
        <v>377</v>
      </c>
      <c r="AC83" s="70"/>
      <c r="AD83" s="70">
        <f>S83*V83</f>
        <v>680000</v>
      </c>
      <c r="AE83" s="59" t="s">
        <v>57</v>
      </c>
      <c r="AF83" s="2"/>
    </row>
    <row r="84" spans="1:32" s="11" customFormat="1" ht="21" customHeight="1">
      <c r="A84" s="46"/>
      <c r="B84" s="47"/>
      <c r="C84" s="47"/>
      <c r="D84" s="210"/>
      <c r="E84" s="121"/>
      <c r="F84" s="121"/>
      <c r="G84" s="121"/>
      <c r="H84" s="121"/>
      <c r="I84" s="121"/>
      <c r="J84" s="121"/>
      <c r="K84" s="121"/>
      <c r="L84" s="121"/>
      <c r="M84" s="121"/>
      <c r="N84" s="72"/>
      <c r="O84" s="144" t="s">
        <v>85</v>
      </c>
      <c r="P84" s="144"/>
      <c r="Q84" s="143"/>
      <c r="R84" s="143"/>
      <c r="S84" s="143">
        <v>100000</v>
      </c>
      <c r="T84" s="143" t="s">
        <v>69</v>
      </c>
      <c r="U84" s="76" t="s">
        <v>58</v>
      </c>
      <c r="V84" s="143">
        <v>1</v>
      </c>
      <c r="W84" s="143" t="s">
        <v>79</v>
      </c>
      <c r="X84" s="76" t="s">
        <v>58</v>
      </c>
      <c r="Y84" s="143">
        <v>12</v>
      </c>
      <c r="Z84" s="143" t="s">
        <v>29</v>
      </c>
      <c r="AA84" s="143" t="s">
        <v>78</v>
      </c>
      <c r="AB84" s="143" t="s">
        <v>110</v>
      </c>
      <c r="AC84" s="70"/>
      <c r="AD84" s="70">
        <f>S84*V84*Y84</f>
        <v>1200000</v>
      </c>
      <c r="AE84" s="59" t="s">
        <v>69</v>
      </c>
      <c r="AF84" s="2"/>
    </row>
    <row r="85" spans="1:32" s="11" customFormat="1" ht="21" customHeight="1">
      <c r="A85" s="46"/>
      <c r="B85" s="47"/>
      <c r="C85" s="47"/>
      <c r="D85" s="210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44" t="s">
        <v>86</v>
      </c>
      <c r="P85" s="144"/>
      <c r="Q85" s="143"/>
      <c r="R85" s="143"/>
      <c r="S85" s="143">
        <v>300000</v>
      </c>
      <c r="T85" s="143" t="s">
        <v>57</v>
      </c>
      <c r="U85" s="76" t="s">
        <v>58</v>
      </c>
      <c r="V85" s="143">
        <v>2</v>
      </c>
      <c r="W85" s="143" t="s">
        <v>87</v>
      </c>
      <c r="X85" s="143"/>
      <c r="Y85" s="143"/>
      <c r="Z85" s="143"/>
      <c r="AA85" s="143" t="s">
        <v>78</v>
      </c>
      <c r="AB85" s="143" t="s">
        <v>110</v>
      </c>
      <c r="AC85" s="70"/>
      <c r="AD85" s="70">
        <f>S85*V85</f>
        <v>600000</v>
      </c>
      <c r="AE85" s="59" t="s">
        <v>57</v>
      </c>
      <c r="AF85" s="2"/>
    </row>
    <row r="86" spans="1:32" s="11" customFormat="1" ht="21" customHeight="1">
      <c r="A86" s="46"/>
      <c r="B86" s="47"/>
      <c r="C86" s="47"/>
      <c r="D86" s="210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273" t="s">
        <v>348</v>
      </c>
      <c r="P86" s="144"/>
      <c r="Q86" s="144"/>
      <c r="R86" s="144"/>
      <c r="S86" s="143">
        <v>20000</v>
      </c>
      <c r="T86" s="143" t="s">
        <v>69</v>
      </c>
      <c r="U86" s="76" t="s">
        <v>58</v>
      </c>
      <c r="V86" s="143">
        <v>35</v>
      </c>
      <c r="W86" s="143" t="s">
        <v>79</v>
      </c>
      <c r="X86" s="76" t="s">
        <v>58</v>
      </c>
      <c r="Y86" s="143">
        <v>6</v>
      </c>
      <c r="Z86" s="143" t="s">
        <v>80</v>
      </c>
      <c r="AA86" s="143" t="s">
        <v>78</v>
      </c>
      <c r="AB86" s="442" t="s">
        <v>163</v>
      </c>
      <c r="AC86" s="77"/>
      <c r="AD86" s="143">
        <f>S86*V86*Y86</f>
        <v>4200000</v>
      </c>
      <c r="AE86" s="101" t="s">
        <v>25</v>
      </c>
      <c r="AF86" s="2"/>
    </row>
    <row r="87" spans="1:32" s="11" customFormat="1" ht="21" customHeight="1">
      <c r="A87" s="46"/>
      <c r="B87" s="47"/>
      <c r="C87" s="47"/>
      <c r="D87" s="210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432" t="s">
        <v>697</v>
      </c>
      <c r="P87" s="432"/>
      <c r="Q87" s="432"/>
      <c r="R87" s="432"/>
      <c r="S87" s="431">
        <v>300000</v>
      </c>
      <c r="T87" s="431" t="s">
        <v>57</v>
      </c>
      <c r="U87" s="76" t="s">
        <v>58</v>
      </c>
      <c r="V87" s="431">
        <v>2</v>
      </c>
      <c r="W87" s="431" t="s">
        <v>56</v>
      </c>
      <c r="X87" s="431"/>
      <c r="Y87" s="431"/>
      <c r="Z87" s="431"/>
      <c r="AA87" s="431" t="s">
        <v>53</v>
      </c>
      <c r="AB87" s="431" t="s">
        <v>110</v>
      </c>
      <c r="AC87" s="70"/>
      <c r="AD87" s="70">
        <f>S87*V87</f>
        <v>600000</v>
      </c>
      <c r="AE87" s="59" t="s">
        <v>57</v>
      </c>
      <c r="AF87" s="2"/>
    </row>
    <row r="88" spans="1:32" s="11" customFormat="1" ht="21" customHeight="1">
      <c r="A88" s="46"/>
      <c r="B88" s="47"/>
      <c r="C88" s="47"/>
      <c r="D88" s="210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206" t="s">
        <v>88</v>
      </c>
      <c r="P88" s="144"/>
      <c r="Q88" s="144"/>
      <c r="R88" s="144"/>
      <c r="S88" s="143"/>
      <c r="T88" s="77"/>
      <c r="U88" s="77"/>
      <c r="V88" s="77"/>
      <c r="W88" s="143"/>
      <c r="X88" s="143"/>
      <c r="Y88" s="77"/>
      <c r="Z88" s="77"/>
      <c r="AA88" s="77"/>
      <c r="AB88" s="77" t="s">
        <v>110</v>
      </c>
      <c r="AC88" s="77"/>
      <c r="AD88" s="143">
        <v>800000</v>
      </c>
      <c r="AE88" s="101" t="s">
        <v>57</v>
      </c>
      <c r="AF88" s="2"/>
    </row>
    <row r="89" spans="1:32" s="11" customFormat="1" ht="21" customHeight="1">
      <c r="A89" s="46"/>
      <c r="B89" s="47"/>
      <c r="C89" s="47"/>
      <c r="D89" s="210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273" t="s">
        <v>370</v>
      </c>
      <c r="P89" s="253"/>
      <c r="Q89" s="253"/>
      <c r="R89" s="253"/>
      <c r="S89" s="272">
        <v>200000</v>
      </c>
      <c r="T89" s="271" t="s">
        <v>57</v>
      </c>
      <c r="U89" s="76" t="s">
        <v>58</v>
      </c>
      <c r="V89" s="71">
        <v>17</v>
      </c>
      <c r="W89" s="76" t="s">
        <v>56</v>
      </c>
      <c r="X89" s="86"/>
      <c r="Y89" s="78"/>
      <c r="Z89" s="78"/>
      <c r="AA89" s="271" t="s">
        <v>53</v>
      </c>
      <c r="AB89" s="272" t="s">
        <v>352</v>
      </c>
      <c r="AC89" s="70"/>
      <c r="AD89" s="70">
        <f>ROUNDUP(S89*V89,-3)</f>
        <v>3400000</v>
      </c>
      <c r="AE89" s="59" t="s">
        <v>57</v>
      </c>
      <c r="AF89" s="2"/>
    </row>
    <row r="90" spans="1:32" s="11" customFormat="1" ht="21" customHeight="1">
      <c r="A90" s="46"/>
      <c r="B90" s="47"/>
      <c r="C90" s="47"/>
      <c r="D90" s="210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432" t="s">
        <v>696</v>
      </c>
      <c r="P90" s="144"/>
      <c r="Q90" s="144"/>
      <c r="R90" s="144"/>
      <c r="S90" s="431">
        <v>100000</v>
      </c>
      <c r="T90" s="430" t="s">
        <v>57</v>
      </c>
      <c r="U90" s="76" t="s">
        <v>58</v>
      </c>
      <c r="V90" s="71">
        <v>14</v>
      </c>
      <c r="W90" s="76" t="s">
        <v>56</v>
      </c>
      <c r="X90" s="86"/>
      <c r="Y90" s="78"/>
      <c r="Z90" s="78"/>
      <c r="AA90" s="430" t="s">
        <v>53</v>
      </c>
      <c r="AB90" s="77" t="s">
        <v>110</v>
      </c>
      <c r="AC90" s="77"/>
      <c r="AD90" s="70">
        <f>ROUNDUP(S90*V90,-3)</f>
        <v>1400000</v>
      </c>
      <c r="AE90" s="101" t="s">
        <v>57</v>
      </c>
      <c r="AF90" s="2"/>
    </row>
    <row r="91" spans="1:32" s="11" customFormat="1" ht="21" customHeight="1">
      <c r="A91" s="46"/>
      <c r="B91" s="47"/>
      <c r="C91" s="47"/>
      <c r="D91" s="210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432" t="s">
        <v>693</v>
      </c>
      <c r="P91" s="144"/>
      <c r="Q91" s="144"/>
      <c r="R91" s="144"/>
      <c r="S91" s="431">
        <v>150000</v>
      </c>
      <c r="T91" s="430" t="s">
        <v>57</v>
      </c>
      <c r="U91" s="76" t="s">
        <v>58</v>
      </c>
      <c r="V91" s="71">
        <v>35</v>
      </c>
      <c r="W91" s="76" t="s">
        <v>56</v>
      </c>
      <c r="X91" s="86"/>
      <c r="Y91" s="78"/>
      <c r="Z91" s="78"/>
      <c r="AA91" s="430" t="s">
        <v>53</v>
      </c>
      <c r="AB91" s="77" t="s">
        <v>163</v>
      </c>
      <c r="AC91" s="77"/>
      <c r="AD91" s="70">
        <f>ROUNDUP(S91*V91,-3)</f>
        <v>5250000</v>
      </c>
      <c r="AE91" s="101" t="s">
        <v>57</v>
      </c>
      <c r="AF91" s="2"/>
    </row>
    <row r="92" spans="1:32" s="11" customFormat="1" ht="21" customHeight="1">
      <c r="A92" s="46"/>
      <c r="B92" s="47"/>
      <c r="C92" s="47"/>
      <c r="D92" s="210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144" t="s">
        <v>89</v>
      </c>
      <c r="P92" s="144"/>
      <c r="Q92" s="144"/>
      <c r="R92" s="144"/>
      <c r="S92" s="143">
        <v>8000</v>
      </c>
      <c r="T92" s="77" t="s">
        <v>69</v>
      </c>
      <c r="U92" s="76" t="s">
        <v>58</v>
      </c>
      <c r="V92" s="437">
        <v>35</v>
      </c>
      <c r="W92" s="143" t="s">
        <v>79</v>
      </c>
      <c r="X92" s="77"/>
      <c r="Y92" s="77"/>
      <c r="Z92" s="77"/>
      <c r="AA92" s="102" t="s">
        <v>78</v>
      </c>
      <c r="AB92" s="77" t="s">
        <v>110</v>
      </c>
      <c r="AC92" s="77"/>
      <c r="AD92" s="143">
        <f>S92*V92</f>
        <v>280000</v>
      </c>
      <c r="AE92" s="101" t="s">
        <v>69</v>
      </c>
      <c r="AF92" s="2"/>
    </row>
    <row r="93" spans="1:32" s="11" customFormat="1" ht="21" customHeight="1">
      <c r="A93" s="46"/>
      <c r="B93" s="47"/>
      <c r="C93" s="47"/>
      <c r="D93" s="210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144" t="s">
        <v>90</v>
      </c>
      <c r="P93" s="144"/>
      <c r="Q93" s="144"/>
      <c r="R93" s="144"/>
      <c r="S93" s="272">
        <v>20000</v>
      </c>
      <c r="T93" s="77" t="s">
        <v>57</v>
      </c>
      <c r="U93" s="76" t="s">
        <v>58</v>
      </c>
      <c r="V93" s="437">
        <v>35</v>
      </c>
      <c r="W93" s="272" t="s">
        <v>56</v>
      </c>
      <c r="X93" s="77"/>
      <c r="Y93" s="77"/>
      <c r="Z93" s="77"/>
      <c r="AA93" s="102" t="s">
        <v>53</v>
      </c>
      <c r="AB93" s="77" t="s">
        <v>110</v>
      </c>
      <c r="AC93" s="77"/>
      <c r="AD93" s="272">
        <f>S93*V93</f>
        <v>700000</v>
      </c>
      <c r="AE93" s="101" t="s">
        <v>57</v>
      </c>
      <c r="AF93" s="2"/>
    </row>
    <row r="94" spans="1:32" s="11" customFormat="1" ht="21" customHeight="1">
      <c r="A94" s="46"/>
      <c r="B94" s="47"/>
      <c r="C94" s="47"/>
      <c r="D94" s="210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144" t="s">
        <v>91</v>
      </c>
      <c r="P94" s="144"/>
      <c r="Q94" s="144"/>
      <c r="R94" s="144"/>
      <c r="S94" s="143">
        <v>10000</v>
      </c>
      <c r="T94" s="77" t="s">
        <v>69</v>
      </c>
      <c r="U94" s="76" t="s">
        <v>58</v>
      </c>
      <c r="V94" s="437">
        <v>10</v>
      </c>
      <c r="W94" s="143" t="s">
        <v>79</v>
      </c>
      <c r="X94" s="76" t="s">
        <v>58</v>
      </c>
      <c r="Y94" s="77">
        <v>4</v>
      </c>
      <c r="Z94" s="77" t="s">
        <v>80</v>
      </c>
      <c r="AA94" s="102" t="s">
        <v>78</v>
      </c>
      <c r="AB94" s="77" t="s">
        <v>163</v>
      </c>
      <c r="AC94" s="77"/>
      <c r="AD94" s="143">
        <f>S94*V94*Y94</f>
        <v>400000</v>
      </c>
      <c r="AE94" s="101" t="s">
        <v>69</v>
      </c>
      <c r="AF94" s="2"/>
    </row>
    <row r="95" spans="1:32" s="11" customFormat="1" ht="21" customHeight="1">
      <c r="A95" s="46"/>
      <c r="B95" s="47"/>
      <c r="C95" s="47"/>
      <c r="D95" s="210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253" t="s">
        <v>281</v>
      </c>
      <c r="P95" s="144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442" t="s">
        <v>163</v>
      </c>
      <c r="AC95" s="70"/>
      <c r="AD95" s="70">
        <v>501000</v>
      </c>
      <c r="AE95" s="59" t="s">
        <v>69</v>
      </c>
      <c r="AF95" s="2"/>
    </row>
    <row r="96" spans="1:32" s="11" customFormat="1" ht="21" customHeight="1">
      <c r="A96" s="46"/>
      <c r="B96" s="47"/>
      <c r="C96" s="47"/>
      <c r="D96" s="210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273" t="s">
        <v>349</v>
      </c>
      <c r="P96" s="179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278" t="s">
        <v>329</v>
      </c>
      <c r="AC96" s="70"/>
      <c r="AD96" s="70">
        <v>200000</v>
      </c>
      <c r="AE96" s="59" t="s">
        <v>69</v>
      </c>
      <c r="AF96" s="2"/>
    </row>
    <row r="97" spans="1:34" s="11" customFormat="1" ht="21" customHeight="1">
      <c r="A97" s="46"/>
      <c r="B97" s="47"/>
      <c r="C97" s="47"/>
      <c r="D97" s="210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06" t="s">
        <v>222</v>
      </c>
      <c r="P97" s="144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278" t="s">
        <v>329</v>
      </c>
      <c r="AC97" s="70"/>
      <c r="AD97" s="70">
        <v>6000</v>
      </c>
      <c r="AE97" s="59" t="s">
        <v>69</v>
      </c>
      <c r="AF97" s="2"/>
    </row>
    <row r="98" spans="1:34" s="11" customFormat="1" ht="21" customHeight="1">
      <c r="A98" s="46"/>
      <c r="B98" s="47"/>
      <c r="C98" s="47"/>
      <c r="D98" s="210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206" t="s">
        <v>223</v>
      </c>
      <c r="P98" s="144"/>
      <c r="Q98" s="143"/>
      <c r="R98" s="143"/>
      <c r="S98" s="143">
        <v>20000</v>
      </c>
      <c r="T98" s="77" t="s">
        <v>69</v>
      </c>
      <c r="U98" s="76" t="s">
        <v>58</v>
      </c>
      <c r="V98" s="77">
        <v>33</v>
      </c>
      <c r="W98" s="143" t="s">
        <v>79</v>
      </c>
      <c r="X98" s="76" t="s">
        <v>58</v>
      </c>
      <c r="Y98" s="77">
        <v>1</v>
      </c>
      <c r="Z98" s="77" t="s">
        <v>80</v>
      </c>
      <c r="AA98" s="102" t="s">
        <v>78</v>
      </c>
      <c r="AB98" s="77" t="s">
        <v>758</v>
      </c>
      <c r="AC98" s="77"/>
      <c r="AD98" s="143">
        <f>S98*V98*Y98</f>
        <v>660000</v>
      </c>
      <c r="AE98" s="101" t="s">
        <v>69</v>
      </c>
      <c r="AF98" s="2"/>
    </row>
    <row r="99" spans="1:34" s="11" customFormat="1" ht="21" customHeight="1">
      <c r="A99" s="46"/>
      <c r="B99" s="61"/>
      <c r="C99" s="61"/>
      <c r="D99" s="211"/>
      <c r="E99" s="124"/>
      <c r="F99" s="124"/>
      <c r="G99" s="124"/>
      <c r="H99" s="124"/>
      <c r="I99" s="124"/>
      <c r="J99" s="124"/>
      <c r="K99" s="124"/>
      <c r="L99" s="124"/>
      <c r="M99" s="124"/>
      <c r="N99" s="92"/>
      <c r="O99" s="204"/>
      <c r="P99" s="88"/>
      <c r="Q99" s="88"/>
      <c r="R99" s="88"/>
      <c r="S99" s="87"/>
      <c r="T99" s="94"/>
      <c r="U99" s="94"/>
      <c r="V99" s="94"/>
      <c r="W99" s="87"/>
      <c r="X99" s="94"/>
      <c r="Y99" s="94"/>
      <c r="Z99" s="94"/>
      <c r="AA99" s="87"/>
      <c r="AB99" s="94"/>
      <c r="AC99" s="94"/>
      <c r="AD99" s="87"/>
      <c r="AE99" s="140"/>
      <c r="AF99" s="2"/>
    </row>
    <row r="100" spans="1:34" s="11" customFormat="1" ht="21" customHeight="1">
      <c r="A100" s="46"/>
      <c r="B100" s="47" t="s">
        <v>234</v>
      </c>
      <c r="C100" s="47" t="s">
        <v>5</v>
      </c>
      <c r="D100" s="121">
        <f>SUM(D101,D104,D106)</f>
        <v>2550</v>
      </c>
      <c r="E100" s="121">
        <f>SUM(E101,E104,E106)</f>
        <v>2950</v>
      </c>
      <c r="F100" s="121">
        <f t="shared" ref="F100:L100" si="6">SUM(F101,F104,F106)</f>
        <v>50</v>
      </c>
      <c r="G100" s="121">
        <f t="shared" si="6"/>
        <v>0</v>
      </c>
      <c r="H100" s="121">
        <f t="shared" si="6"/>
        <v>0</v>
      </c>
      <c r="I100" s="121">
        <f t="shared" si="6"/>
        <v>0</v>
      </c>
      <c r="J100" s="121">
        <f t="shared" si="6"/>
        <v>0</v>
      </c>
      <c r="K100" s="121">
        <f t="shared" si="6"/>
        <v>2900</v>
      </c>
      <c r="L100" s="121">
        <f t="shared" si="6"/>
        <v>0</v>
      </c>
      <c r="M100" s="121">
        <f>E100-D100</f>
        <v>400</v>
      </c>
      <c r="N100" s="72">
        <f>IF(D100=0,0,M100/D100)</f>
        <v>0.15686274509803921</v>
      </c>
      <c r="O100" s="251" t="s">
        <v>283</v>
      </c>
      <c r="P100" s="33"/>
      <c r="Q100" s="33"/>
      <c r="R100" s="33"/>
      <c r="S100" s="34"/>
      <c r="T100" s="34"/>
      <c r="U100" s="34"/>
      <c r="V100" s="34"/>
      <c r="W100" s="256"/>
      <c r="X100" s="256"/>
      <c r="Y100" s="256"/>
      <c r="Z100" s="256"/>
      <c r="AA100" s="256"/>
      <c r="AB100" s="256"/>
      <c r="AC100" s="104"/>
      <c r="AD100" s="104">
        <f>SUM(AD101,AD104,AD106)</f>
        <v>2950000</v>
      </c>
      <c r="AE100" s="105" t="s">
        <v>25</v>
      </c>
      <c r="AF100" s="5"/>
    </row>
    <row r="101" spans="1:34" s="11" customFormat="1" ht="21" customHeight="1">
      <c r="A101" s="46"/>
      <c r="B101" s="47" t="s">
        <v>282</v>
      </c>
      <c r="C101" s="37" t="s">
        <v>10</v>
      </c>
      <c r="D101" s="212">
        <v>1200</v>
      </c>
      <c r="E101" s="126">
        <f>AD101/1000</f>
        <v>1200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f>AD101/1000</f>
        <v>1200</v>
      </c>
      <c r="L101" s="126">
        <v>0</v>
      </c>
      <c r="M101" s="126">
        <f>E101-D101</f>
        <v>0</v>
      </c>
      <c r="N101" s="134">
        <f>IF(D101=0,0,M101/D101)</f>
        <v>0</v>
      </c>
      <c r="O101" s="107" t="s">
        <v>37</v>
      </c>
      <c r="P101" s="200"/>
      <c r="Q101" s="216"/>
      <c r="R101" s="216"/>
      <c r="S101" s="216"/>
      <c r="T101" s="96"/>
      <c r="U101" s="96"/>
      <c r="V101" s="96"/>
      <c r="W101" s="96"/>
      <c r="X101" s="96"/>
      <c r="Y101" s="233" t="s">
        <v>285</v>
      </c>
      <c r="Z101" s="233"/>
      <c r="AA101" s="233"/>
      <c r="AB101" s="233"/>
      <c r="AC101" s="235"/>
      <c r="AD101" s="235">
        <f>AD102</f>
        <v>1200000</v>
      </c>
      <c r="AE101" s="234" t="s">
        <v>25</v>
      </c>
    </row>
    <row r="102" spans="1:34" s="11" customFormat="1" ht="21" customHeight="1">
      <c r="A102" s="46"/>
      <c r="B102" s="47"/>
      <c r="C102" s="47"/>
      <c r="D102" s="210"/>
      <c r="E102" s="121"/>
      <c r="F102" s="121"/>
      <c r="G102" s="121"/>
      <c r="H102" s="121"/>
      <c r="I102" s="121"/>
      <c r="J102" s="121"/>
      <c r="K102" s="121"/>
      <c r="L102" s="121"/>
      <c r="M102" s="121"/>
      <c r="N102" s="72"/>
      <c r="O102" s="253" t="s">
        <v>286</v>
      </c>
      <c r="P102" s="51"/>
      <c r="Q102" s="51"/>
      <c r="R102" s="51"/>
      <c r="S102" s="52"/>
      <c r="T102" s="56"/>
      <c r="U102" s="56"/>
      <c r="V102" s="52"/>
      <c r="W102" s="51"/>
      <c r="X102" s="52"/>
      <c r="Y102" s="52"/>
      <c r="Z102" s="52"/>
      <c r="AA102" s="52"/>
      <c r="AB102" s="52" t="s">
        <v>111</v>
      </c>
      <c r="AC102" s="52"/>
      <c r="AD102" s="52">
        <v>1200000</v>
      </c>
      <c r="AE102" s="59" t="s">
        <v>95</v>
      </c>
      <c r="AF102" s="2"/>
    </row>
    <row r="103" spans="1:34" s="11" customFormat="1" ht="21" customHeight="1">
      <c r="A103" s="46"/>
      <c r="B103" s="47"/>
      <c r="C103" s="61"/>
      <c r="D103" s="211"/>
      <c r="E103" s="124"/>
      <c r="F103" s="124"/>
      <c r="G103" s="124"/>
      <c r="H103" s="124"/>
      <c r="I103" s="124"/>
      <c r="J103" s="124"/>
      <c r="K103" s="124"/>
      <c r="L103" s="124"/>
      <c r="M103" s="124"/>
      <c r="N103" s="92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140"/>
      <c r="AF103" s="1"/>
    </row>
    <row r="104" spans="1:34" s="11" customFormat="1" ht="21" customHeight="1">
      <c r="A104" s="46"/>
      <c r="B104" s="47"/>
      <c r="C104" s="47" t="s">
        <v>11</v>
      </c>
      <c r="D104" s="210">
        <v>0</v>
      </c>
      <c r="E104" s="121">
        <f>AD104/1000</f>
        <v>0</v>
      </c>
      <c r="F104" s="121">
        <v>0</v>
      </c>
      <c r="G104" s="121">
        <v>0</v>
      </c>
      <c r="H104" s="121">
        <v>0</v>
      </c>
      <c r="I104" s="121">
        <v>0</v>
      </c>
      <c r="J104" s="121">
        <v>0</v>
      </c>
      <c r="K104" s="121">
        <v>0</v>
      </c>
      <c r="L104" s="121">
        <v>0</v>
      </c>
      <c r="M104" s="121">
        <f>E104-D104</f>
        <v>0</v>
      </c>
      <c r="N104" s="72">
        <f>IF(D104=0,0,M104/D104)</f>
        <v>0</v>
      </c>
      <c r="O104" s="107" t="s">
        <v>284</v>
      </c>
      <c r="P104" s="232"/>
      <c r="Q104" s="33"/>
      <c r="R104" s="33"/>
      <c r="S104" s="33"/>
      <c r="T104" s="34"/>
      <c r="U104" s="34"/>
      <c r="V104" s="34"/>
      <c r="W104" s="34"/>
      <c r="X104" s="34"/>
      <c r="Y104" s="233" t="s">
        <v>285</v>
      </c>
      <c r="Z104" s="233"/>
      <c r="AA104" s="233"/>
      <c r="AB104" s="233"/>
      <c r="AC104" s="235"/>
      <c r="AD104" s="235">
        <v>0</v>
      </c>
      <c r="AE104" s="234" t="s">
        <v>25</v>
      </c>
      <c r="AF104" s="1"/>
    </row>
    <row r="105" spans="1:34" s="11" customFormat="1" ht="21" customHeight="1">
      <c r="A105" s="46"/>
      <c r="B105" s="47"/>
      <c r="C105" s="61"/>
      <c r="D105" s="211"/>
      <c r="E105" s="124"/>
      <c r="F105" s="124"/>
      <c r="G105" s="124"/>
      <c r="H105" s="124"/>
      <c r="I105" s="124"/>
      <c r="J105" s="124"/>
      <c r="K105" s="124"/>
      <c r="L105" s="124"/>
      <c r="M105" s="124"/>
      <c r="N105" s="92"/>
      <c r="O105" s="204"/>
      <c r="P105" s="88"/>
      <c r="Q105" s="88"/>
      <c r="R105" s="88"/>
      <c r="S105" s="87"/>
      <c r="T105" s="93"/>
      <c r="U105" s="93"/>
      <c r="V105" s="87"/>
      <c r="W105" s="88"/>
      <c r="X105" s="87"/>
      <c r="Y105" s="87"/>
      <c r="Z105" s="87"/>
      <c r="AA105" s="87"/>
      <c r="AB105" s="87"/>
      <c r="AC105" s="87"/>
      <c r="AD105" s="87"/>
      <c r="AE105" s="75"/>
      <c r="AF105" s="1"/>
    </row>
    <row r="106" spans="1:34" s="11" customFormat="1" ht="21" customHeight="1">
      <c r="A106" s="46"/>
      <c r="B106" s="47"/>
      <c r="C106" s="47" t="s">
        <v>113</v>
      </c>
      <c r="D106" s="210">
        <v>1350</v>
      </c>
      <c r="E106" s="121">
        <f>AD106/1000</f>
        <v>1750</v>
      </c>
      <c r="F106" s="121">
        <v>50</v>
      </c>
      <c r="G106" s="121">
        <v>0</v>
      </c>
      <c r="H106" s="121">
        <v>0</v>
      </c>
      <c r="I106" s="121">
        <v>0</v>
      </c>
      <c r="J106" s="121">
        <v>0</v>
      </c>
      <c r="K106" s="126">
        <v>1700</v>
      </c>
      <c r="L106" s="121">
        <v>0</v>
      </c>
      <c r="M106" s="121">
        <f>E106-D106</f>
        <v>400</v>
      </c>
      <c r="N106" s="72">
        <f>IF(D106=0,0,M106/D106)</f>
        <v>0.29629629629629628</v>
      </c>
      <c r="O106" s="129" t="s">
        <v>38</v>
      </c>
      <c r="P106" s="33"/>
      <c r="Q106" s="33"/>
      <c r="R106" s="33"/>
      <c r="S106" s="33"/>
      <c r="T106" s="34"/>
      <c r="U106" s="34"/>
      <c r="V106" s="34"/>
      <c r="W106" s="34"/>
      <c r="X106" s="34"/>
      <c r="Y106" s="233" t="s">
        <v>285</v>
      </c>
      <c r="Z106" s="233"/>
      <c r="AA106" s="233"/>
      <c r="AB106" s="233"/>
      <c r="AC106" s="235"/>
      <c r="AD106" s="235">
        <f>SUM(AD107:AD109)</f>
        <v>1750000</v>
      </c>
      <c r="AE106" s="234" t="s">
        <v>25</v>
      </c>
      <c r="AF106" s="1"/>
    </row>
    <row r="107" spans="1:34" s="14" customFormat="1" ht="21" customHeight="1">
      <c r="A107" s="46"/>
      <c r="B107" s="47"/>
      <c r="C107" s="47"/>
      <c r="D107" s="210"/>
      <c r="E107" s="121"/>
      <c r="F107" s="121"/>
      <c r="G107" s="121"/>
      <c r="H107" s="121"/>
      <c r="I107" s="121"/>
      <c r="J107" s="121"/>
      <c r="K107" s="121"/>
      <c r="L107" s="121"/>
      <c r="M107" s="121"/>
      <c r="N107" s="72"/>
      <c r="O107" s="51" t="s">
        <v>114</v>
      </c>
      <c r="P107" s="51"/>
      <c r="Q107" s="51"/>
      <c r="R107" s="51"/>
      <c r="S107" s="52"/>
      <c r="T107" s="56"/>
      <c r="U107" s="56"/>
      <c r="V107" s="52"/>
      <c r="W107" s="51"/>
      <c r="X107" s="52"/>
      <c r="Y107" s="52"/>
      <c r="Z107" s="52"/>
      <c r="AA107" s="52"/>
      <c r="AB107" s="422" t="s">
        <v>657</v>
      </c>
      <c r="AC107" s="52"/>
      <c r="AD107" s="52">
        <v>50000</v>
      </c>
      <c r="AE107" s="59" t="s">
        <v>25</v>
      </c>
      <c r="AF107" s="4"/>
    </row>
    <row r="108" spans="1:34" s="14" customFormat="1" ht="21" customHeight="1">
      <c r="A108" s="46"/>
      <c r="B108" s="47"/>
      <c r="C108" s="47"/>
      <c r="D108" s="210"/>
      <c r="E108" s="121"/>
      <c r="F108" s="121"/>
      <c r="G108" s="121"/>
      <c r="H108" s="121"/>
      <c r="I108" s="121"/>
      <c r="J108" s="121"/>
      <c r="K108" s="121"/>
      <c r="L108" s="121"/>
      <c r="M108" s="121"/>
      <c r="N108" s="72"/>
      <c r="O108" s="423"/>
      <c r="P108" s="423"/>
      <c r="Q108" s="423"/>
      <c r="R108" s="423"/>
      <c r="S108" s="422"/>
      <c r="T108" s="56"/>
      <c r="U108" s="56"/>
      <c r="V108" s="422"/>
      <c r="W108" s="423"/>
      <c r="X108" s="422"/>
      <c r="Y108" s="422"/>
      <c r="Z108" s="422"/>
      <c r="AA108" s="422"/>
      <c r="AB108" s="422" t="s">
        <v>666</v>
      </c>
      <c r="AC108" s="422"/>
      <c r="AD108" s="422">
        <v>500000</v>
      </c>
      <c r="AE108" s="59" t="s">
        <v>643</v>
      </c>
      <c r="AF108" s="4"/>
    </row>
    <row r="109" spans="1:34" s="14" customFormat="1" ht="21" customHeight="1">
      <c r="A109" s="46"/>
      <c r="B109" s="47"/>
      <c r="C109" s="47"/>
      <c r="D109" s="210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144" t="s">
        <v>164</v>
      </c>
      <c r="P109" s="144"/>
      <c r="Q109" s="144"/>
      <c r="R109" s="144"/>
      <c r="S109" s="143">
        <v>50000</v>
      </c>
      <c r="T109" s="143" t="s">
        <v>57</v>
      </c>
      <c r="U109" s="144" t="s">
        <v>58</v>
      </c>
      <c r="V109" s="143">
        <v>6</v>
      </c>
      <c r="W109" s="143" t="s">
        <v>56</v>
      </c>
      <c r="X109" s="144" t="s">
        <v>58</v>
      </c>
      <c r="Y109" s="57">
        <v>4</v>
      </c>
      <c r="Z109" s="99" t="s">
        <v>0</v>
      </c>
      <c r="AA109" s="99" t="s">
        <v>53</v>
      </c>
      <c r="AB109" s="99" t="s">
        <v>110</v>
      </c>
      <c r="AC109" s="144"/>
      <c r="AD109" s="143">
        <f>S109*V109*Y109</f>
        <v>1200000</v>
      </c>
      <c r="AE109" s="59" t="s">
        <v>57</v>
      </c>
      <c r="AF109" s="4"/>
    </row>
    <row r="110" spans="1:34" s="14" customFormat="1" ht="21" customHeight="1">
      <c r="A110" s="46"/>
      <c r="B110" s="47"/>
      <c r="C110" s="47"/>
      <c r="D110" s="210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51"/>
      <c r="P110" s="51"/>
      <c r="Q110" s="51"/>
      <c r="R110" s="51"/>
      <c r="S110" s="52"/>
      <c r="T110" s="56"/>
      <c r="U110" s="56"/>
      <c r="V110" s="52"/>
      <c r="W110" s="51"/>
      <c r="X110" s="52"/>
      <c r="Y110" s="52"/>
      <c r="Z110" s="52"/>
      <c r="AA110" s="52"/>
      <c r="AB110" s="52"/>
      <c r="AC110" s="52"/>
      <c r="AD110" s="52"/>
      <c r="AE110" s="59"/>
      <c r="AF110" s="4"/>
    </row>
    <row r="111" spans="1:34" s="11" customFormat="1" ht="21" customHeight="1">
      <c r="A111" s="46"/>
      <c r="B111" s="37" t="s">
        <v>12</v>
      </c>
      <c r="C111" s="229" t="s">
        <v>5</v>
      </c>
      <c r="D111" s="230">
        <f t="shared" ref="D111:L111" si="7">SUM(D112,D117,D135,D143,D157,D163)</f>
        <v>76377</v>
      </c>
      <c r="E111" s="230">
        <f t="shared" si="7"/>
        <v>95911</v>
      </c>
      <c r="F111" s="230">
        <f t="shared" si="7"/>
        <v>47950</v>
      </c>
      <c r="G111" s="230">
        <f t="shared" si="7"/>
        <v>3600</v>
      </c>
      <c r="H111" s="230">
        <f t="shared" si="7"/>
        <v>0</v>
      </c>
      <c r="I111" s="230">
        <f t="shared" si="7"/>
        <v>5673</v>
      </c>
      <c r="J111" s="230">
        <f t="shared" si="7"/>
        <v>15878</v>
      </c>
      <c r="K111" s="230">
        <f t="shared" si="7"/>
        <v>2653</v>
      </c>
      <c r="L111" s="230">
        <f t="shared" si="7"/>
        <v>20157</v>
      </c>
      <c r="M111" s="230">
        <f>E111-D111</f>
        <v>19534</v>
      </c>
      <c r="N111" s="231">
        <f>IF(D111=0,0,M111/D111)</f>
        <v>0.2557576233682915</v>
      </c>
      <c r="O111" s="232" t="s">
        <v>290</v>
      </c>
      <c r="P111" s="232"/>
      <c r="Q111" s="232"/>
      <c r="R111" s="232"/>
      <c r="S111" s="233"/>
      <c r="T111" s="260"/>
      <c r="U111" s="233"/>
      <c r="V111" s="524"/>
      <c r="W111" s="525"/>
      <c r="X111" s="233"/>
      <c r="Y111" s="233"/>
      <c r="Z111" s="233"/>
      <c r="AA111" s="233"/>
      <c r="AB111" s="233"/>
      <c r="AC111" s="233"/>
      <c r="AD111" s="233">
        <f>SUM(AD112,AD117,AD135,AD143,AD157,AD163)</f>
        <v>95911000</v>
      </c>
      <c r="AE111" s="234" t="s">
        <v>25</v>
      </c>
      <c r="AF111" s="1"/>
    </row>
    <row r="112" spans="1:34" s="11" customFormat="1" ht="21" customHeight="1">
      <c r="A112" s="46"/>
      <c r="B112" s="47"/>
      <c r="C112" s="47" t="s">
        <v>115</v>
      </c>
      <c r="D112" s="210">
        <v>4607</v>
      </c>
      <c r="E112" s="121">
        <f>AD112/1000</f>
        <v>5850</v>
      </c>
      <c r="F112" s="121">
        <v>1000</v>
      </c>
      <c r="G112" s="121">
        <v>0</v>
      </c>
      <c r="H112" s="121">
        <v>0</v>
      </c>
      <c r="I112" s="121">
        <v>0</v>
      </c>
      <c r="J112" s="121">
        <v>0</v>
      </c>
      <c r="K112" s="121">
        <v>600</v>
      </c>
      <c r="L112" s="121">
        <v>4250</v>
      </c>
      <c r="M112" s="121">
        <f>E112-D112</f>
        <v>1243</v>
      </c>
      <c r="N112" s="72">
        <f>IF(D112=0,0,M112/D112)</f>
        <v>0.26980681571521598</v>
      </c>
      <c r="O112" s="129" t="s">
        <v>40</v>
      </c>
      <c r="P112" s="33"/>
      <c r="Q112" s="33"/>
      <c r="R112" s="33"/>
      <c r="S112" s="33"/>
      <c r="T112" s="34"/>
      <c r="U112" s="34"/>
      <c r="V112" s="34"/>
      <c r="W112" s="34"/>
      <c r="X112" s="34"/>
      <c r="Y112" s="250" t="s">
        <v>285</v>
      </c>
      <c r="Z112" s="34"/>
      <c r="AA112" s="34"/>
      <c r="AB112" s="34"/>
      <c r="AC112" s="53"/>
      <c r="AD112" s="53">
        <f>SUM(AD113:AD116)</f>
        <v>5850000</v>
      </c>
      <c r="AE112" s="35" t="s">
        <v>25</v>
      </c>
      <c r="AF112" s="20"/>
      <c r="AG112" s="19"/>
      <c r="AH112" s="19"/>
    </row>
    <row r="113" spans="1:32" s="11" customFormat="1" ht="21" customHeight="1">
      <c r="A113" s="46"/>
      <c r="B113" s="47"/>
      <c r="C113" s="47"/>
      <c r="D113" s="210"/>
      <c r="E113" s="121"/>
      <c r="F113" s="121"/>
      <c r="G113" s="121"/>
      <c r="H113" s="121"/>
      <c r="I113" s="121"/>
      <c r="J113" s="121"/>
      <c r="K113" s="121"/>
      <c r="L113" s="121"/>
      <c r="M113" s="121"/>
      <c r="N113" s="72"/>
      <c r="O113" s="253" t="s">
        <v>291</v>
      </c>
      <c r="P113" s="51"/>
      <c r="Q113" s="51"/>
      <c r="R113" s="51"/>
      <c r="S113" s="252">
        <v>50000</v>
      </c>
      <c r="T113" s="252" t="s">
        <v>57</v>
      </c>
      <c r="U113" s="76" t="s">
        <v>58</v>
      </c>
      <c r="V113" s="252">
        <v>1</v>
      </c>
      <c r="W113" s="252" t="s">
        <v>56</v>
      </c>
      <c r="X113" s="76" t="s">
        <v>58</v>
      </c>
      <c r="Y113" s="252">
        <v>12</v>
      </c>
      <c r="Z113" s="252" t="s">
        <v>29</v>
      </c>
      <c r="AA113" s="252" t="s">
        <v>53</v>
      </c>
      <c r="AB113" s="252" t="s">
        <v>292</v>
      </c>
      <c r="AC113" s="70"/>
      <c r="AD113" s="70">
        <f>S113*V113*Y113</f>
        <v>600000</v>
      </c>
      <c r="AE113" s="59" t="s">
        <v>25</v>
      </c>
      <c r="AF113" s="2"/>
    </row>
    <row r="114" spans="1:32" s="11" customFormat="1" ht="21" customHeight="1">
      <c r="A114" s="46"/>
      <c r="B114" s="47"/>
      <c r="C114" s="47"/>
      <c r="D114" s="210"/>
      <c r="E114" s="121"/>
      <c r="F114" s="121"/>
      <c r="G114" s="121"/>
      <c r="H114" s="121"/>
      <c r="I114" s="121"/>
      <c r="J114" s="121"/>
      <c r="K114" s="121"/>
      <c r="L114" s="121"/>
      <c r="M114" s="121"/>
      <c r="N114" s="72"/>
      <c r="O114" s="450" t="s">
        <v>764</v>
      </c>
      <c r="P114" s="450"/>
      <c r="Q114" s="450"/>
      <c r="R114" s="450"/>
      <c r="S114" s="438">
        <v>30000</v>
      </c>
      <c r="T114" s="451" t="s">
        <v>25</v>
      </c>
      <c r="U114" s="451" t="s">
        <v>26</v>
      </c>
      <c r="V114" s="438">
        <v>35</v>
      </c>
      <c r="W114" s="451" t="s">
        <v>293</v>
      </c>
      <c r="X114" s="438" t="s">
        <v>26</v>
      </c>
      <c r="Y114" s="438">
        <v>5</v>
      </c>
      <c r="Z114" s="438" t="s">
        <v>765</v>
      </c>
      <c r="AA114" s="438" t="s">
        <v>27</v>
      </c>
      <c r="AB114" s="438"/>
      <c r="AC114" s="438"/>
      <c r="AD114" s="438">
        <f>S114*V114*Y114</f>
        <v>5250000</v>
      </c>
      <c r="AE114" s="452" t="s">
        <v>766</v>
      </c>
      <c r="AF114" s="2"/>
    </row>
    <row r="115" spans="1:32" s="11" customFormat="1" ht="21" customHeight="1">
      <c r="A115" s="46"/>
      <c r="B115" s="47"/>
      <c r="C115" s="47"/>
      <c r="D115" s="210"/>
      <c r="E115" s="121"/>
      <c r="F115" s="121"/>
      <c r="G115" s="121"/>
      <c r="H115" s="121"/>
      <c r="I115" s="121"/>
      <c r="J115" s="121"/>
      <c r="K115" s="121"/>
      <c r="L115" s="121"/>
      <c r="M115" s="121"/>
      <c r="N115" s="72"/>
      <c r="O115" s="450"/>
      <c r="P115" s="450"/>
      <c r="Q115" s="450"/>
      <c r="R115" s="450"/>
      <c r="S115" s="438"/>
      <c r="T115" s="438"/>
      <c r="U115" s="453"/>
      <c r="V115" s="438"/>
      <c r="W115" s="438"/>
      <c r="X115" s="453"/>
      <c r="Y115" s="438" t="s">
        <v>767</v>
      </c>
      <c r="Z115" s="438"/>
      <c r="AA115" s="438"/>
      <c r="AB115" s="438"/>
      <c r="AC115" s="454"/>
      <c r="AD115" s="454"/>
      <c r="AE115" s="452"/>
      <c r="AF115" s="2"/>
    </row>
    <row r="116" spans="1:32" s="11" customFormat="1" ht="21" customHeight="1">
      <c r="A116" s="46"/>
      <c r="B116" s="47"/>
      <c r="C116" s="47"/>
      <c r="D116" s="210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253"/>
      <c r="P116" s="51"/>
      <c r="Q116" s="51"/>
      <c r="R116" s="51"/>
      <c r="S116" s="52"/>
      <c r="T116" s="56"/>
      <c r="U116" s="56"/>
      <c r="V116" s="52"/>
      <c r="W116" s="56"/>
      <c r="X116" s="52"/>
      <c r="Y116" s="52"/>
      <c r="Z116" s="252"/>
      <c r="AA116" s="52"/>
      <c r="AB116" s="252"/>
      <c r="AC116" s="52"/>
      <c r="AD116" s="52"/>
      <c r="AE116" s="59" t="s">
        <v>69</v>
      </c>
      <c r="AF116" s="2"/>
    </row>
    <row r="117" spans="1:32" s="11" customFormat="1" ht="21" customHeight="1">
      <c r="A117" s="46"/>
      <c r="B117" s="47"/>
      <c r="C117" s="37" t="s">
        <v>41</v>
      </c>
      <c r="D117" s="212">
        <v>22269</v>
      </c>
      <c r="E117" s="126">
        <f>ROUND(AD117/1000,0)</f>
        <v>21088</v>
      </c>
      <c r="F117" s="126">
        <v>10000</v>
      </c>
      <c r="G117" s="126">
        <v>0</v>
      </c>
      <c r="H117" s="126">
        <v>0</v>
      </c>
      <c r="I117" s="126">
        <v>0</v>
      </c>
      <c r="J117" s="126">
        <v>11088</v>
      </c>
      <c r="K117" s="126">
        <v>0</v>
      </c>
      <c r="L117" s="126">
        <v>0</v>
      </c>
      <c r="M117" s="126">
        <f>E117-D117</f>
        <v>-1181</v>
      </c>
      <c r="N117" s="134">
        <f>IF(D117=0,0,M117/D117)</f>
        <v>-5.3033364767165116E-2</v>
      </c>
      <c r="O117" s="107" t="s">
        <v>42</v>
      </c>
      <c r="P117" s="103"/>
      <c r="Q117" s="103"/>
      <c r="R117" s="103"/>
      <c r="S117" s="103"/>
      <c r="T117" s="97"/>
      <c r="U117" s="97"/>
      <c r="V117" s="97"/>
      <c r="W117" s="97"/>
      <c r="X117" s="97"/>
      <c r="Y117" s="233" t="s">
        <v>28</v>
      </c>
      <c r="Z117" s="233"/>
      <c r="AA117" s="233"/>
      <c r="AB117" s="233"/>
      <c r="AC117" s="235"/>
      <c r="AD117" s="235">
        <f>SUM(AD118:AD131)</f>
        <v>21088000</v>
      </c>
      <c r="AE117" s="234" t="s">
        <v>25</v>
      </c>
      <c r="AF117" s="1"/>
    </row>
    <row r="118" spans="1:32" s="11" customFormat="1" ht="21" customHeight="1">
      <c r="A118" s="46"/>
      <c r="B118" s="47"/>
      <c r="C118" s="47" t="s">
        <v>313</v>
      </c>
      <c r="D118" s="210"/>
      <c r="E118" s="121"/>
      <c r="F118" s="121"/>
      <c r="G118" s="121"/>
      <c r="H118" s="121"/>
      <c r="I118" s="121"/>
      <c r="J118" s="121"/>
      <c r="K118" s="121"/>
      <c r="L118" s="121"/>
      <c r="M118" s="121"/>
      <c r="N118" s="72"/>
      <c r="O118" s="216" t="s">
        <v>165</v>
      </c>
      <c r="P118" s="51"/>
      <c r="Q118" s="51"/>
      <c r="R118" s="51"/>
      <c r="S118" s="52"/>
      <c r="T118" s="56"/>
      <c r="U118" s="52"/>
      <c r="V118" s="520"/>
      <c r="W118" s="521"/>
      <c r="X118" s="52"/>
      <c r="Y118" s="96"/>
      <c r="Z118" s="96"/>
      <c r="AA118" s="96"/>
      <c r="AB118" s="96"/>
      <c r="AC118" s="96"/>
      <c r="AD118" s="455">
        <v>1500000</v>
      </c>
      <c r="AE118" s="136" t="s">
        <v>25</v>
      </c>
      <c r="AF118" s="1"/>
    </row>
    <row r="119" spans="1:32" s="11" customFormat="1" ht="21" customHeight="1">
      <c r="A119" s="46"/>
      <c r="B119" s="47"/>
      <c r="C119" s="47"/>
      <c r="D119" s="210"/>
      <c r="E119" s="121"/>
      <c r="F119" s="121"/>
      <c r="G119" s="121"/>
      <c r="H119" s="121"/>
      <c r="I119" s="121"/>
      <c r="J119" s="121"/>
      <c r="K119" s="121"/>
      <c r="L119" s="121"/>
      <c r="M119" s="121"/>
      <c r="N119" s="72"/>
      <c r="O119" s="253" t="s">
        <v>294</v>
      </c>
      <c r="P119" s="51"/>
      <c r="Q119" s="51"/>
      <c r="R119" s="51"/>
      <c r="S119" s="52"/>
      <c r="T119" s="56"/>
      <c r="U119" s="56"/>
      <c r="V119" s="52"/>
      <c r="W119" s="51"/>
      <c r="X119" s="52"/>
      <c r="Y119" s="52"/>
      <c r="Z119" s="52"/>
      <c r="AA119" s="52"/>
      <c r="AB119" s="52"/>
      <c r="AC119" s="52"/>
      <c r="AD119" s="438">
        <v>1344000</v>
      </c>
      <c r="AE119" s="59" t="s">
        <v>25</v>
      </c>
      <c r="AF119" s="20"/>
    </row>
    <row r="120" spans="1:32" s="11" customFormat="1" ht="21" customHeight="1">
      <c r="A120" s="46"/>
      <c r="B120" s="47"/>
      <c r="C120" s="47"/>
      <c r="D120" s="210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53" t="s">
        <v>295</v>
      </c>
      <c r="P120" s="51"/>
      <c r="Q120" s="51"/>
      <c r="R120" s="51"/>
      <c r="S120" s="52"/>
      <c r="T120" s="56"/>
      <c r="U120" s="56"/>
      <c r="V120" s="52"/>
      <c r="W120" s="51"/>
      <c r="X120" s="52"/>
      <c r="Y120" s="52"/>
      <c r="Z120" s="52"/>
      <c r="AA120" s="52"/>
      <c r="AB120" s="52"/>
      <c r="AC120" s="52"/>
      <c r="AD120" s="438">
        <v>1200000</v>
      </c>
      <c r="AE120" s="59" t="s">
        <v>25</v>
      </c>
      <c r="AF120" s="20"/>
    </row>
    <row r="121" spans="1:32" s="11" customFormat="1" ht="21" customHeight="1">
      <c r="A121" s="46"/>
      <c r="B121" s="47"/>
      <c r="C121" s="47"/>
      <c r="D121" s="210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3" t="s">
        <v>296</v>
      </c>
      <c r="P121" s="144"/>
      <c r="Q121" s="144"/>
      <c r="R121" s="144"/>
      <c r="S121" s="143"/>
      <c r="T121" s="56"/>
      <c r="U121" s="56"/>
      <c r="V121" s="143"/>
      <c r="W121" s="144"/>
      <c r="X121" s="143"/>
      <c r="Y121" s="143"/>
      <c r="Z121" s="143"/>
      <c r="AA121" s="143"/>
      <c r="AB121" s="188"/>
      <c r="AC121" s="143"/>
      <c r="AD121" s="438">
        <v>1254000</v>
      </c>
      <c r="AE121" s="59" t="s">
        <v>69</v>
      </c>
      <c r="AF121" s="20"/>
    </row>
    <row r="122" spans="1:32" s="11" customFormat="1" ht="21" customHeight="1">
      <c r="A122" s="46"/>
      <c r="B122" s="47"/>
      <c r="C122" s="47"/>
      <c r="D122" s="210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3" t="s">
        <v>297</v>
      </c>
      <c r="P122" s="51"/>
      <c r="Q122" s="51"/>
      <c r="R122" s="51"/>
      <c r="S122" s="52"/>
      <c r="T122" s="56"/>
      <c r="U122" s="56"/>
      <c r="V122" s="52"/>
      <c r="W122" s="51"/>
      <c r="X122" s="52"/>
      <c r="Y122" s="52"/>
      <c r="Z122" s="52"/>
      <c r="AA122" s="52"/>
      <c r="AB122" s="52"/>
      <c r="AC122" s="52"/>
      <c r="AD122" s="438">
        <v>3000000</v>
      </c>
      <c r="AE122" s="59" t="s">
        <v>25</v>
      </c>
      <c r="AF122" s="20"/>
    </row>
    <row r="123" spans="1:32" s="11" customFormat="1" ht="21" customHeight="1">
      <c r="A123" s="46"/>
      <c r="B123" s="47"/>
      <c r="C123" s="47"/>
      <c r="D123" s="210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3" t="s">
        <v>298</v>
      </c>
      <c r="P123" s="51"/>
      <c r="Q123" s="51"/>
      <c r="R123" s="51"/>
      <c r="S123" s="52"/>
      <c r="T123" s="56"/>
      <c r="U123" s="56"/>
      <c r="V123" s="52"/>
      <c r="W123" s="51"/>
      <c r="X123" s="52"/>
      <c r="Y123" s="52"/>
      <c r="Z123" s="52"/>
      <c r="AA123" s="52"/>
      <c r="AB123" s="52"/>
      <c r="AC123" s="52"/>
      <c r="AD123" s="438">
        <v>450000</v>
      </c>
      <c r="AE123" s="59" t="s">
        <v>25</v>
      </c>
      <c r="AF123" s="20"/>
    </row>
    <row r="124" spans="1:32" s="11" customFormat="1" ht="21" customHeight="1">
      <c r="A124" s="46"/>
      <c r="B124" s="47"/>
      <c r="C124" s="47"/>
      <c r="D124" s="210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3" t="s">
        <v>299</v>
      </c>
      <c r="P124" s="144"/>
      <c r="Q124" s="144"/>
      <c r="R124" s="144"/>
      <c r="S124" s="143"/>
      <c r="T124" s="56"/>
      <c r="U124" s="56"/>
      <c r="V124" s="143"/>
      <c r="W124" s="144"/>
      <c r="X124" s="143"/>
      <c r="Y124" s="143"/>
      <c r="Z124" s="143"/>
      <c r="AA124" s="143"/>
      <c r="AB124" s="143"/>
      <c r="AC124" s="143"/>
      <c r="AD124" s="438">
        <v>2400000</v>
      </c>
      <c r="AE124" s="59" t="s">
        <v>69</v>
      </c>
      <c r="AF124" s="20"/>
    </row>
    <row r="125" spans="1:32" s="11" customFormat="1" ht="21" customHeight="1">
      <c r="A125" s="46"/>
      <c r="B125" s="47"/>
      <c r="C125" s="47"/>
      <c r="D125" s="210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3" t="s">
        <v>300</v>
      </c>
      <c r="P125" s="144"/>
      <c r="Q125" s="144"/>
      <c r="R125" s="144"/>
      <c r="S125" s="143"/>
      <c r="T125" s="56"/>
      <c r="U125" s="56"/>
      <c r="V125" s="143"/>
      <c r="W125" s="144"/>
      <c r="X125" s="143"/>
      <c r="Y125" s="143"/>
      <c r="Z125" s="143"/>
      <c r="AA125" s="143"/>
      <c r="AB125" s="143"/>
      <c r="AC125" s="143"/>
      <c r="AD125" s="438">
        <v>800000</v>
      </c>
      <c r="AE125" s="59" t="s">
        <v>69</v>
      </c>
      <c r="AF125" s="20"/>
    </row>
    <row r="126" spans="1:32" s="11" customFormat="1" ht="21" customHeight="1">
      <c r="A126" s="46"/>
      <c r="B126" s="47"/>
      <c r="C126" s="47"/>
      <c r="D126" s="210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3" t="s">
        <v>301</v>
      </c>
      <c r="P126" s="144"/>
      <c r="Q126" s="144"/>
      <c r="R126" s="144"/>
      <c r="S126" s="143"/>
      <c r="T126" s="56"/>
      <c r="U126" s="56"/>
      <c r="V126" s="143"/>
      <c r="W126" s="144"/>
      <c r="X126" s="143"/>
      <c r="Y126" s="143"/>
      <c r="Z126" s="143"/>
      <c r="AA126" s="143"/>
      <c r="AB126" s="143"/>
      <c r="AC126" s="143"/>
      <c r="AD126" s="438">
        <v>2000000</v>
      </c>
      <c r="AE126" s="59" t="s">
        <v>69</v>
      </c>
      <c r="AF126" s="20"/>
    </row>
    <row r="127" spans="1:32" s="11" customFormat="1" ht="21" customHeight="1">
      <c r="A127" s="46"/>
      <c r="B127" s="47"/>
      <c r="C127" s="47"/>
      <c r="D127" s="210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3" t="s">
        <v>302</v>
      </c>
      <c r="P127" s="51"/>
      <c r="Q127" s="51"/>
      <c r="R127" s="51"/>
      <c r="S127" s="52"/>
      <c r="T127" s="56"/>
      <c r="U127" s="56"/>
      <c r="V127" s="52"/>
      <c r="W127" s="51"/>
      <c r="X127" s="52"/>
      <c r="Y127" s="52"/>
      <c r="Z127" s="52"/>
      <c r="AA127" s="52"/>
      <c r="AB127" s="178"/>
      <c r="AC127" s="52"/>
      <c r="AD127" s="438">
        <v>1500000</v>
      </c>
      <c r="AE127" s="59" t="s">
        <v>98</v>
      </c>
      <c r="AF127" s="20"/>
    </row>
    <row r="128" spans="1:32" s="11" customFormat="1" ht="21" customHeight="1">
      <c r="A128" s="46"/>
      <c r="B128" s="47"/>
      <c r="C128" s="47"/>
      <c r="D128" s="210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3" t="s">
        <v>303</v>
      </c>
      <c r="P128" s="187"/>
      <c r="Q128" s="187"/>
      <c r="R128" s="187"/>
      <c r="S128" s="146">
        <v>250000</v>
      </c>
      <c r="T128" s="147" t="s">
        <v>57</v>
      </c>
      <c r="U128" s="147" t="s">
        <v>26</v>
      </c>
      <c r="V128" s="146">
        <v>12</v>
      </c>
      <c r="W128" s="145" t="s">
        <v>29</v>
      </c>
      <c r="X128" s="146" t="s">
        <v>27</v>
      </c>
      <c r="Y128" s="146"/>
      <c r="Z128" s="146"/>
      <c r="AA128" s="146"/>
      <c r="AB128" s="146"/>
      <c r="AC128" s="146"/>
      <c r="AD128" s="438">
        <f>S128*V128</f>
        <v>3000000</v>
      </c>
      <c r="AE128" s="59" t="s">
        <v>215</v>
      </c>
      <c r="AF128" s="20"/>
    </row>
    <row r="129" spans="1:32" s="11" customFormat="1" ht="21" customHeight="1">
      <c r="A129" s="46"/>
      <c r="B129" s="47"/>
      <c r="C129" s="47"/>
      <c r="D129" s="210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253" t="s">
        <v>304</v>
      </c>
      <c r="P129" s="253"/>
      <c r="Q129" s="253"/>
      <c r="R129" s="253"/>
      <c r="S129" s="146"/>
      <c r="T129" s="147"/>
      <c r="U129" s="147"/>
      <c r="V129" s="146"/>
      <c r="W129" s="145"/>
      <c r="X129" s="146"/>
      <c r="Y129" s="146"/>
      <c r="Z129" s="146"/>
      <c r="AA129" s="146"/>
      <c r="AB129" s="146"/>
      <c r="AC129" s="146"/>
      <c r="AD129" s="438">
        <v>200000</v>
      </c>
      <c r="AE129" s="59" t="s">
        <v>279</v>
      </c>
      <c r="AF129" s="20"/>
    </row>
    <row r="130" spans="1:32" s="11" customFormat="1" ht="21" customHeight="1">
      <c r="A130" s="46"/>
      <c r="B130" s="47"/>
      <c r="C130" s="47"/>
      <c r="D130" s="210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253" t="s">
        <v>305</v>
      </c>
      <c r="P130" s="51"/>
      <c r="Q130" s="51"/>
      <c r="R130" s="51"/>
      <c r="S130" s="52"/>
      <c r="T130" s="56"/>
      <c r="U130" s="52"/>
      <c r="V130" s="520"/>
      <c r="W130" s="521"/>
      <c r="X130" s="52"/>
      <c r="Y130" s="52"/>
      <c r="Z130" s="52"/>
      <c r="AA130" s="52"/>
      <c r="AB130" s="422"/>
      <c r="AC130" s="52"/>
      <c r="AD130" s="438">
        <v>1500000</v>
      </c>
      <c r="AE130" s="59" t="s">
        <v>25</v>
      </c>
      <c r="AF130" s="1"/>
    </row>
    <row r="131" spans="1:32" s="11" customFormat="1" ht="21" customHeight="1">
      <c r="A131" s="46"/>
      <c r="B131" s="47"/>
      <c r="C131" s="47"/>
      <c r="D131" s="210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253" t="s">
        <v>306</v>
      </c>
      <c r="P131" s="51"/>
      <c r="Q131" s="51"/>
      <c r="R131" s="51"/>
      <c r="S131" s="52"/>
      <c r="T131" s="56"/>
      <c r="U131" s="52"/>
      <c r="V131" s="52"/>
      <c r="W131" s="51"/>
      <c r="X131" s="52"/>
      <c r="Y131" s="52"/>
      <c r="Z131" s="52"/>
      <c r="AA131" s="52"/>
      <c r="AB131" s="276"/>
      <c r="AC131" s="52"/>
      <c r="AD131" s="438">
        <f>SUM(AD132:AD134)</f>
        <v>940000</v>
      </c>
      <c r="AE131" s="59" t="s">
        <v>98</v>
      </c>
      <c r="AF131" s="1"/>
    </row>
    <row r="132" spans="1:32" s="11" customFormat="1" ht="21" customHeight="1">
      <c r="A132" s="46"/>
      <c r="B132" s="47"/>
      <c r="C132" s="47"/>
      <c r="D132" s="210"/>
      <c r="E132" s="121"/>
      <c r="F132" s="121"/>
      <c r="G132" s="121"/>
      <c r="H132" s="121"/>
      <c r="I132" s="121"/>
      <c r="J132" s="121"/>
      <c r="K132" s="121"/>
      <c r="L132" s="121"/>
      <c r="M132" s="121"/>
      <c r="N132" s="72"/>
      <c r="O132" s="145" t="s">
        <v>117</v>
      </c>
      <c r="P132" s="145"/>
      <c r="Q132" s="145"/>
      <c r="R132" s="145"/>
      <c r="S132" s="146">
        <v>55000</v>
      </c>
      <c r="T132" s="147" t="s">
        <v>95</v>
      </c>
      <c r="U132" s="147" t="s">
        <v>26</v>
      </c>
      <c r="V132" s="146">
        <v>12</v>
      </c>
      <c r="W132" s="145" t="s">
        <v>29</v>
      </c>
      <c r="X132" s="146" t="s">
        <v>27</v>
      </c>
      <c r="Y132" s="146"/>
      <c r="Z132" s="146"/>
      <c r="AA132" s="146"/>
      <c r="AB132" s="146"/>
      <c r="AC132" s="146"/>
      <c r="AD132" s="438">
        <f>S132*V132</f>
        <v>660000</v>
      </c>
      <c r="AE132" s="148" t="s">
        <v>98</v>
      </c>
      <c r="AF132" s="1"/>
    </row>
    <row r="133" spans="1:32" s="11" customFormat="1" ht="21" customHeight="1">
      <c r="A133" s="46"/>
      <c r="B133" s="47"/>
      <c r="C133" s="47"/>
      <c r="D133" s="210"/>
      <c r="E133" s="121"/>
      <c r="F133" s="121"/>
      <c r="G133" s="121"/>
      <c r="H133" s="121"/>
      <c r="I133" s="121"/>
      <c r="J133" s="121"/>
      <c r="K133" s="121"/>
      <c r="L133" s="121"/>
      <c r="M133" s="121"/>
      <c r="N133" s="72"/>
      <c r="O133" s="145" t="s">
        <v>118</v>
      </c>
      <c r="P133" s="145"/>
      <c r="Q133" s="145"/>
      <c r="R133" s="145"/>
      <c r="S133" s="146">
        <v>15000</v>
      </c>
      <c r="T133" s="147" t="s">
        <v>95</v>
      </c>
      <c r="U133" s="147" t="s">
        <v>26</v>
      </c>
      <c r="V133" s="146">
        <v>12</v>
      </c>
      <c r="W133" s="145" t="s">
        <v>29</v>
      </c>
      <c r="X133" s="146" t="s">
        <v>27</v>
      </c>
      <c r="Y133" s="146"/>
      <c r="Z133" s="146"/>
      <c r="AA133" s="146"/>
      <c r="AB133" s="146"/>
      <c r="AC133" s="146"/>
      <c r="AD133" s="438">
        <f>S133*V133</f>
        <v>180000</v>
      </c>
      <c r="AE133" s="148" t="s">
        <v>98</v>
      </c>
      <c r="AF133" s="1"/>
    </row>
    <row r="134" spans="1:32" s="11" customFormat="1" ht="21" customHeight="1">
      <c r="A134" s="46"/>
      <c r="B134" s="47"/>
      <c r="C134" s="61"/>
      <c r="D134" s="211"/>
      <c r="E134" s="124"/>
      <c r="F134" s="124"/>
      <c r="G134" s="124"/>
      <c r="H134" s="124"/>
      <c r="I134" s="124"/>
      <c r="J134" s="124"/>
      <c r="K134" s="124"/>
      <c r="L134" s="124"/>
      <c r="M134" s="124"/>
      <c r="N134" s="92"/>
      <c r="O134" s="149" t="s">
        <v>119</v>
      </c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456">
        <v>100000</v>
      </c>
      <c r="AE134" s="150" t="s">
        <v>98</v>
      </c>
      <c r="AF134" s="1"/>
    </row>
    <row r="135" spans="1:32" s="11" customFormat="1" ht="21" customHeight="1">
      <c r="A135" s="46"/>
      <c r="B135" s="47"/>
      <c r="C135" s="47" t="s">
        <v>39</v>
      </c>
      <c r="D135" s="210">
        <v>28183</v>
      </c>
      <c r="E135" s="121">
        <f>ROUND(AD135/1000,0)</f>
        <v>27790</v>
      </c>
      <c r="F135" s="121">
        <v>23000</v>
      </c>
      <c r="G135" s="121">
        <v>0</v>
      </c>
      <c r="H135" s="121">
        <v>0</v>
      </c>
      <c r="I135" s="121">
        <v>0</v>
      </c>
      <c r="J135" s="121">
        <v>4790</v>
      </c>
      <c r="K135" s="121">
        <v>0</v>
      </c>
      <c r="L135" s="121">
        <v>0</v>
      </c>
      <c r="M135" s="121">
        <f>E135-D135</f>
        <v>-393</v>
      </c>
      <c r="N135" s="72">
        <f>IF(D135=0,0,M135/D135)</f>
        <v>-1.3944576517758933E-2</v>
      </c>
      <c r="O135" s="129" t="s">
        <v>43</v>
      </c>
      <c r="P135" s="33"/>
      <c r="Q135" s="33"/>
      <c r="R135" s="33"/>
      <c r="S135" s="33"/>
      <c r="T135" s="34"/>
      <c r="U135" s="34"/>
      <c r="V135" s="34"/>
      <c r="W135" s="34"/>
      <c r="X135" s="34"/>
      <c r="Y135" s="233" t="s">
        <v>285</v>
      </c>
      <c r="Z135" s="233"/>
      <c r="AA135" s="233"/>
      <c r="AB135" s="233"/>
      <c r="AC135" s="235"/>
      <c r="AD135" s="235">
        <f>ROUND(SUM(AD136:AD141),-3)</f>
        <v>27790000</v>
      </c>
      <c r="AE135" s="234" t="s">
        <v>25</v>
      </c>
      <c r="AF135" s="1"/>
    </row>
    <row r="136" spans="1:32" s="11" customFormat="1" ht="21" customHeight="1">
      <c r="A136" s="46"/>
      <c r="B136" s="47"/>
      <c r="C136" s="47"/>
      <c r="D136" s="210"/>
      <c r="E136" s="121"/>
      <c r="F136" s="121"/>
      <c r="G136" s="121"/>
      <c r="H136" s="121"/>
      <c r="I136" s="121"/>
      <c r="J136" s="121"/>
      <c r="K136" s="121"/>
      <c r="L136" s="121"/>
      <c r="M136" s="121"/>
      <c r="N136" s="72"/>
      <c r="O136" s="216" t="s">
        <v>120</v>
      </c>
      <c r="P136" s="51"/>
      <c r="Q136" s="51"/>
      <c r="R136" s="51"/>
      <c r="S136" s="146">
        <v>100000</v>
      </c>
      <c r="T136" s="147" t="s">
        <v>25</v>
      </c>
      <c r="U136" s="147" t="s">
        <v>26</v>
      </c>
      <c r="V136" s="146">
        <v>12</v>
      </c>
      <c r="W136" s="145" t="s">
        <v>29</v>
      </c>
      <c r="X136" s="146" t="s">
        <v>27</v>
      </c>
      <c r="Y136" s="52"/>
      <c r="Z136" s="52"/>
      <c r="AA136" s="143"/>
      <c r="AB136" s="52"/>
      <c r="AC136" s="52"/>
      <c r="AD136" s="438">
        <f>S136*V136</f>
        <v>1200000</v>
      </c>
      <c r="AE136" s="59" t="s">
        <v>25</v>
      </c>
      <c r="AF136" s="1"/>
    </row>
    <row r="137" spans="1:32" s="11" customFormat="1" ht="21" customHeight="1">
      <c r="A137" s="46"/>
      <c r="B137" s="47"/>
      <c r="C137" s="47"/>
      <c r="D137" s="210"/>
      <c r="E137" s="121"/>
      <c r="F137" s="121"/>
      <c r="G137" s="121"/>
      <c r="H137" s="121"/>
      <c r="I137" s="121"/>
      <c r="J137" s="121"/>
      <c r="K137" s="121"/>
      <c r="L137" s="121"/>
      <c r="M137" s="121"/>
      <c r="N137" s="72"/>
      <c r="O137" s="206" t="s">
        <v>216</v>
      </c>
      <c r="P137" s="187"/>
      <c r="Q137" s="187"/>
      <c r="R137" s="187"/>
      <c r="S137" s="252">
        <v>35000</v>
      </c>
      <c r="T137" s="56" t="s">
        <v>57</v>
      </c>
      <c r="U137" s="56" t="s">
        <v>26</v>
      </c>
      <c r="V137" s="252">
        <v>12</v>
      </c>
      <c r="W137" s="253" t="s">
        <v>0</v>
      </c>
      <c r="X137" s="252" t="s">
        <v>27</v>
      </c>
      <c r="Y137" s="252"/>
      <c r="Z137" s="252"/>
      <c r="AA137" s="252"/>
      <c r="AB137" s="252"/>
      <c r="AC137" s="252"/>
      <c r="AD137" s="438">
        <f>S137*V137</f>
        <v>420000</v>
      </c>
      <c r="AE137" s="59" t="s">
        <v>215</v>
      </c>
      <c r="AF137" s="1"/>
    </row>
    <row r="138" spans="1:32" s="11" customFormat="1" ht="21" customHeight="1">
      <c r="A138" s="46"/>
      <c r="B138" s="47"/>
      <c r="C138" s="47"/>
      <c r="D138" s="210"/>
      <c r="E138" s="121"/>
      <c r="F138" s="121"/>
      <c r="G138" s="121"/>
      <c r="H138" s="121"/>
      <c r="I138" s="121"/>
      <c r="J138" s="121"/>
      <c r="K138" s="121"/>
      <c r="L138" s="121"/>
      <c r="M138" s="121"/>
      <c r="N138" s="72"/>
      <c r="O138" s="206" t="s">
        <v>121</v>
      </c>
      <c r="P138" s="51"/>
      <c r="Q138" s="51"/>
      <c r="R138" s="51"/>
      <c r="S138" s="252">
        <v>1200000</v>
      </c>
      <c r="T138" s="56" t="s">
        <v>57</v>
      </c>
      <c r="U138" s="56" t="s">
        <v>26</v>
      </c>
      <c r="V138" s="252">
        <v>12</v>
      </c>
      <c r="W138" s="253" t="s">
        <v>0</v>
      </c>
      <c r="X138" s="252" t="s">
        <v>27</v>
      </c>
      <c r="Y138" s="252"/>
      <c r="Z138" s="252"/>
      <c r="AA138" s="252"/>
      <c r="AB138" s="252"/>
      <c r="AC138" s="252"/>
      <c r="AD138" s="438">
        <f>S138*V138</f>
        <v>14400000</v>
      </c>
      <c r="AE138" s="59" t="s">
        <v>25</v>
      </c>
      <c r="AF138" s="1"/>
    </row>
    <row r="139" spans="1:32" s="14" customFormat="1" ht="21" customHeight="1">
      <c r="A139" s="46"/>
      <c r="B139" s="47"/>
      <c r="C139" s="47"/>
      <c r="D139" s="210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206" t="s">
        <v>122</v>
      </c>
      <c r="P139" s="51"/>
      <c r="Q139" s="51"/>
      <c r="R139" s="51"/>
      <c r="S139" s="252">
        <v>850000</v>
      </c>
      <c r="T139" s="56" t="s">
        <v>57</v>
      </c>
      <c r="U139" s="56" t="s">
        <v>26</v>
      </c>
      <c r="V139" s="252">
        <v>12</v>
      </c>
      <c r="W139" s="253" t="s">
        <v>0</v>
      </c>
      <c r="X139" s="252" t="s">
        <v>27</v>
      </c>
      <c r="Y139" s="252"/>
      <c r="Z139" s="252"/>
      <c r="AA139" s="252"/>
      <c r="AB139" s="252"/>
      <c r="AC139" s="252"/>
      <c r="AD139" s="438">
        <f>S139*V139</f>
        <v>10200000</v>
      </c>
      <c r="AE139" s="59" t="s">
        <v>25</v>
      </c>
      <c r="AF139" s="4"/>
    </row>
    <row r="140" spans="1:32" s="14" customFormat="1" ht="21" customHeight="1">
      <c r="A140" s="46"/>
      <c r="B140" s="47"/>
      <c r="C140" s="47"/>
      <c r="D140" s="210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144" t="s">
        <v>166</v>
      </c>
      <c r="P140" s="51"/>
      <c r="Q140" s="51"/>
      <c r="R140" s="51"/>
      <c r="S140" s="252">
        <v>10000</v>
      </c>
      <c r="T140" s="56" t="s">
        <v>57</v>
      </c>
      <c r="U140" s="56" t="s">
        <v>26</v>
      </c>
      <c r="V140" s="252">
        <v>12</v>
      </c>
      <c r="W140" s="253" t="s">
        <v>0</v>
      </c>
      <c r="X140" s="252" t="s">
        <v>27</v>
      </c>
      <c r="Y140" s="252"/>
      <c r="Z140" s="252"/>
      <c r="AA140" s="252"/>
      <c r="AB140" s="252"/>
      <c r="AC140" s="252"/>
      <c r="AD140" s="438">
        <f>S140*V140</f>
        <v>120000</v>
      </c>
      <c r="AE140" s="59" t="s">
        <v>25</v>
      </c>
      <c r="AF140" s="4"/>
    </row>
    <row r="141" spans="1:32" s="14" customFormat="1" ht="21" customHeight="1">
      <c r="A141" s="46"/>
      <c r="B141" s="47"/>
      <c r="C141" s="47"/>
      <c r="D141" s="210"/>
      <c r="E141" s="121"/>
      <c r="F141" s="121"/>
      <c r="G141" s="121"/>
      <c r="H141" s="121"/>
      <c r="I141" s="121"/>
      <c r="J141" s="121"/>
      <c r="K141" s="121"/>
      <c r="L141" s="121"/>
      <c r="M141" s="121"/>
      <c r="N141" s="72"/>
      <c r="O141" s="182" t="s">
        <v>186</v>
      </c>
      <c r="P141" s="144"/>
      <c r="Q141" s="144"/>
      <c r="R141" s="144"/>
      <c r="S141" s="143"/>
      <c r="T141" s="56"/>
      <c r="U141" s="56"/>
      <c r="V141" s="143"/>
      <c r="W141" s="144"/>
      <c r="X141" s="143"/>
      <c r="Y141" s="143"/>
      <c r="Z141" s="143"/>
      <c r="AA141" s="143"/>
      <c r="AB141" s="143"/>
      <c r="AC141" s="143"/>
      <c r="AD141" s="438">
        <v>1450000</v>
      </c>
      <c r="AE141" s="59" t="s">
        <v>69</v>
      </c>
      <c r="AF141" s="4"/>
    </row>
    <row r="142" spans="1:32" s="14" customFormat="1" ht="21" customHeight="1">
      <c r="A142" s="46"/>
      <c r="B142" s="47"/>
      <c r="C142" s="47"/>
      <c r="D142" s="210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133"/>
      <c r="P142" s="51"/>
      <c r="Q142" s="51"/>
      <c r="R142" s="51"/>
      <c r="S142" s="52"/>
      <c r="T142" s="56"/>
      <c r="U142" s="56"/>
      <c r="V142" s="52"/>
      <c r="W142" s="51"/>
      <c r="X142" s="52"/>
      <c r="Y142" s="52"/>
      <c r="Z142" s="52"/>
      <c r="AA142" s="52"/>
      <c r="AB142" s="178"/>
      <c r="AC142" s="52"/>
      <c r="AD142" s="52"/>
      <c r="AE142" s="59"/>
      <c r="AF142" s="4"/>
    </row>
    <row r="143" spans="1:32" ht="21" customHeight="1">
      <c r="A143" s="46"/>
      <c r="B143" s="47"/>
      <c r="C143" s="37" t="s">
        <v>15</v>
      </c>
      <c r="D143" s="212">
        <v>7719</v>
      </c>
      <c r="E143" s="126">
        <f>ROUND(AD143/1000,0)</f>
        <v>7470</v>
      </c>
      <c r="F143" s="126">
        <v>7350</v>
      </c>
      <c r="G143" s="126">
        <v>0</v>
      </c>
      <c r="H143" s="126">
        <v>0</v>
      </c>
      <c r="I143" s="126">
        <v>0</v>
      </c>
      <c r="J143" s="126">
        <v>0</v>
      </c>
      <c r="K143" s="126">
        <v>0</v>
      </c>
      <c r="L143" s="126">
        <v>120</v>
      </c>
      <c r="M143" s="261">
        <f>E143-D143</f>
        <v>-249</v>
      </c>
      <c r="N143" s="134">
        <f>IF(D143=0,0,M143/D143)</f>
        <v>-3.2258064516129031E-2</v>
      </c>
      <c r="O143" s="107" t="s">
        <v>44</v>
      </c>
      <c r="P143" s="103"/>
      <c r="Q143" s="103"/>
      <c r="R143" s="103"/>
      <c r="S143" s="103"/>
      <c r="T143" s="97"/>
      <c r="U143" s="97"/>
      <c r="V143" s="97"/>
      <c r="W143" s="97"/>
      <c r="X143" s="97"/>
      <c r="Y143" s="233" t="s">
        <v>285</v>
      </c>
      <c r="Z143" s="233"/>
      <c r="AA143" s="233"/>
      <c r="AB143" s="233"/>
      <c r="AC143" s="235"/>
      <c r="AD143" s="235">
        <f>SUM(AD145:AD155)</f>
        <v>7470000</v>
      </c>
      <c r="AE143" s="234" t="s">
        <v>25</v>
      </c>
    </row>
    <row r="144" spans="1:32" s="11" customFormat="1" ht="21" customHeight="1">
      <c r="A144" s="46"/>
      <c r="B144" s="47"/>
      <c r="C144" s="47"/>
      <c r="D144" s="210"/>
      <c r="E144" s="121"/>
      <c r="F144" s="121"/>
      <c r="G144" s="121"/>
      <c r="H144" s="121"/>
      <c r="I144" s="121"/>
      <c r="J144" s="121"/>
      <c r="K144" s="121"/>
      <c r="L144" s="121"/>
      <c r="M144" s="121"/>
      <c r="N144" s="72"/>
      <c r="O144" s="51" t="s">
        <v>123</v>
      </c>
      <c r="P144" s="51"/>
      <c r="Q144" s="51"/>
      <c r="R144" s="51"/>
      <c r="S144" s="51"/>
      <c r="T144" s="52"/>
      <c r="U144" s="52"/>
      <c r="V144" s="52"/>
      <c r="W144" s="52"/>
      <c r="X144" s="52"/>
      <c r="Y144" s="52"/>
      <c r="Z144" s="52"/>
      <c r="AA144" s="52"/>
      <c r="AB144" s="52"/>
      <c r="AC144" s="70"/>
      <c r="AD144" s="70"/>
      <c r="AE144" s="59"/>
      <c r="AF144" s="1"/>
    </row>
    <row r="145" spans="1:32" s="11" customFormat="1" ht="21" customHeight="1">
      <c r="A145" s="46"/>
      <c r="B145" s="47"/>
      <c r="C145" s="47"/>
      <c r="D145" s="210"/>
      <c r="E145" s="121"/>
      <c r="F145" s="121"/>
      <c r="G145" s="121"/>
      <c r="H145" s="121"/>
      <c r="I145" s="121"/>
      <c r="J145" s="121"/>
      <c r="K145" s="121"/>
      <c r="L145" s="121"/>
      <c r="M145" s="121"/>
      <c r="N145" s="72"/>
      <c r="O145" s="51" t="s">
        <v>124</v>
      </c>
      <c r="P145" s="151"/>
      <c r="Q145" s="151"/>
      <c r="R145" s="151"/>
      <c r="S145" s="52">
        <v>100000</v>
      </c>
      <c r="T145" s="56" t="s">
        <v>95</v>
      </c>
      <c r="U145" s="56" t="s">
        <v>26</v>
      </c>
      <c r="V145" s="52">
        <v>12</v>
      </c>
      <c r="W145" s="51" t="s">
        <v>112</v>
      </c>
      <c r="X145" s="52" t="s">
        <v>27</v>
      </c>
      <c r="Y145" s="52"/>
      <c r="Z145" s="52"/>
      <c r="AA145" s="52"/>
      <c r="AB145" s="422" t="s">
        <v>657</v>
      </c>
      <c r="AC145" s="52"/>
      <c r="AD145" s="438">
        <f>S145*V145</f>
        <v>1200000</v>
      </c>
      <c r="AE145" s="59" t="s">
        <v>25</v>
      </c>
      <c r="AF145" s="1"/>
    </row>
    <row r="146" spans="1:32" s="11" customFormat="1" ht="21" customHeight="1">
      <c r="A146" s="46"/>
      <c r="B146" s="47"/>
      <c r="C146" s="47"/>
      <c r="D146" s="210"/>
      <c r="E146" s="121"/>
      <c r="F146" s="121"/>
      <c r="G146" s="121"/>
      <c r="H146" s="121"/>
      <c r="I146" s="121"/>
      <c r="J146" s="121"/>
      <c r="K146" s="121"/>
      <c r="L146" s="121"/>
      <c r="M146" s="121"/>
      <c r="N146" s="72"/>
      <c r="O146" s="51" t="s">
        <v>125</v>
      </c>
      <c r="P146" s="151"/>
      <c r="Q146" s="151"/>
      <c r="R146" s="151"/>
      <c r="S146" s="52">
        <v>80000</v>
      </c>
      <c r="T146" s="56" t="s">
        <v>95</v>
      </c>
      <c r="U146" s="56" t="s">
        <v>26</v>
      </c>
      <c r="V146" s="52">
        <v>12</v>
      </c>
      <c r="W146" s="51" t="s">
        <v>112</v>
      </c>
      <c r="X146" s="52" t="s">
        <v>27</v>
      </c>
      <c r="Y146" s="52"/>
      <c r="Z146" s="52"/>
      <c r="AA146" s="52"/>
      <c r="AB146" s="431" t="s">
        <v>710</v>
      </c>
      <c r="AC146" s="52"/>
      <c r="AD146" s="438">
        <f>S146*V146</f>
        <v>960000</v>
      </c>
      <c r="AE146" s="59" t="s">
        <v>25</v>
      </c>
      <c r="AF146" s="1"/>
    </row>
    <row r="147" spans="1:32" s="11" customFormat="1" ht="21" customHeight="1">
      <c r="A147" s="46"/>
      <c r="B147" s="47"/>
      <c r="C147" s="47"/>
      <c r="D147" s="210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51" t="s">
        <v>126</v>
      </c>
      <c r="P147" s="151"/>
      <c r="Q147" s="151"/>
      <c r="R147" s="151"/>
      <c r="S147" s="52">
        <v>10000</v>
      </c>
      <c r="T147" s="56" t="s">
        <v>95</v>
      </c>
      <c r="U147" s="56" t="s">
        <v>26</v>
      </c>
      <c r="V147" s="52">
        <v>12</v>
      </c>
      <c r="W147" s="51" t="s">
        <v>112</v>
      </c>
      <c r="X147" s="52" t="s">
        <v>27</v>
      </c>
      <c r="Y147" s="52"/>
      <c r="Z147" s="52"/>
      <c r="AA147" s="52"/>
      <c r="AB147" s="276" t="s">
        <v>382</v>
      </c>
      <c r="AC147" s="52"/>
      <c r="AD147" s="438">
        <f>S147*V147</f>
        <v>120000</v>
      </c>
      <c r="AE147" s="59" t="s">
        <v>25</v>
      </c>
      <c r="AF147" s="1"/>
    </row>
    <row r="148" spans="1:32" s="11" customFormat="1" ht="21" customHeight="1">
      <c r="A148" s="46"/>
      <c r="B148" s="47"/>
      <c r="C148" s="47"/>
      <c r="D148" s="210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51" t="s">
        <v>127</v>
      </c>
      <c r="P148" s="151"/>
      <c r="Q148" s="151"/>
      <c r="R148" s="151"/>
      <c r="S148" s="151"/>
      <c r="T148" s="70"/>
      <c r="U148" s="152"/>
      <c r="V148" s="51"/>
      <c r="W148" s="56"/>
      <c r="X148" s="52"/>
      <c r="Y148" s="52"/>
      <c r="Z148" s="52"/>
      <c r="AA148" s="51"/>
      <c r="AB148" s="423" t="s">
        <v>116</v>
      </c>
      <c r="AC148" s="52"/>
      <c r="AD148" s="438">
        <v>148000</v>
      </c>
      <c r="AE148" s="59" t="s">
        <v>25</v>
      </c>
      <c r="AF148" s="1"/>
    </row>
    <row r="149" spans="1:32" s="11" customFormat="1" ht="21" customHeight="1">
      <c r="A149" s="46"/>
      <c r="B149" s="47"/>
      <c r="C149" s="47"/>
      <c r="D149" s="210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51"/>
      <c r="P149" s="151"/>
      <c r="Q149" s="151"/>
      <c r="R149" s="151"/>
      <c r="S149" s="151"/>
      <c r="T149" s="70"/>
      <c r="U149" s="152"/>
      <c r="V149" s="51"/>
      <c r="W149" s="56"/>
      <c r="X149" s="52"/>
      <c r="Y149" s="52"/>
      <c r="Z149" s="52"/>
      <c r="AA149" s="51"/>
      <c r="AB149" s="51"/>
      <c r="AC149" s="52"/>
      <c r="AD149" s="438"/>
      <c r="AE149" s="59"/>
      <c r="AF149" s="1"/>
    </row>
    <row r="150" spans="1:32" s="11" customFormat="1" ht="21" customHeight="1">
      <c r="A150" s="46"/>
      <c r="B150" s="47"/>
      <c r="C150" s="47"/>
      <c r="D150" s="210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26" t="s">
        <v>128</v>
      </c>
      <c r="P150" s="526"/>
      <c r="Q150" s="526"/>
      <c r="R150" s="526"/>
      <c r="S150" s="526"/>
      <c r="T150" s="51"/>
      <c r="U150" s="52"/>
      <c r="V150" s="51"/>
      <c r="W150" s="56"/>
      <c r="X150" s="52"/>
      <c r="Y150" s="52"/>
      <c r="Z150" s="52"/>
      <c r="AA150" s="51"/>
      <c r="AB150" s="51"/>
      <c r="AC150" s="52"/>
      <c r="AD150" s="438"/>
      <c r="AE150" s="59"/>
      <c r="AF150" s="1"/>
    </row>
    <row r="151" spans="1:32" s="11" customFormat="1" ht="21" customHeight="1">
      <c r="A151" s="46"/>
      <c r="B151" s="47"/>
      <c r="C151" s="47"/>
      <c r="D151" s="210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144" t="s">
        <v>167</v>
      </c>
      <c r="P151" s="31"/>
      <c r="Q151" s="31"/>
      <c r="R151" s="31"/>
      <c r="S151" s="51"/>
      <c r="T151" s="70"/>
      <c r="U151" s="152"/>
      <c r="V151" s="51"/>
      <c r="W151" s="56"/>
      <c r="X151" s="52"/>
      <c r="Y151" s="52"/>
      <c r="Z151" s="52"/>
      <c r="AA151" s="51"/>
      <c r="AB151" s="423" t="s">
        <v>665</v>
      </c>
      <c r="AC151" s="52"/>
      <c r="AD151" s="438">
        <v>2900000</v>
      </c>
      <c r="AE151" s="59" t="s">
        <v>25</v>
      </c>
      <c r="AF151" s="1"/>
    </row>
    <row r="152" spans="1:32" s="11" customFormat="1" ht="21" customHeight="1">
      <c r="A152" s="46"/>
      <c r="B152" s="47"/>
      <c r="C152" s="47"/>
      <c r="D152" s="210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51" t="s">
        <v>129</v>
      </c>
      <c r="P152" s="151"/>
      <c r="Q152" s="151"/>
      <c r="R152" s="151"/>
      <c r="S152" s="151"/>
      <c r="T152" s="151"/>
      <c r="U152" s="151"/>
      <c r="V152" s="151"/>
      <c r="W152" s="151"/>
      <c r="X152" s="151"/>
      <c r="Y152" s="52"/>
      <c r="Z152" s="52"/>
      <c r="AA152" s="51"/>
      <c r="AB152" s="423" t="s">
        <v>665</v>
      </c>
      <c r="AC152" s="52"/>
      <c r="AD152" s="438">
        <v>163000</v>
      </c>
      <c r="AE152" s="59" t="s">
        <v>25</v>
      </c>
      <c r="AF152" s="1"/>
    </row>
    <row r="153" spans="1:32" s="11" customFormat="1" ht="21" customHeight="1">
      <c r="A153" s="46"/>
      <c r="B153" s="47"/>
      <c r="C153" s="47"/>
      <c r="D153" s="210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51" t="s">
        <v>130</v>
      </c>
      <c r="P153" s="31"/>
      <c r="Q153" s="31"/>
      <c r="R153" s="31"/>
      <c r="S153" s="51"/>
      <c r="T153" s="70"/>
      <c r="U153" s="152"/>
      <c r="V153" s="51"/>
      <c r="W153" s="56"/>
      <c r="X153" s="52"/>
      <c r="Y153" s="52"/>
      <c r="Z153" s="52"/>
      <c r="AA153" s="51"/>
      <c r="AB153" s="423" t="s">
        <v>665</v>
      </c>
      <c r="AC153" s="52"/>
      <c r="AD153" s="438">
        <v>659000</v>
      </c>
      <c r="AE153" s="59" t="s">
        <v>25</v>
      </c>
      <c r="AF153" s="1"/>
    </row>
    <row r="154" spans="1:32" s="11" customFormat="1" ht="21" customHeight="1">
      <c r="A154" s="46"/>
      <c r="B154" s="47"/>
      <c r="C154" s="47"/>
      <c r="D154" s="210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144" t="s">
        <v>168</v>
      </c>
      <c r="P154" s="31"/>
      <c r="Q154" s="31"/>
      <c r="R154" s="31"/>
      <c r="S154" s="144"/>
      <c r="T154" s="70"/>
      <c r="U154" s="152"/>
      <c r="V154" s="144"/>
      <c r="W154" s="56"/>
      <c r="X154" s="143"/>
      <c r="Y154" s="143"/>
      <c r="Z154" s="143"/>
      <c r="AA154" s="144"/>
      <c r="AB154" s="432" t="s">
        <v>711</v>
      </c>
      <c r="AC154" s="143"/>
      <c r="AD154" s="438">
        <v>1200000</v>
      </c>
      <c r="AE154" s="59" t="s">
        <v>69</v>
      </c>
      <c r="AF154" s="1"/>
    </row>
    <row r="155" spans="1:32" s="11" customFormat="1" ht="21" customHeight="1">
      <c r="A155" s="46"/>
      <c r="B155" s="47"/>
      <c r="C155" s="47"/>
      <c r="D155" s="210"/>
      <c r="E155" s="121"/>
      <c r="F155" s="121"/>
      <c r="G155" s="121"/>
      <c r="H155" s="121"/>
      <c r="I155" s="121"/>
      <c r="J155" s="121"/>
      <c r="K155" s="121"/>
      <c r="L155" s="121"/>
      <c r="M155" s="121"/>
      <c r="N155" s="72"/>
      <c r="O155" s="182" t="s">
        <v>185</v>
      </c>
      <c r="P155" s="31"/>
      <c r="Q155" s="31"/>
      <c r="R155" s="31"/>
      <c r="S155" s="144"/>
      <c r="T155" s="70"/>
      <c r="U155" s="152"/>
      <c r="V155" s="144"/>
      <c r="W155" s="56"/>
      <c r="X155" s="143"/>
      <c r="Y155" s="143"/>
      <c r="Z155" s="143"/>
      <c r="AA155" s="144"/>
      <c r="AB155" s="432" t="s">
        <v>710</v>
      </c>
      <c r="AC155" s="143"/>
      <c r="AD155" s="438">
        <v>120000</v>
      </c>
      <c r="AE155" s="59" t="s">
        <v>69</v>
      </c>
      <c r="AF155" s="1"/>
    </row>
    <row r="156" spans="1:32" s="11" customFormat="1" ht="21" customHeight="1">
      <c r="A156" s="46"/>
      <c r="B156" s="47"/>
      <c r="C156" s="47"/>
      <c r="D156" s="210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144"/>
      <c r="P156" s="151"/>
      <c r="Q156" s="151"/>
      <c r="R156" s="151"/>
      <c r="S156" s="151"/>
      <c r="T156" s="151"/>
      <c r="U156" s="151"/>
      <c r="V156" s="151"/>
      <c r="W156" s="151"/>
      <c r="X156" s="151"/>
      <c r="Y156" s="77"/>
      <c r="Z156" s="77"/>
      <c r="AA156" s="77"/>
      <c r="AB156" s="77"/>
      <c r="AC156" s="77"/>
      <c r="AD156" s="52"/>
      <c r="AE156" s="59"/>
      <c r="AF156" s="1"/>
    </row>
    <row r="157" spans="1:32" s="11" customFormat="1" ht="21" customHeight="1">
      <c r="A157" s="46"/>
      <c r="B157" s="47"/>
      <c r="C157" s="37" t="s">
        <v>45</v>
      </c>
      <c r="D157" s="212">
        <v>7847</v>
      </c>
      <c r="E157" s="126">
        <f>ROUND(AD157/1000,0)</f>
        <v>7873</v>
      </c>
      <c r="F157" s="126">
        <v>3600</v>
      </c>
      <c r="G157" s="126">
        <v>3600</v>
      </c>
      <c r="H157" s="126">
        <v>0</v>
      </c>
      <c r="I157" s="126">
        <v>673</v>
      </c>
      <c r="J157" s="126">
        <v>0</v>
      </c>
      <c r="K157" s="126">
        <v>0</v>
      </c>
      <c r="L157" s="126">
        <v>0</v>
      </c>
      <c r="M157" s="126">
        <f>E157-D157</f>
        <v>26</v>
      </c>
      <c r="N157" s="134">
        <f>IF(D157=0,0,M157/D157)</f>
        <v>3.3133681661781573E-3</v>
      </c>
      <c r="O157" s="107" t="s">
        <v>46</v>
      </c>
      <c r="P157" s="103"/>
      <c r="Q157" s="103"/>
      <c r="R157" s="103"/>
      <c r="S157" s="103"/>
      <c r="T157" s="97"/>
      <c r="U157" s="97"/>
      <c r="V157" s="97"/>
      <c r="W157" s="97"/>
      <c r="X157" s="97"/>
      <c r="Y157" s="233" t="s">
        <v>285</v>
      </c>
      <c r="Z157" s="233"/>
      <c r="AA157" s="233"/>
      <c r="AB157" s="233"/>
      <c r="AC157" s="235"/>
      <c r="AD157" s="235">
        <f>SUM(AD158:AD161)</f>
        <v>7873000</v>
      </c>
      <c r="AE157" s="234" t="s">
        <v>25</v>
      </c>
      <c r="AF157" s="1"/>
    </row>
    <row r="158" spans="1:32" s="11" customFormat="1" ht="21" customHeight="1">
      <c r="A158" s="46"/>
      <c r="B158" s="47"/>
      <c r="C158" s="47"/>
      <c r="D158" s="122"/>
      <c r="E158" s="121"/>
      <c r="F158" s="121"/>
      <c r="G158" s="121"/>
      <c r="H158" s="121"/>
      <c r="I158" s="121"/>
      <c r="J158" s="121"/>
      <c r="K158" s="121"/>
      <c r="L158" s="121"/>
      <c r="M158" s="121"/>
      <c r="N158" s="72"/>
      <c r="O158" s="277" t="s">
        <v>380</v>
      </c>
      <c r="P158" s="51"/>
      <c r="Q158" s="51"/>
      <c r="R158" s="51"/>
      <c r="S158" s="272">
        <v>200000</v>
      </c>
      <c r="T158" s="56" t="s">
        <v>95</v>
      </c>
      <c r="U158" s="56" t="s">
        <v>26</v>
      </c>
      <c r="V158" s="272">
        <v>12</v>
      </c>
      <c r="W158" s="273" t="s">
        <v>0</v>
      </c>
      <c r="X158" s="272" t="s">
        <v>27</v>
      </c>
      <c r="Y158" s="272"/>
      <c r="Z158" s="272"/>
      <c r="AA158" s="272"/>
      <c r="AB158" s="276" t="s">
        <v>379</v>
      </c>
      <c r="AC158" s="272"/>
      <c r="AD158" s="438">
        <f>S158*V158</f>
        <v>2400000</v>
      </c>
      <c r="AE158" s="59" t="s">
        <v>25</v>
      </c>
      <c r="AF158" s="1"/>
    </row>
    <row r="159" spans="1:32" s="11" customFormat="1" ht="21" customHeight="1">
      <c r="A159" s="46"/>
      <c r="B159" s="47"/>
      <c r="C159" s="47"/>
      <c r="D159" s="122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277" t="s">
        <v>381</v>
      </c>
      <c r="P159" s="277"/>
      <c r="Q159" s="277"/>
      <c r="R159" s="277"/>
      <c r="S159" s="276">
        <v>300000</v>
      </c>
      <c r="T159" s="56" t="s">
        <v>57</v>
      </c>
      <c r="U159" s="56" t="s">
        <v>26</v>
      </c>
      <c r="V159" s="276">
        <v>12</v>
      </c>
      <c r="W159" s="277" t="s">
        <v>0</v>
      </c>
      <c r="X159" s="276" t="s">
        <v>27</v>
      </c>
      <c r="Y159" s="276"/>
      <c r="Z159" s="276"/>
      <c r="AA159" s="276"/>
      <c r="AB159" s="276" t="s">
        <v>379</v>
      </c>
      <c r="AC159" s="276"/>
      <c r="AD159" s="438">
        <f>S159*V159</f>
        <v>3600000</v>
      </c>
      <c r="AE159" s="59" t="s">
        <v>25</v>
      </c>
      <c r="AF159" s="1"/>
    </row>
    <row r="160" spans="1:32" s="11" customFormat="1" ht="21" customHeight="1">
      <c r="A160" s="46"/>
      <c r="B160" s="47"/>
      <c r="C160" s="47"/>
      <c r="D160" s="122"/>
      <c r="E160" s="121"/>
      <c r="F160" s="121"/>
      <c r="G160" s="121"/>
      <c r="H160" s="121"/>
      <c r="I160" s="121"/>
      <c r="J160" s="121"/>
      <c r="K160" s="121"/>
      <c r="L160" s="121"/>
      <c r="M160" s="121"/>
      <c r="N160" s="72"/>
      <c r="O160" s="253" t="s">
        <v>307</v>
      </c>
      <c r="P160" s="253"/>
      <c r="Q160" s="253"/>
      <c r="R160" s="253"/>
      <c r="S160" s="252"/>
      <c r="T160" s="56"/>
      <c r="U160" s="252"/>
      <c r="V160" s="252"/>
      <c r="W160" s="253"/>
      <c r="X160" s="252"/>
      <c r="Y160" s="252"/>
      <c r="Z160" s="252"/>
      <c r="AA160" s="252"/>
      <c r="AB160" s="252"/>
      <c r="AC160" s="252"/>
      <c r="AD160" s="438">
        <v>673000</v>
      </c>
      <c r="AE160" s="59" t="s">
        <v>279</v>
      </c>
      <c r="AF160" s="1"/>
    </row>
    <row r="161" spans="1:32" ht="21" customHeight="1">
      <c r="A161" s="46"/>
      <c r="B161" s="47"/>
      <c r="C161" s="47"/>
      <c r="D161" s="210"/>
      <c r="E161" s="121"/>
      <c r="F161" s="121"/>
      <c r="G161" s="121"/>
      <c r="H161" s="121"/>
      <c r="I161" s="121"/>
      <c r="J161" s="121"/>
      <c r="K161" s="121"/>
      <c r="L161" s="121"/>
      <c r="M161" s="121"/>
      <c r="N161" s="72"/>
      <c r="O161" s="253" t="s">
        <v>330</v>
      </c>
      <c r="P161" s="51"/>
      <c r="Q161" s="51"/>
      <c r="R161" s="51"/>
      <c r="S161" s="272">
        <v>100000</v>
      </c>
      <c r="T161" s="56" t="s">
        <v>95</v>
      </c>
      <c r="U161" s="56" t="s">
        <v>26</v>
      </c>
      <c r="V161" s="272">
        <v>12</v>
      </c>
      <c r="W161" s="273" t="s">
        <v>0</v>
      </c>
      <c r="X161" s="272" t="s">
        <v>27</v>
      </c>
      <c r="Y161" s="272"/>
      <c r="Z161" s="272"/>
      <c r="AA161" s="272"/>
      <c r="AB161" s="442" t="s">
        <v>747</v>
      </c>
      <c r="AC161" s="272"/>
      <c r="AD161" s="438">
        <f>S161*V161</f>
        <v>1200000</v>
      </c>
      <c r="AE161" s="59" t="s">
        <v>25</v>
      </c>
    </row>
    <row r="162" spans="1:32" s="11" customFormat="1" ht="21" customHeight="1">
      <c r="A162" s="46"/>
      <c r="B162" s="47"/>
      <c r="C162" s="61"/>
      <c r="D162" s="153"/>
      <c r="E162" s="124"/>
      <c r="F162" s="124"/>
      <c r="G162" s="124"/>
      <c r="H162" s="124"/>
      <c r="I162" s="124"/>
      <c r="J162" s="124"/>
      <c r="K162" s="124"/>
      <c r="L162" s="124"/>
      <c r="M162" s="124"/>
      <c r="N162" s="92"/>
      <c r="O162" s="88"/>
      <c r="P162" s="88"/>
      <c r="Q162" s="88"/>
      <c r="R162" s="88"/>
      <c r="S162" s="87"/>
      <c r="T162" s="93"/>
      <c r="U162" s="87"/>
      <c r="V162" s="522"/>
      <c r="W162" s="523"/>
      <c r="X162" s="87"/>
      <c r="Y162" s="87"/>
      <c r="Z162" s="87"/>
      <c r="AA162" s="87"/>
      <c r="AB162" s="154"/>
      <c r="AC162" s="87"/>
      <c r="AD162" s="87"/>
      <c r="AE162" s="75"/>
      <c r="AF162" s="1"/>
    </row>
    <row r="163" spans="1:32" s="11" customFormat="1" ht="21" customHeight="1">
      <c r="A163" s="46"/>
      <c r="B163" s="47"/>
      <c r="C163" s="37" t="s">
        <v>131</v>
      </c>
      <c r="D163" s="156">
        <v>5752</v>
      </c>
      <c r="E163" s="126">
        <f>ROUND(AD163/1000,0)</f>
        <v>25840</v>
      </c>
      <c r="F163" s="126">
        <v>3000</v>
      </c>
      <c r="G163" s="126">
        <v>0</v>
      </c>
      <c r="H163" s="126">
        <v>0</v>
      </c>
      <c r="I163" s="126">
        <f>SUM(AD169:AD172)/1000</f>
        <v>5000</v>
      </c>
      <c r="J163" s="126">
        <v>0</v>
      </c>
      <c r="K163" s="126">
        <f>SUM(AD174,AD176)/1000</f>
        <v>2053</v>
      </c>
      <c r="L163" s="126">
        <v>15787</v>
      </c>
      <c r="M163" s="126">
        <f>E163-D163</f>
        <v>20088</v>
      </c>
      <c r="N163" s="134">
        <f>IF(D163=0,0,M163/D163)</f>
        <v>3.4923504867872044</v>
      </c>
      <c r="O163" s="129" t="s">
        <v>132</v>
      </c>
      <c r="P163" s="103"/>
      <c r="Q163" s="103"/>
      <c r="R163" s="103"/>
      <c r="S163" s="103"/>
      <c r="T163" s="97"/>
      <c r="U163" s="97"/>
      <c r="V163" s="97"/>
      <c r="W163" s="97"/>
      <c r="X163" s="97"/>
      <c r="Y163" s="233" t="s">
        <v>285</v>
      </c>
      <c r="Z163" s="233"/>
      <c r="AA163" s="233"/>
      <c r="AB163" s="233"/>
      <c r="AC163" s="235"/>
      <c r="AD163" s="235">
        <f>SUM(AD165:AD180)</f>
        <v>25840000</v>
      </c>
      <c r="AE163" s="234" t="s">
        <v>25</v>
      </c>
      <c r="AF163" s="1"/>
    </row>
    <row r="164" spans="1:32" s="11" customFormat="1" ht="20.25" customHeight="1">
      <c r="A164" s="46"/>
      <c r="B164" s="47"/>
      <c r="C164" s="47"/>
      <c r="D164" s="157"/>
      <c r="E164" s="121"/>
      <c r="F164" s="121"/>
      <c r="G164" s="121"/>
      <c r="H164" s="121"/>
      <c r="I164" s="121"/>
      <c r="J164" s="121"/>
      <c r="K164" s="121"/>
      <c r="L164" s="121"/>
      <c r="M164" s="121"/>
      <c r="N164" s="72"/>
      <c r="O164" s="206" t="s">
        <v>169</v>
      </c>
      <c r="P164" s="144"/>
      <c r="Q164" s="144"/>
      <c r="R164" s="144"/>
      <c r="S164" s="130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70"/>
      <c r="AD164" s="70"/>
      <c r="AE164" s="59"/>
      <c r="AF164" s="2"/>
    </row>
    <row r="165" spans="1:32" s="11" customFormat="1" ht="20.25" customHeight="1">
      <c r="A165" s="46"/>
      <c r="B165" s="47"/>
      <c r="C165" s="47"/>
      <c r="D165" s="157"/>
      <c r="E165" s="121"/>
      <c r="F165" s="121"/>
      <c r="G165" s="121"/>
      <c r="H165" s="121"/>
      <c r="I165" s="121"/>
      <c r="J165" s="121"/>
      <c r="K165" s="121"/>
      <c r="L165" s="121"/>
      <c r="M165" s="121"/>
      <c r="N165" s="72"/>
      <c r="O165" s="253" t="s">
        <v>308</v>
      </c>
      <c r="P165" s="144"/>
      <c r="Q165" s="144"/>
      <c r="R165" s="144"/>
      <c r="S165" s="252">
        <v>200000</v>
      </c>
      <c r="T165" s="252" t="s">
        <v>57</v>
      </c>
      <c r="U165" s="76" t="s">
        <v>58</v>
      </c>
      <c r="V165" s="252">
        <v>15</v>
      </c>
      <c r="W165" s="252" t="s">
        <v>56</v>
      </c>
      <c r="X165" s="76"/>
      <c r="Y165" s="252"/>
      <c r="Z165" s="252"/>
      <c r="AA165" s="252" t="s">
        <v>53</v>
      </c>
      <c r="AB165" s="442" t="s">
        <v>747</v>
      </c>
      <c r="AC165" s="70"/>
      <c r="AD165" s="454">
        <f>S165*V165</f>
        <v>3000000</v>
      </c>
      <c r="AE165" s="59" t="s">
        <v>69</v>
      </c>
      <c r="AF165" s="2"/>
    </row>
    <row r="166" spans="1:32" s="11" customFormat="1" ht="20.25" customHeight="1">
      <c r="A166" s="46"/>
      <c r="B166" s="47"/>
      <c r="C166" s="47"/>
      <c r="D166" s="157"/>
      <c r="E166" s="121"/>
      <c r="F166" s="121"/>
      <c r="G166" s="121"/>
      <c r="H166" s="121"/>
      <c r="I166" s="121"/>
      <c r="J166" s="121"/>
      <c r="K166" s="121"/>
      <c r="L166" s="121"/>
      <c r="M166" s="121"/>
      <c r="N166" s="72"/>
      <c r="O166" s="443"/>
      <c r="P166" s="443"/>
      <c r="Q166" s="443"/>
      <c r="R166" s="443"/>
      <c r="S166" s="442">
        <v>200000</v>
      </c>
      <c r="T166" s="442" t="s">
        <v>57</v>
      </c>
      <c r="U166" s="76" t="s">
        <v>58</v>
      </c>
      <c r="V166" s="442">
        <v>18</v>
      </c>
      <c r="W166" s="442" t="s">
        <v>56</v>
      </c>
      <c r="X166" s="76"/>
      <c r="Y166" s="442"/>
      <c r="Z166" s="442"/>
      <c r="AA166" s="442" t="s">
        <v>53</v>
      </c>
      <c r="AB166" s="442" t="s">
        <v>759</v>
      </c>
      <c r="AC166" s="70"/>
      <c r="AD166" s="454">
        <f>S166*V166</f>
        <v>3600000</v>
      </c>
      <c r="AE166" s="59" t="s">
        <v>57</v>
      </c>
      <c r="AF166" s="2"/>
    </row>
    <row r="167" spans="1:32" s="11" customFormat="1" ht="20.25" customHeight="1">
      <c r="A167" s="46"/>
      <c r="B167" s="47"/>
      <c r="C167" s="47"/>
      <c r="D167" s="157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443" t="s">
        <v>760</v>
      </c>
      <c r="P167" s="144"/>
      <c r="Q167" s="144"/>
      <c r="R167" s="144"/>
      <c r="S167" s="130"/>
      <c r="T167" s="143"/>
      <c r="U167" s="143"/>
      <c r="V167" s="143"/>
      <c r="W167" s="143"/>
      <c r="X167" s="143"/>
      <c r="Y167" s="143"/>
      <c r="Z167" s="143"/>
      <c r="AA167" s="143"/>
      <c r="AB167" s="442" t="s">
        <v>759</v>
      </c>
      <c r="AC167" s="70"/>
      <c r="AD167" s="454">
        <v>1000000</v>
      </c>
      <c r="AE167" s="59" t="s">
        <v>69</v>
      </c>
      <c r="AF167" s="2"/>
    </row>
    <row r="168" spans="1:32" s="11" customFormat="1" ht="20.25" customHeight="1">
      <c r="A168" s="46"/>
      <c r="B168" s="47"/>
      <c r="C168" s="47"/>
      <c r="D168" s="157"/>
      <c r="E168" s="121"/>
      <c r="F168" s="121"/>
      <c r="G168" s="121"/>
      <c r="H168" s="121"/>
      <c r="I168" s="121"/>
      <c r="J168" s="121"/>
      <c r="K168" s="121"/>
      <c r="L168" s="121"/>
      <c r="M168" s="121"/>
      <c r="N168" s="72"/>
      <c r="O168" s="443" t="s">
        <v>761</v>
      </c>
      <c r="P168" s="144"/>
      <c r="Q168" s="144"/>
      <c r="R168" s="144"/>
      <c r="S168" s="130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70"/>
      <c r="AD168" s="454"/>
      <c r="AE168" s="59"/>
      <c r="AF168" s="2"/>
    </row>
    <row r="169" spans="1:32" s="11" customFormat="1" ht="20.25" customHeight="1">
      <c r="A169" s="46"/>
      <c r="B169" s="47"/>
      <c r="C169" s="47"/>
      <c r="D169" s="157"/>
      <c r="E169" s="121"/>
      <c r="F169" s="121"/>
      <c r="G169" s="121"/>
      <c r="H169" s="121"/>
      <c r="I169" s="121"/>
      <c r="J169" s="121"/>
      <c r="K169" s="121"/>
      <c r="L169" s="121"/>
      <c r="M169" s="121"/>
      <c r="N169" s="72"/>
      <c r="O169" s="273" t="s">
        <v>350</v>
      </c>
      <c r="P169" s="144"/>
      <c r="Q169" s="144"/>
      <c r="R169" s="144"/>
      <c r="S169" s="272">
        <v>200000</v>
      </c>
      <c r="T169" s="272" t="s">
        <v>57</v>
      </c>
      <c r="U169" s="76" t="s">
        <v>58</v>
      </c>
      <c r="V169" s="272">
        <v>1</v>
      </c>
      <c r="W169" s="272" t="s">
        <v>80</v>
      </c>
      <c r="X169" s="76"/>
      <c r="Y169" s="272"/>
      <c r="Z169" s="272"/>
      <c r="AA169" s="272" t="s">
        <v>53</v>
      </c>
      <c r="AB169" s="442" t="s">
        <v>762</v>
      </c>
      <c r="AC169" s="70"/>
      <c r="AD169" s="454">
        <f>S169*V169</f>
        <v>200000</v>
      </c>
      <c r="AE169" s="59" t="s">
        <v>57</v>
      </c>
      <c r="AF169" s="2"/>
    </row>
    <row r="170" spans="1:32" s="11" customFormat="1" ht="20.25" customHeight="1">
      <c r="A170" s="46"/>
      <c r="B170" s="47"/>
      <c r="C170" s="47"/>
      <c r="D170" s="157"/>
      <c r="E170" s="121"/>
      <c r="F170" s="121"/>
      <c r="G170" s="121"/>
      <c r="H170" s="121"/>
      <c r="I170" s="121"/>
      <c r="J170" s="121"/>
      <c r="K170" s="121"/>
      <c r="L170" s="121"/>
      <c r="M170" s="121"/>
      <c r="N170" s="72"/>
      <c r="O170" s="273" t="s">
        <v>351</v>
      </c>
      <c r="P170" s="144"/>
      <c r="Q170" s="144"/>
      <c r="R170" s="144"/>
      <c r="S170" s="272">
        <v>200000</v>
      </c>
      <c r="T170" s="272" t="s">
        <v>57</v>
      </c>
      <c r="U170" s="76" t="s">
        <v>58</v>
      </c>
      <c r="V170" s="272">
        <v>2</v>
      </c>
      <c r="W170" s="272" t="s">
        <v>80</v>
      </c>
      <c r="X170" s="76"/>
      <c r="Y170" s="272"/>
      <c r="Z170" s="272"/>
      <c r="AA170" s="272" t="s">
        <v>53</v>
      </c>
      <c r="AB170" s="442" t="s">
        <v>762</v>
      </c>
      <c r="AC170" s="70"/>
      <c r="AD170" s="454">
        <f>S170*V170</f>
        <v>400000</v>
      </c>
      <c r="AE170" s="59" t="s">
        <v>69</v>
      </c>
      <c r="AF170" s="2"/>
    </row>
    <row r="171" spans="1:32" s="11" customFormat="1" ht="20.25" customHeight="1">
      <c r="A171" s="46"/>
      <c r="B171" s="47"/>
      <c r="C171" s="47"/>
      <c r="D171" s="157"/>
      <c r="E171" s="121"/>
      <c r="F171" s="121"/>
      <c r="G171" s="121"/>
      <c r="H171" s="121"/>
      <c r="I171" s="121"/>
      <c r="J171" s="121"/>
      <c r="K171" s="121"/>
      <c r="L171" s="121"/>
      <c r="M171" s="121"/>
      <c r="N171" s="72"/>
      <c r="O171" s="273" t="s">
        <v>353</v>
      </c>
      <c r="P171" s="273"/>
      <c r="Q171" s="273"/>
      <c r="R171" s="273"/>
      <c r="S171" s="272">
        <v>200000</v>
      </c>
      <c r="T171" s="272" t="s">
        <v>57</v>
      </c>
      <c r="U171" s="76" t="s">
        <v>58</v>
      </c>
      <c r="V171" s="272">
        <v>2</v>
      </c>
      <c r="W171" s="272" t="s">
        <v>80</v>
      </c>
      <c r="X171" s="76"/>
      <c r="Y171" s="272"/>
      <c r="Z171" s="272"/>
      <c r="AA171" s="272" t="s">
        <v>53</v>
      </c>
      <c r="AB171" s="442" t="s">
        <v>762</v>
      </c>
      <c r="AC171" s="70"/>
      <c r="AD171" s="454">
        <f>S171*V171</f>
        <v>400000</v>
      </c>
      <c r="AE171" s="59" t="s">
        <v>57</v>
      </c>
      <c r="AF171" s="2"/>
    </row>
    <row r="172" spans="1:32" s="11" customFormat="1" ht="20.25" customHeight="1">
      <c r="A172" s="46"/>
      <c r="B172" s="47"/>
      <c r="C172" s="47"/>
      <c r="D172" s="157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273" t="s">
        <v>354</v>
      </c>
      <c r="P172" s="144"/>
      <c r="Q172" s="144"/>
      <c r="R172" s="144"/>
      <c r="S172" s="130"/>
      <c r="T172" s="143"/>
      <c r="U172" s="143"/>
      <c r="V172" s="143"/>
      <c r="W172" s="143"/>
      <c r="X172" s="143"/>
      <c r="Y172" s="143"/>
      <c r="Z172" s="143"/>
      <c r="AA172" s="143"/>
      <c r="AB172" s="442" t="s">
        <v>763</v>
      </c>
      <c r="AC172" s="70"/>
      <c r="AD172" s="454">
        <v>4000000</v>
      </c>
      <c r="AE172" s="59" t="s">
        <v>69</v>
      </c>
      <c r="AF172" s="2"/>
    </row>
    <row r="173" spans="1:32" s="11" customFormat="1" ht="20.25" customHeight="1">
      <c r="A173" s="46"/>
      <c r="B173" s="47"/>
      <c r="C173" s="47"/>
      <c r="D173" s="157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206"/>
      <c r="P173" s="179"/>
      <c r="Q173" s="179"/>
      <c r="R173" s="179"/>
      <c r="S173" s="130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70"/>
      <c r="AD173" s="454"/>
      <c r="AE173" s="59"/>
      <c r="AF173" s="2"/>
    </row>
    <row r="174" spans="1:32" s="11" customFormat="1" ht="20.25" customHeight="1">
      <c r="A174" s="46"/>
      <c r="B174" s="47"/>
      <c r="C174" s="47"/>
      <c r="D174" s="157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273" t="s">
        <v>364</v>
      </c>
      <c r="P174" s="144"/>
      <c r="Q174" s="144"/>
      <c r="R174" s="144"/>
      <c r="S174" s="143">
        <v>500000</v>
      </c>
      <c r="T174" s="56" t="s">
        <v>57</v>
      </c>
      <c r="U174" s="56" t="s">
        <v>26</v>
      </c>
      <c r="V174" s="143">
        <v>2</v>
      </c>
      <c r="W174" s="144" t="s">
        <v>87</v>
      </c>
      <c r="X174" s="143" t="s">
        <v>27</v>
      </c>
      <c r="Y174" s="143"/>
      <c r="Z174" s="143"/>
      <c r="AA174" s="143"/>
      <c r="AB174" s="143" t="s">
        <v>110</v>
      </c>
      <c r="AC174" s="70"/>
      <c r="AD174" s="454">
        <v>1653000</v>
      </c>
      <c r="AE174" s="59" t="s">
        <v>69</v>
      </c>
      <c r="AF174" s="2"/>
    </row>
    <row r="175" spans="1:32" s="11" customFormat="1" ht="20.25" customHeight="1">
      <c r="A175" s="46"/>
      <c r="B175" s="47"/>
      <c r="C175" s="47"/>
      <c r="D175" s="157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432"/>
      <c r="P175" s="432"/>
      <c r="Q175" s="432"/>
      <c r="R175" s="432"/>
      <c r="S175" s="431"/>
      <c r="T175" s="56"/>
      <c r="U175" s="56"/>
      <c r="V175" s="431"/>
      <c r="W175" s="432"/>
      <c r="X175" s="431"/>
      <c r="Y175" s="431"/>
      <c r="Z175" s="431"/>
      <c r="AA175" s="431"/>
      <c r="AB175" s="442" t="s">
        <v>163</v>
      </c>
      <c r="AC175" s="70"/>
      <c r="AD175" s="454">
        <v>3187000</v>
      </c>
      <c r="AE175" s="59" t="s">
        <v>692</v>
      </c>
      <c r="AF175" s="2"/>
    </row>
    <row r="176" spans="1:32" s="11" customFormat="1" ht="20.25" customHeight="1">
      <c r="A176" s="46"/>
      <c r="B176" s="47"/>
      <c r="C176" s="47"/>
      <c r="D176" s="157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206" t="s">
        <v>170</v>
      </c>
      <c r="P176" s="51"/>
      <c r="Q176" s="51"/>
      <c r="R176" s="51"/>
      <c r="S176" s="143">
        <v>200000</v>
      </c>
      <c r="T176" s="56" t="s">
        <v>57</v>
      </c>
      <c r="U176" s="56" t="s">
        <v>26</v>
      </c>
      <c r="V176" s="143">
        <v>2</v>
      </c>
      <c r="W176" s="144" t="s">
        <v>87</v>
      </c>
      <c r="X176" s="143" t="s">
        <v>27</v>
      </c>
      <c r="Y176" s="77"/>
      <c r="Z176" s="77"/>
      <c r="AA176" s="77"/>
      <c r="AB176" s="77" t="s">
        <v>110</v>
      </c>
      <c r="AC176" s="77"/>
      <c r="AD176" s="438">
        <f>S176*V176</f>
        <v>400000</v>
      </c>
      <c r="AE176" s="101" t="s">
        <v>25</v>
      </c>
      <c r="AF176" s="2"/>
    </row>
    <row r="177" spans="1:32" s="11" customFormat="1" ht="20.25" customHeight="1">
      <c r="A177" s="46"/>
      <c r="B177" s="47"/>
      <c r="C177" s="47"/>
      <c r="D177" s="157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144" t="s">
        <v>171</v>
      </c>
      <c r="P177" s="51"/>
      <c r="Q177" s="51"/>
      <c r="R177" s="51"/>
      <c r="S177" s="52">
        <v>20000</v>
      </c>
      <c r="T177" s="56" t="s">
        <v>95</v>
      </c>
      <c r="U177" s="56" t="s">
        <v>26</v>
      </c>
      <c r="V177" s="52">
        <v>35</v>
      </c>
      <c r="W177" s="144" t="s">
        <v>56</v>
      </c>
      <c r="X177" s="52" t="s">
        <v>27</v>
      </c>
      <c r="Y177" s="158"/>
      <c r="Z177" s="52"/>
      <c r="AA177" s="77"/>
      <c r="AB177" s="130" t="s">
        <v>163</v>
      </c>
      <c r="AC177" s="77"/>
      <c r="AD177" s="438">
        <f>S177*V177</f>
        <v>700000</v>
      </c>
      <c r="AE177" s="101" t="s">
        <v>95</v>
      </c>
      <c r="AF177" s="2"/>
    </row>
    <row r="178" spans="1:32" s="11" customFormat="1" ht="20.25" customHeight="1">
      <c r="A178" s="46"/>
      <c r="B178" s="47"/>
      <c r="C178" s="47"/>
      <c r="D178" s="157"/>
      <c r="E178" s="121"/>
      <c r="F178" s="121"/>
      <c r="G178" s="121"/>
      <c r="H178" s="121"/>
      <c r="I178" s="121"/>
      <c r="J178" s="121"/>
      <c r="K178" s="121"/>
      <c r="L178" s="121"/>
      <c r="M178" s="121"/>
      <c r="N178" s="72"/>
      <c r="O178" s="144" t="s">
        <v>172</v>
      </c>
      <c r="P178" s="51"/>
      <c r="Q178" s="51"/>
      <c r="R178" s="51"/>
      <c r="S178" s="52"/>
      <c r="T178" s="56"/>
      <c r="U178" s="56"/>
      <c r="V178" s="52"/>
      <c r="W178" s="144"/>
      <c r="X178" s="52"/>
      <c r="Y178" s="158"/>
      <c r="Z178" s="52"/>
      <c r="AA178" s="77"/>
      <c r="AB178" s="130" t="s">
        <v>163</v>
      </c>
      <c r="AC178" s="77"/>
      <c r="AD178" s="438">
        <v>2120000</v>
      </c>
      <c r="AE178" s="101" t="s">
        <v>95</v>
      </c>
      <c r="AF178" s="2"/>
    </row>
    <row r="179" spans="1:32" s="11" customFormat="1" ht="20.25" customHeight="1">
      <c r="A179" s="46"/>
      <c r="B179" s="47"/>
      <c r="C179" s="47"/>
      <c r="D179" s="157"/>
      <c r="E179" s="121"/>
      <c r="F179" s="121"/>
      <c r="G179" s="121"/>
      <c r="H179" s="121"/>
      <c r="I179" s="121"/>
      <c r="J179" s="121"/>
      <c r="K179" s="121"/>
      <c r="L179" s="121"/>
      <c r="M179" s="121"/>
      <c r="N179" s="72"/>
      <c r="O179" s="432" t="s">
        <v>309</v>
      </c>
      <c r="P179" s="432"/>
      <c r="Q179" s="432"/>
      <c r="R179" s="432"/>
      <c r="S179" s="431">
        <v>15000</v>
      </c>
      <c r="T179" s="56" t="s">
        <v>57</v>
      </c>
      <c r="U179" s="56" t="s">
        <v>26</v>
      </c>
      <c r="V179" s="431">
        <v>12</v>
      </c>
      <c r="W179" s="432" t="s">
        <v>134</v>
      </c>
      <c r="X179" s="431" t="s">
        <v>27</v>
      </c>
      <c r="Y179" s="158"/>
      <c r="Z179" s="431"/>
      <c r="AA179" s="77"/>
      <c r="AB179" s="77" t="s">
        <v>163</v>
      </c>
      <c r="AC179" s="77"/>
      <c r="AD179" s="438">
        <f>S179*V179</f>
        <v>180000</v>
      </c>
      <c r="AE179" s="101" t="s">
        <v>57</v>
      </c>
      <c r="AF179" s="2"/>
    </row>
    <row r="180" spans="1:32" s="11" customFormat="1" ht="20.25" customHeight="1">
      <c r="A180" s="46"/>
      <c r="B180" s="47"/>
      <c r="C180" s="47"/>
      <c r="D180" s="157"/>
      <c r="E180" s="121"/>
      <c r="F180" s="121"/>
      <c r="G180" s="121"/>
      <c r="H180" s="121"/>
      <c r="I180" s="121"/>
      <c r="J180" s="121"/>
      <c r="K180" s="121"/>
      <c r="L180" s="121"/>
      <c r="M180" s="121"/>
      <c r="N180" s="72"/>
      <c r="O180" s="69" t="s">
        <v>706</v>
      </c>
      <c r="P180" s="144"/>
      <c r="Q180" s="144"/>
      <c r="R180" s="144"/>
      <c r="S180" s="143"/>
      <c r="T180" s="56"/>
      <c r="U180" s="56"/>
      <c r="V180" s="143"/>
      <c r="W180" s="144"/>
      <c r="X180" s="143"/>
      <c r="Y180" s="158"/>
      <c r="Z180" s="143"/>
      <c r="AA180" s="77"/>
      <c r="AB180" s="77" t="s">
        <v>707</v>
      </c>
      <c r="AC180" s="77"/>
      <c r="AD180" s="438">
        <v>5000000</v>
      </c>
      <c r="AE180" s="101" t="s">
        <v>98</v>
      </c>
      <c r="AF180" s="2"/>
    </row>
    <row r="181" spans="1:32" s="11" customFormat="1" ht="21" customHeight="1">
      <c r="A181" s="46"/>
      <c r="B181" s="47"/>
      <c r="C181" s="48"/>
      <c r="D181" s="210"/>
      <c r="E181" s="121"/>
      <c r="F181" s="121"/>
      <c r="G181" s="121"/>
      <c r="H181" s="121"/>
      <c r="I181" s="121"/>
      <c r="J181" s="121"/>
      <c r="K181" s="121"/>
      <c r="L181" s="121"/>
      <c r="M181" s="121"/>
      <c r="N181" s="92"/>
      <c r="O181" s="204"/>
      <c r="P181" s="88"/>
      <c r="Q181" s="88"/>
      <c r="R181" s="88"/>
      <c r="S181" s="87"/>
      <c r="T181" s="88"/>
      <c r="U181" s="87"/>
      <c r="V181" s="159"/>
      <c r="W181" s="159"/>
      <c r="X181" s="87"/>
      <c r="Y181" s="87"/>
      <c r="Z181" s="87"/>
      <c r="AA181" s="87"/>
      <c r="AB181" s="87"/>
      <c r="AC181" s="87"/>
      <c r="AD181" s="87"/>
      <c r="AE181" s="75"/>
      <c r="AF181" s="2"/>
    </row>
    <row r="182" spans="1:32" s="11" customFormat="1" ht="21" customHeight="1">
      <c r="A182" s="125" t="s">
        <v>47</v>
      </c>
      <c r="B182" s="511" t="s">
        <v>20</v>
      </c>
      <c r="C182" s="511"/>
      <c r="D182" s="264">
        <f>D183</f>
        <v>28500</v>
      </c>
      <c r="E182" s="264">
        <f>E183</f>
        <v>42812</v>
      </c>
      <c r="F182" s="264">
        <f t="shared" ref="F182:L182" si="8">F183</f>
        <v>3312</v>
      </c>
      <c r="G182" s="264">
        <f t="shared" si="8"/>
        <v>7000</v>
      </c>
      <c r="H182" s="264">
        <f t="shared" si="8"/>
        <v>0</v>
      </c>
      <c r="I182" s="264">
        <f t="shared" si="8"/>
        <v>32500</v>
      </c>
      <c r="J182" s="264">
        <f t="shared" si="8"/>
        <v>0</v>
      </c>
      <c r="K182" s="264">
        <f t="shared" si="8"/>
        <v>0</v>
      </c>
      <c r="L182" s="264">
        <f t="shared" si="8"/>
        <v>0</v>
      </c>
      <c r="M182" s="264">
        <f>E182-D182</f>
        <v>14312</v>
      </c>
      <c r="N182" s="226">
        <f>IF(D182=0,0,M182/D182)</f>
        <v>0.50217543859649127</v>
      </c>
      <c r="O182" s="251" t="s">
        <v>310</v>
      </c>
      <c r="P182" s="33"/>
      <c r="Q182" s="33"/>
      <c r="R182" s="33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>
        <f>AD183</f>
        <v>42812000</v>
      </c>
      <c r="AE182" s="35" t="s">
        <v>25</v>
      </c>
      <c r="AF182" s="2"/>
    </row>
    <row r="183" spans="1:32" s="11" customFormat="1" ht="21" customHeight="1">
      <c r="A183" s="263" t="s">
        <v>321</v>
      </c>
      <c r="B183" s="47" t="s">
        <v>17</v>
      </c>
      <c r="C183" s="47" t="s">
        <v>311</v>
      </c>
      <c r="D183" s="121">
        <f t="shared" ref="D183:L183" si="9">SUM(D184,D187,D194)</f>
        <v>28500</v>
      </c>
      <c r="E183" s="121">
        <f t="shared" si="9"/>
        <v>42812</v>
      </c>
      <c r="F183" s="121">
        <f t="shared" si="9"/>
        <v>3312</v>
      </c>
      <c r="G183" s="121">
        <f t="shared" si="9"/>
        <v>7000</v>
      </c>
      <c r="H183" s="121">
        <f t="shared" si="9"/>
        <v>0</v>
      </c>
      <c r="I183" s="121">
        <f t="shared" si="9"/>
        <v>32500</v>
      </c>
      <c r="J183" s="121">
        <f t="shared" si="9"/>
        <v>0</v>
      </c>
      <c r="K183" s="121">
        <f t="shared" si="9"/>
        <v>0</v>
      </c>
      <c r="L183" s="121">
        <f t="shared" si="9"/>
        <v>0</v>
      </c>
      <c r="M183" s="121">
        <f>E183-D183</f>
        <v>14312</v>
      </c>
      <c r="N183" s="72">
        <f>IF(D183=0,0,M183/D183)</f>
        <v>0.50217543859649127</v>
      </c>
      <c r="O183" s="257" t="s">
        <v>312</v>
      </c>
      <c r="P183" s="103"/>
      <c r="Q183" s="103"/>
      <c r="R183" s="103"/>
      <c r="S183" s="103"/>
      <c r="T183" s="97"/>
      <c r="U183" s="97"/>
      <c r="V183" s="97"/>
      <c r="W183" s="97"/>
      <c r="X183" s="97"/>
      <c r="Y183" s="97"/>
      <c r="Z183" s="97"/>
      <c r="AA183" s="97"/>
      <c r="AB183" s="97"/>
      <c r="AC183" s="104"/>
      <c r="AD183" s="104">
        <f>SUM(AD184,AD187,AD194)</f>
        <v>42812000</v>
      </c>
      <c r="AE183" s="105" t="s">
        <v>25</v>
      </c>
      <c r="AF183" s="1"/>
    </row>
    <row r="184" spans="1:32" s="11" customFormat="1" ht="21" customHeight="1">
      <c r="A184" s="46"/>
      <c r="B184" s="47"/>
      <c r="C184" s="37" t="s">
        <v>312</v>
      </c>
      <c r="D184" s="261">
        <v>0</v>
      </c>
      <c r="E184" s="261">
        <f>ROUND(AD184/1000,0)</f>
        <v>0</v>
      </c>
      <c r="F184" s="261">
        <v>0</v>
      </c>
      <c r="G184" s="261">
        <v>0</v>
      </c>
      <c r="H184" s="261">
        <v>0</v>
      </c>
      <c r="I184" s="261">
        <v>0</v>
      </c>
      <c r="J184" s="261">
        <v>0</v>
      </c>
      <c r="K184" s="261">
        <v>0</v>
      </c>
      <c r="L184" s="261">
        <v>0</v>
      </c>
      <c r="M184" s="261">
        <f>E184-D184</f>
        <v>0</v>
      </c>
      <c r="N184" s="262">
        <f>IF(D184=0,0,M184/D184)</f>
        <v>0</v>
      </c>
      <c r="O184" s="107" t="s">
        <v>48</v>
      </c>
      <c r="P184" s="257"/>
      <c r="Q184" s="257"/>
      <c r="R184" s="257"/>
      <c r="S184" s="257"/>
      <c r="T184" s="256"/>
      <c r="U184" s="256"/>
      <c r="V184" s="256"/>
      <c r="W184" s="256"/>
      <c r="X184" s="256"/>
      <c r="Y184" s="233" t="s">
        <v>285</v>
      </c>
      <c r="Z184" s="233"/>
      <c r="AA184" s="233"/>
      <c r="AB184" s="233"/>
      <c r="AC184" s="235"/>
      <c r="AD184" s="235">
        <f>SUM(AD185:AD185)</f>
        <v>0</v>
      </c>
      <c r="AE184" s="234" t="s">
        <v>25</v>
      </c>
      <c r="AF184" s="1"/>
    </row>
    <row r="185" spans="1:32" s="11" customFormat="1" ht="21" customHeight="1">
      <c r="A185" s="46"/>
      <c r="B185" s="47"/>
      <c r="C185" s="47"/>
      <c r="D185" s="122"/>
      <c r="E185" s="121"/>
      <c r="F185" s="121"/>
      <c r="G185" s="121"/>
      <c r="H185" s="121"/>
      <c r="I185" s="121"/>
      <c r="J185" s="121"/>
      <c r="K185" s="121"/>
      <c r="L185" s="121"/>
      <c r="M185" s="121"/>
      <c r="N185" s="72"/>
      <c r="O185" s="249">
        <v>1</v>
      </c>
      <c r="P185" s="184"/>
      <c r="Q185" s="184"/>
      <c r="R185" s="184"/>
      <c r="S185" s="184"/>
      <c r="T185" s="183"/>
      <c r="U185" s="183"/>
      <c r="V185" s="183"/>
      <c r="W185" s="183"/>
      <c r="X185" s="183"/>
      <c r="Y185" s="183"/>
      <c r="Z185" s="183"/>
      <c r="AA185" s="183"/>
      <c r="AB185" s="185"/>
      <c r="AC185" s="53"/>
      <c r="AD185" s="454">
        <v>0</v>
      </c>
      <c r="AE185" s="59" t="s">
        <v>213</v>
      </c>
      <c r="AF185" s="2"/>
    </row>
    <row r="186" spans="1:32" s="11" customFormat="1" ht="21" customHeight="1">
      <c r="A186" s="46"/>
      <c r="B186" s="47"/>
      <c r="C186" s="47"/>
      <c r="D186" s="210"/>
      <c r="E186" s="121"/>
      <c r="F186" s="121"/>
      <c r="G186" s="121"/>
      <c r="H186" s="121"/>
      <c r="I186" s="121"/>
      <c r="J186" s="121"/>
      <c r="K186" s="121"/>
      <c r="L186" s="121"/>
      <c r="M186" s="121"/>
      <c r="N186" s="72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60"/>
      <c r="AE186" s="140"/>
      <c r="AF186" s="2"/>
    </row>
    <row r="187" spans="1:32" s="11" customFormat="1" ht="21" customHeight="1">
      <c r="A187" s="46"/>
      <c r="B187" s="47"/>
      <c r="C187" s="37" t="s">
        <v>18</v>
      </c>
      <c r="D187" s="212">
        <v>2540</v>
      </c>
      <c r="E187" s="126">
        <f>ROUND(AD187/1000,0)</f>
        <v>22000</v>
      </c>
      <c r="F187" s="126">
        <v>0</v>
      </c>
      <c r="G187" s="126">
        <v>0</v>
      </c>
      <c r="H187" s="126">
        <v>0</v>
      </c>
      <c r="I187" s="126">
        <v>22000</v>
      </c>
      <c r="J187" s="126">
        <v>0</v>
      </c>
      <c r="K187" s="126">
        <v>0</v>
      </c>
      <c r="L187" s="126">
        <v>0</v>
      </c>
      <c r="M187" s="126">
        <f>E187-D187</f>
        <v>19460</v>
      </c>
      <c r="N187" s="134">
        <f>IF(D187=0,0,M187/D187)</f>
        <v>7.6614173228346454</v>
      </c>
      <c r="O187" s="107" t="s">
        <v>49</v>
      </c>
      <c r="P187" s="103"/>
      <c r="Q187" s="103"/>
      <c r="R187" s="103"/>
      <c r="S187" s="103"/>
      <c r="T187" s="97"/>
      <c r="U187" s="97"/>
      <c r="V187" s="97"/>
      <c r="W187" s="97"/>
      <c r="X187" s="97"/>
      <c r="Y187" s="233" t="s">
        <v>285</v>
      </c>
      <c r="Z187" s="233"/>
      <c r="AA187" s="233"/>
      <c r="AB187" s="233"/>
      <c r="AC187" s="235"/>
      <c r="AD187" s="235">
        <f>SUM(AD188:AD192)</f>
        <v>22000000</v>
      </c>
      <c r="AE187" s="234" t="s">
        <v>25</v>
      </c>
      <c r="AF187" s="1"/>
    </row>
    <row r="188" spans="1:32" s="11" customFormat="1" ht="21" customHeight="1">
      <c r="A188" s="46"/>
      <c r="B188" s="47"/>
      <c r="C188" s="47"/>
      <c r="D188" s="122"/>
      <c r="E188" s="121"/>
      <c r="F188" s="121"/>
      <c r="G188" s="121"/>
      <c r="H188" s="121"/>
      <c r="I188" s="121"/>
      <c r="J188" s="121"/>
      <c r="K188" s="121"/>
      <c r="L188" s="121"/>
      <c r="M188" s="121"/>
      <c r="N188" s="72"/>
      <c r="O188" s="432" t="s">
        <v>700</v>
      </c>
      <c r="P188" s="51"/>
      <c r="Q188" s="51"/>
      <c r="R188" s="33"/>
      <c r="S188" s="33"/>
      <c r="T188" s="34"/>
      <c r="U188" s="34"/>
      <c r="V188" s="34"/>
      <c r="W188" s="34"/>
      <c r="X188" s="34"/>
      <c r="Y188" s="34"/>
      <c r="Z188" s="34"/>
      <c r="AA188" s="34"/>
      <c r="AB188" s="431" t="s">
        <v>712</v>
      </c>
      <c r="AC188" s="53"/>
      <c r="AD188" s="454">
        <v>4000000</v>
      </c>
      <c r="AE188" s="59" t="s">
        <v>25</v>
      </c>
      <c r="AF188" s="2"/>
    </row>
    <row r="189" spans="1:32" s="11" customFormat="1" ht="21" customHeight="1">
      <c r="A189" s="46"/>
      <c r="B189" s="47"/>
      <c r="C189" s="47"/>
      <c r="D189" s="122"/>
      <c r="E189" s="121"/>
      <c r="F189" s="121"/>
      <c r="G189" s="121"/>
      <c r="H189" s="121"/>
      <c r="I189" s="121"/>
      <c r="J189" s="121"/>
      <c r="K189" s="121"/>
      <c r="L189" s="121"/>
      <c r="M189" s="121"/>
      <c r="N189" s="72"/>
      <c r="O189" s="273" t="s">
        <v>357</v>
      </c>
      <c r="P189" s="51"/>
      <c r="Q189" s="51"/>
      <c r="R189" s="144"/>
      <c r="S189" s="272">
        <v>1000000</v>
      </c>
      <c r="T189" s="56" t="s">
        <v>95</v>
      </c>
      <c r="U189" s="56" t="s">
        <v>26</v>
      </c>
      <c r="V189" s="272">
        <v>3</v>
      </c>
      <c r="W189" s="273" t="s">
        <v>355</v>
      </c>
      <c r="X189" s="272" t="s">
        <v>27</v>
      </c>
      <c r="Y189" s="272"/>
      <c r="Z189" s="272"/>
      <c r="AA189" s="272"/>
      <c r="AB189" s="442" t="s">
        <v>768</v>
      </c>
      <c r="AC189" s="272"/>
      <c r="AD189" s="438">
        <f>S189*V189</f>
        <v>3000000</v>
      </c>
      <c r="AE189" s="59" t="s">
        <v>25</v>
      </c>
      <c r="AF189" s="2"/>
    </row>
    <row r="190" spans="1:32" s="11" customFormat="1" ht="21" customHeight="1">
      <c r="A190" s="46"/>
      <c r="B190" s="47"/>
      <c r="C190" s="47"/>
      <c r="D190" s="122"/>
      <c r="E190" s="121"/>
      <c r="F190" s="121"/>
      <c r="G190" s="121"/>
      <c r="H190" s="121"/>
      <c r="I190" s="121"/>
      <c r="J190" s="121"/>
      <c r="K190" s="121"/>
      <c r="L190" s="121"/>
      <c r="M190" s="121"/>
      <c r="N190" s="72"/>
      <c r="O190" s="432" t="s">
        <v>701</v>
      </c>
      <c r="P190" s="51"/>
      <c r="Q190" s="33"/>
      <c r="R190" s="33"/>
      <c r="S190" s="189"/>
      <c r="T190" s="56"/>
      <c r="U190" s="56"/>
      <c r="V190" s="189"/>
      <c r="W190" s="190"/>
      <c r="X190" s="189"/>
      <c r="Y190" s="189"/>
      <c r="Z190" s="189"/>
      <c r="AA190" s="34"/>
      <c r="AB190" s="431" t="s">
        <v>712</v>
      </c>
      <c r="AC190" s="53"/>
      <c r="AD190" s="454">
        <v>12000000</v>
      </c>
      <c r="AE190" s="59" t="s">
        <v>25</v>
      </c>
      <c r="AF190" s="2"/>
    </row>
    <row r="191" spans="1:32" s="11" customFormat="1" ht="21" customHeight="1">
      <c r="A191" s="46"/>
      <c r="B191" s="47"/>
      <c r="C191" s="47"/>
      <c r="D191" s="122"/>
      <c r="E191" s="121"/>
      <c r="F191" s="121"/>
      <c r="G191" s="121"/>
      <c r="H191" s="121"/>
      <c r="I191" s="121"/>
      <c r="J191" s="121"/>
      <c r="K191" s="121"/>
      <c r="L191" s="121"/>
      <c r="M191" s="121"/>
      <c r="N191" s="72"/>
      <c r="O191" s="432" t="s">
        <v>702</v>
      </c>
      <c r="P191" s="432"/>
      <c r="Q191" s="251"/>
      <c r="R191" s="251"/>
      <c r="S191" s="431"/>
      <c r="T191" s="56"/>
      <c r="U191" s="56"/>
      <c r="V191" s="431"/>
      <c r="W191" s="432"/>
      <c r="X191" s="431"/>
      <c r="Y191" s="431"/>
      <c r="Z191" s="431"/>
      <c r="AA191" s="250"/>
      <c r="AB191" s="431" t="s">
        <v>713</v>
      </c>
      <c r="AC191" s="53"/>
      <c r="AD191" s="454">
        <v>1700000</v>
      </c>
      <c r="AE191" s="59" t="s">
        <v>692</v>
      </c>
      <c r="AF191" s="2"/>
    </row>
    <row r="192" spans="1:32" s="11" customFormat="1" ht="21" customHeight="1">
      <c r="A192" s="46"/>
      <c r="B192" s="47"/>
      <c r="C192" s="47"/>
      <c r="D192" s="122"/>
      <c r="E192" s="121"/>
      <c r="F192" s="121"/>
      <c r="G192" s="121"/>
      <c r="H192" s="121"/>
      <c r="I192" s="121"/>
      <c r="J192" s="121"/>
      <c r="K192" s="121"/>
      <c r="L192" s="121"/>
      <c r="M192" s="121"/>
      <c r="N192" s="72"/>
      <c r="O192" s="432" t="s">
        <v>703</v>
      </c>
      <c r="P192" s="144"/>
      <c r="Q192" s="142"/>
      <c r="R192" s="142"/>
      <c r="S192" s="142"/>
      <c r="T192" s="141"/>
      <c r="U192" s="141"/>
      <c r="V192" s="141"/>
      <c r="W192" s="141"/>
      <c r="X192" s="141"/>
      <c r="Y192" s="141"/>
      <c r="Z192" s="141"/>
      <c r="AA192" s="141"/>
      <c r="AB192" s="422" t="s">
        <v>653</v>
      </c>
      <c r="AC192" s="53"/>
      <c r="AD192" s="454">
        <v>1300000</v>
      </c>
      <c r="AE192" s="59" t="s">
        <v>69</v>
      </c>
      <c r="AF192" s="2"/>
    </row>
    <row r="193" spans="1:32" s="11" customFormat="1" ht="21" customHeight="1">
      <c r="A193" s="46"/>
      <c r="B193" s="47"/>
      <c r="C193" s="47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206"/>
      <c r="P193" s="51"/>
      <c r="Q193" s="51"/>
      <c r="R193" s="51"/>
      <c r="S193" s="52"/>
      <c r="T193" s="130"/>
      <c r="U193" s="56"/>
      <c r="V193" s="70"/>
      <c r="W193" s="70"/>
      <c r="X193" s="52"/>
      <c r="Y193" s="52"/>
      <c r="Z193" s="52"/>
      <c r="AA193" s="52"/>
      <c r="AB193" s="52"/>
      <c r="AC193" s="52"/>
      <c r="AD193" s="52"/>
      <c r="AE193" s="59"/>
      <c r="AF193" s="2"/>
    </row>
    <row r="194" spans="1:32" s="11" customFormat="1" ht="21" customHeight="1">
      <c r="A194" s="46"/>
      <c r="B194" s="47"/>
      <c r="C194" s="37" t="s">
        <v>50</v>
      </c>
      <c r="D194" s="212">
        <v>25960</v>
      </c>
      <c r="E194" s="126">
        <f>ROUND(AD194/1000,0)</f>
        <v>20812</v>
      </c>
      <c r="F194" s="126">
        <v>3312</v>
      </c>
      <c r="G194" s="126">
        <v>7000</v>
      </c>
      <c r="H194" s="126">
        <v>0</v>
      </c>
      <c r="I194" s="126">
        <v>10500</v>
      </c>
      <c r="J194" s="126">
        <v>0</v>
      </c>
      <c r="K194" s="126">
        <v>0</v>
      </c>
      <c r="L194" s="126">
        <v>0</v>
      </c>
      <c r="M194" s="126">
        <f>E194-D194</f>
        <v>-5148</v>
      </c>
      <c r="N194" s="134">
        <f>IF(D194=0,0,M194/D194)</f>
        <v>-0.19830508474576272</v>
      </c>
      <c r="O194" s="107" t="s">
        <v>51</v>
      </c>
      <c r="P194" s="103"/>
      <c r="Q194" s="103"/>
      <c r="R194" s="103"/>
      <c r="S194" s="103"/>
      <c r="T194" s="97"/>
      <c r="U194" s="97"/>
      <c r="V194" s="97"/>
      <c r="W194" s="97"/>
      <c r="X194" s="97"/>
      <c r="Y194" s="233" t="s">
        <v>285</v>
      </c>
      <c r="Z194" s="233"/>
      <c r="AA194" s="233"/>
      <c r="AB194" s="233"/>
      <c r="AC194" s="235"/>
      <c r="AD194" s="235">
        <f>SUM(AD195:AD201)</f>
        <v>20812000</v>
      </c>
      <c r="AE194" s="234" t="s">
        <v>25</v>
      </c>
      <c r="AF194" s="1"/>
    </row>
    <row r="195" spans="1:32" s="1" customFormat="1" ht="21" customHeight="1">
      <c r="A195" s="46"/>
      <c r="B195" s="47"/>
      <c r="C195" s="47" t="s">
        <v>334</v>
      </c>
      <c r="D195" s="210"/>
      <c r="E195" s="121"/>
      <c r="F195" s="121"/>
      <c r="G195" s="121"/>
      <c r="H195" s="121"/>
      <c r="I195" s="121"/>
      <c r="J195" s="121"/>
      <c r="K195" s="121"/>
      <c r="L195" s="121"/>
      <c r="M195" s="121"/>
      <c r="N195" s="72"/>
      <c r="O195" s="206" t="s">
        <v>135</v>
      </c>
      <c r="P195" s="51"/>
      <c r="Q195" s="51"/>
      <c r="R195" s="51"/>
      <c r="S195" s="52">
        <v>176000</v>
      </c>
      <c r="T195" s="56" t="s">
        <v>95</v>
      </c>
      <c r="U195" s="56" t="s">
        <v>26</v>
      </c>
      <c r="V195" s="52">
        <v>12</v>
      </c>
      <c r="W195" s="51" t="s">
        <v>112</v>
      </c>
      <c r="X195" s="52" t="s">
        <v>27</v>
      </c>
      <c r="Y195" s="52"/>
      <c r="Z195" s="52"/>
      <c r="AA195" s="52"/>
      <c r="AB195" s="278" t="s">
        <v>389</v>
      </c>
      <c r="AC195" s="52"/>
      <c r="AD195" s="438">
        <f>S195*V195</f>
        <v>2112000</v>
      </c>
      <c r="AE195" s="59" t="s">
        <v>25</v>
      </c>
      <c r="AF195" s="2"/>
    </row>
    <row r="196" spans="1:32" s="1" customFormat="1" ht="21" customHeight="1">
      <c r="A196" s="46"/>
      <c r="B196" s="47"/>
      <c r="C196" s="47"/>
      <c r="D196" s="210"/>
      <c r="E196" s="121"/>
      <c r="F196" s="121"/>
      <c r="G196" s="121"/>
      <c r="H196" s="121"/>
      <c r="I196" s="121"/>
      <c r="J196" s="121"/>
      <c r="K196" s="121"/>
      <c r="L196" s="121"/>
      <c r="M196" s="121"/>
      <c r="N196" s="72"/>
      <c r="O196" s="206" t="s">
        <v>136</v>
      </c>
      <c r="P196" s="51"/>
      <c r="Q196" s="51"/>
      <c r="R196" s="51"/>
      <c r="S196" s="52">
        <v>100000</v>
      </c>
      <c r="T196" s="56" t="s">
        <v>95</v>
      </c>
      <c r="U196" s="56" t="s">
        <v>26</v>
      </c>
      <c r="V196" s="52">
        <v>12</v>
      </c>
      <c r="W196" s="51" t="s">
        <v>112</v>
      </c>
      <c r="X196" s="52" t="s">
        <v>27</v>
      </c>
      <c r="Y196" s="52"/>
      <c r="Z196" s="52"/>
      <c r="AA196" s="52"/>
      <c r="AB196" s="278" t="s">
        <v>389</v>
      </c>
      <c r="AC196" s="52"/>
      <c r="AD196" s="438">
        <f>S196*V196</f>
        <v>1200000</v>
      </c>
      <c r="AE196" s="59" t="s">
        <v>25</v>
      </c>
      <c r="AF196" s="2"/>
    </row>
    <row r="197" spans="1:32" s="1" customFormat="1" ht="21" customHeight="1">
      <c r="A197" s="46"/>
      <c r="B197" s="47"/>
      <c r="C197" s="47"/>
      <c r="D197" s="210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249" t="s">
        <v>704</v>
      </c>
      <c r="P197" s="251"/>
      <c r="Q197" s="251"/>
      <c r="R197" s="251"/>
      <c r="S197" s="251"/>
      <c r="T197" s="250"/>
      <c r="U197" s="250"/>
      <c r="V197" s="250"/>
      <c r="W197" s="250"/>
      <c r="X197" s="250"/>
      <c r="Y197" s="250"/>
      <c r="Z197" s="250"/>
      <c r="AA197" s="250"/>
      <c r="AB197" s="442" t="s">
        <v>758</v>
      </c>
      <c r="AC197" s="53"/>
      <c r="AD197" s="454">
        <v>5000000</v>
      </c>
      <c r="AE197" s="59" t="s">
        <v>57</v>
      </c>
      <c r="AF197" s="2"/>
    </row>
    <row r="198" spans="1:32" s="1" customFormat="1" ht="21" customHeight="1">
      <c r="A198" s="46"/>
      <c r="B198" s="47"/>
      <c r="C198" s="47"/>
      <c r="D198" s="210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249" t="s">
        <v>705</v>
      </c>
      <c r="P198" s="251"/>
      <c r="Q198" s="251"/>
      <c r="R198" s="251"/>
      <c r="S198" s="251"/>
      <c r="T198" s="250"/>
      <c r="U198" s="250"/>
      <c r="V198" s="250"/>
      <c r="W198" s="250"/>
      <c r="X198" s="250"/>
      <c r="Y198" s="250"/>
      <c r="Z198" s="250"/>
      <c r="AA198" s="250"/>
      <c r="AB198" s="431" t="s">
        <v>698</v>
      </c>
      <c r="AC198" s="53"/>
      <c r="AD198" s="454">
        <v>7000000</v>
      </c>
      <c r="AE198" s="59" t="s">
        <v>57</v>
      </c>
      <c r="AF198" s="2"/>
    </row>
    <row r="199" spans="1:32" s="1" customFormat="1" ht="21" customHeight="1">
      <c r="A199" s="46"/>
      <c r="B199" s="47"/>
      <c r="C199" s="47"/>
      <c r="D199" s="210"/>
      <c r="E199" s="121"/>
      <c r="F199" s="121"/>
      <c r="G199" s="121"/>
      <c r="H199" s="121"/>
      <c r="I199" s="121"/>
      <c r="J199" s="121"/>
      <c r="K199" s="121"/>
      <c r="L199" s="121"/>
      <c r="M199" s="121"/>
      <c r="N199" s="72"/>
      <c r="O199" s="249"/>
      <c r="P199" s="251"/>
      <c r="Q199" s="251"/>
      <c r="R199" s="251"/>
      <c r="S199" s="251"/>
      <c r="T199" s="250"/>
      <c r="U199" s="250"/>
      <c r="V199" s="250"/>
      <c r="W199" s="250"/>
      <c r="X199" s="250"/>
      <c r="Y199" s="250"/>
      <c r="Z199" s="250"/>
      <c r="AA199" s="250"/>
      <c r="AB199" s="431" t="s">
        <v>699</v>
      </c>
      <c r="AC199" s="53"/>
      <c r="AD199" s="454">
        <v>3000000</v>
      </c>
      <c r="AE199" s="59" t="s">
        <v>692</v>
      </c>
      <c r="AF199" s="2"/>
    </row>
    <row r="200" spans="1:32" s="1" customFormat="1" ht="21" customHeight="1">
      <c r="A200" s="46"/>
      <c r="B200" s="47"/>
      <c r="C200" s="47"/>
      <c r="D200" s="210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428" t="s">
        <v>676</v>
      </c>
      <c r="P200" s="51"/>
      <c r="Q200" s="51"/>
      <c r="R200" s="51"/>
      <c r="S200" s="52"/>
      <c r="T200" s="56"/>
      <c r="U200" s="56"/>
      <c r="V200" s="52"/>
      <c r="W200" s="51"/>
      <c r="X200" s="52"/>
      <c r="Y200" s="52"/>
      <c r="Z200" s="52"/>
      <c r="AA200" s="52"/>
      <c r="AB200" s="427" t="s">
        <v>682</v>
      </c>
      <c r="AC200" s="52"/>
      <c r="AD200" s="438">
        <v>1000000</v>
      </c>
      <c r="AE200" s="59" t="s">
        <v>98</v>
      </c>
      <c r="AF200" s="2"/>
    </row>
    <row r="201" spans="1:32" s="1" customFormat="1" ht="21" customHeight="1">
      <c r="A201" s="46"/>
      <c r="B201" s="47"/>
      <c r="C201" s="47"/>
      <c r="D201" s="210"/>
      <c r="E201" s="121"/>
      <c r="F201" s="121"/>
      <c r="G201" s="121"/>
      <c r="H201" s="121"/>
      <c r="I201" s="121"/>
      <c r="J201" s="121"/>
      <c r="K201" s="121"/>
      <c r="L201" s="121"/>
      <c r="M201" s="121"/>
      <c r="N201" s="72"/>
      <c r="O201" s="428" t="s">
        <v>677</v>
      </c>
      <c r="P201" s="253"/>
      <c r="Q201" s="253"/>
      <c r="R201" s="253"/>
      <c r="S201" s="252"/>
      <c r="T201" s="56"/>
      <c r="U201" s="56"/>
      <c r="V201" s="252"/>
      <c r="W201" s="253"/>
      <c r="X201" s="252"/>
      <c r="Y201" s="252"/>
      <c r="Z201" s="252"/>
      <c r="AA201" s="252"/>
      <c r="AB201" s="427" t="s">
        <v>683</v>
      </c>
      <c r="AC201" s="252"/>
      <c r="AD201" s="438">
        <v>1500000</v>
      </c>
      <c r="AE201" s="59" t="s">
        <v>279</v>
      </c>
      <c r="AF201" s="2"/>
    </row>
    <row r="202" spans="1:32" s="1" customFormat="1" ht="21" customHeight="1">
      <c r="A202" s="46"/>
      <c r="B202" s="47"/>
      <c r="C202" s="47"/>
      <c r="D202" s="210"/>
      <c r="E202" s="121"/>
      <c r="F202" s="121"/>
      <c r="G202" s="121"/>
      <c r="H202" s="121"/>
      <c r="I202" s="121"/>
      <c r="J202" s="121"/>
      <c r="K202" s="121"/>
      <c r="L202" s="121"/>
      <c r="M202" s="121"/>
      <c r="N202" s="72"/>
      <c r="O202" s="206"/>
      <c r="P202" s="51"/>
      <c r="Q202" s="51"/>
      <c r="R202" s="51"/>
      <c r="S202" s="52"/>
      <c r="T202" s="56"/>
      <c r="U202" s="56"/>
      <c r="V202" s="52"/>
      <c r="W202" s="51"/>
      <c r="X202" s="52"/>
      <c r="Y202" s="52"/>
      <c r="Z202" s="52"/>
      <c r="AA202" s="52"/>
      <c r="AB202" s="143"/>
      <c r="AC202" s="52"/>
      <c r="AD202" s="52"/>
      <c r="AE202" s="59"/>
      <c r="AF202" s="2"/>
    </row>
    <row r="203" spans="1:32" s="11" customFormat="1" ht="21" customHeight="1">
      <c r="A203" s="265" t="s">
        <v>19</v>
      </c>
      <c r="B203" s="509" t="s">
        <v>20</v>
      </c>
      <c r="C203" s="510"/>
      <c r="D203" s="266">
        <f t="shared" ref="D203:L203" si="10">SUM(D204,D242)</f>
        <v>280585</v>
      </c>
      <c r="E203" s="266">
        <f t="shared" si="10"/>
        <v>273800</v>
      </c>
      <c r="F203" s="266">
        <f t="shared" si="10"/>
        <v>76938</v>
      </c>
      <c r="G203" s="266">
        <f t="shared" si="10"/>
        <v>17016</v>
      </c>
      <c r="H203" s="266">
        <f t="shared" si="10"/>
        <v>22167</v>
      </c>
      <c r="I203" s="266">
        <f t="shared" si="10"/>
        <v>57045</v>
      </c>
      <c r="J203" s="266">
        <f t="shared" si="10"/>
        <v>89132</v>
      </c>
      <c r="K203" s="266">
        <f t="shared" si="10"/>
        <v>0</v>
      </c>
      <c r="L203" s="266">
        <f t="shared" si="10"/>
        <v>11502</v>
      </c>
      <c r="M203" s="266">
        <f>SUM(M204,M218,M225,M229,M237)</f>
        <v>-5052</v>
      </c>
      <c r="N203" s="267">
        <f>IF(D203=0,0,M203/D203)</f>
        <v>-1.8005239054119073E-2</v>
      </c>
      <c r="O203" s="257" t="s">
        <v>314</v>
      </c>
      <c r="P203" s="103"/>
      <c r="Q203" s="103"/>
      <c r="R203" s="103"/>
      <c r="S203" s="103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>
        <f>SUM(AD204,AD242)</f>
        <v>273800000</v>
      </c>
      <c r="AE203" s="105" t="s">
        <v>25</v>
      </c>
      <c r="AF203" s="13"/>
    </row>
    <row r="204" spans="1:32" s="11" customFormat="1" ht="21" customHeight="1">
      <c r="A204" s="47"/>
      <c r="B204" s="37" t="s">
        <v>140</v>
      </c>
      <c r="C204" s="37" t="s">
        <v>315</v>
      </c>
      <c r="D204" s="126">
        <f t="shared" ref="D204:L204" si="11">SUM(D205,D218,D225,D229,D237)</f>
        <v>193460</v>
      </c>
      <c r="E204" s="126">
        <f t="shared" si="11"/>
        <v>184685</v>
      </c>
      <c r="F204" s="126">
        <f t="shared" si="11"/>
        <v>76938</v>
      </c>
      <c r="G204" s="126">
        <f t="shared" si="11"/>
        <v>5400</v>
      </c>
      <c r="H204" s="126">
        <f t="shared" si="11"/>
        <v>22167</v>
      </c>
      <c r="I204" s="126">
        <f t="shared" si="11"/>
        <v>19536</v>
      </c>
      <c r="J204" s="126">
        <f t="shared" si="11"/>
        <v>49142</v>
      </c>
      <c r="K204" s="126">
        <f t="shared" si="11"/>
        <v>0</v>
      </c>
      <c r="L204" s="126">
        <f t="shared" si="11"/>
        <v>11502</v>
      </c>
      <c r="M204" s="126">
        <f>E204-D204</f>
        <v>-8775</v>
      </c>
      <c r="N204" s="134">
        <f>IF(D204=0,0,M204/D204)</f>
        <v>-4.5358213584203451E-2</v>
      </c>
      <c r="O204" s="103"/>
      <c r="P204" s="103"/>
      <c r="Q204" s="103"/>
      <c r="R204" s="103"/>
      <c r="S204" s="103"/>
      <c r="T204" s="97"/>
      <c r="U204" s="97"/>
      <c r="V204" s="97"/>
      <c r="W204" s="97"/>
      <c r="X204" s="97"/>
      <c r="Y204" s="97" t="s">
        <v>28</v>
      </c>
      <c r="Z204" s="97"/>
      <c r="AA204" s="97"/>
      <c r="AB204" s="97"/>
      <c r="AC204" s="104"/>
      <c r="AD204" s="104">
        <f>SUM(AD205,AD218,AD225,AD229,AD237)</f>
        <v>184685000</v>
      </c>
      <c r="AE204" s="105" t="s">
        <v>25</v>
      </c>
      <c r="AF204" s="1"/>
    </row>
    <row r="205" spans="1:32" s="11" customFormat="1" ht="21" customHeight="1">
      <c r="A205" s="47"/>
      <c r="B205" s="47"/>
      <c r="C205" s="37" t="s">
        <v>59</v>
      </c>
      <c r="D205" s="212">
        <v>142425</v>
      </c>
      <c r="E205" s="126">
        <f>ROUND(AD205/1000,0)</f>
        <v>129927</v>
      </c>
      <c r="F205" s="126">
        <f>SUM(AD206,AD211,AD212)/1000</f>
        <v>56637</v>
      </c>
      <c r="G205" s="126">
        <v>0</v>
      </c>
      <c r="H205" s="126">
        <f>SUM(AD208:AD210)/1000</f>
        <v>15687</v>
      </c>
      <c r="I205" s="126">
        <f>SUM(AD213)/1000</f>
        <v>3621</v>
      </c>
      <c r="J205" s="126">
        <f>SUM(AD207)/1000</f>
        <v>42480</v>
      </c>
      <c r="K205" s="126">
        <v>0</v>
      </c>
      <c r="L205" s="126">
        <f>SUM(AD214:AD216)/1000</f>
        <v>11502</v>
      </c>
      <c r="M205" s="126">
        <f>E205-D205</f>
        <v>-12498</v>
      </c>
      <c r="N205" s="134">
        <f>IF(D205=0,0,M205/D205)</f>
        <v>-8.7751448130595044E-2</v>
      </c>
      <c r="O205" s="107" t="s">
        <v>141</v>
      </c>
      <c r="P205" s="257"/>
      <c r="Q205" s="257"/>
      <c r="R205" s="257"/>
      <c r="S205" s="257"/>
      <c r="T205" s="256"/>
      <c r="U205" s="256"/>
      <c r="V205" s="256"/>
      <c r="W205" s="256"/>
      <c r="X205" s="256"/>
      <c r="Y205" s="233" t="s">
        <v>285</v>
      </c>
      <c r="Z205" s="233"/>
      <c r="AA205" s="233"/>
      <c r="AB205" s="233"/>
      <c r="AC205" s="235"/>
      <c r="AD205" s="235">
        <f>SUM(AD206:AD216)</f>
        <v>129927000</v>
      </c>
      <c r="AE205" s="234" t="s">
        <v>25</v>
      </c>
      <c r="AF205" s="1"/>
    </row>
    <row r="206" spans="1:32" s="11" customFormat="1" ht="21" customHeight="1">
      <c r="A206" s="47"/>
      <c r="B206" s="47"/>
      <c r="C206" s="47"/>
      <c r="D206" s="122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423" t="s">
        <v>654</v>
      </c>
      <c r="P206" s="51"/>
      <c r="Q206" s="52"/>
      <c r="R206" s="52"/>
      <c r="S206" s="52">
        <v>189853</v>
      </c>
      <c r="T206" s="52" t="s">
        <v>95</v>
      </c>
      <c r="U206" s="56" t="s">
        <v>99</v>
      </c>
      <c r="V206" s="52">
        <v>12</v>
      </c>
      <c r="W206" s="52" t="s">
        <v>112</v>
      </c>
      <c r="X206" s="56" t="s">
        <v>99</v>
      </c>
      <c r="Y206" s="52">
        <v>24</v>
      </c>
      <c r="Z206" s="52" t="s">
        <v>101</v>
      </c>
      <c r="AA206" s="58" t="s">
        <v>102</v>
      </c>
      <c r="AB206" s="52" t="s">
        <v>116</v>
      </c>
      <c r="AC206" s="70"/>
      <c r="AD206" s="70">
        <f>ROUNDUP(S206*V206*Y206,-3)</f>
        <v>54678000</v>
      </c>
      <c r="AE206" s="59" t="s">
        <v>25</v>
      </c>
      <c r="AF206" s="2"/>
    </row>
    <row r="207" spans="1:32" s="11" customFormat="1" ht="21" customHeight="1">
      <c r="A207" s="47"/>
      <c r="B207" s="47"/>
      <c r="C207" s="47"/>
      <c r="D207" s="122"/>
      <c r="E207" s="121"/>
      <c r="F207" s="121"/>
      <c r="G207" s="121"/>
      <c r="H207" s="121"/>
      <c r="I207" s="121"/>
      <c r="J207" s="121"/>
      <c r="K207" s="121"/>
      <c r="L207" s="121"/>
      <c r="M207" s="121"/>
      <c r="N207" s="72"/>
      <c r="O207" s="206" t="s">
        <v>181</v>
      </c>
      <c r="P207" s="179"/>
      <c r="Q207" s="179"/>
      <c r="R207" s="179"/>
      <c r="S207" s="442">
        <v>118000</v>
      </c>
      <c r="T207" s="442" t="s">
        <v>57</v>
      </c>
      <c r="U207" s="56" t="s">
        <v>58</v>
      </c>
      <c r="V207" s="442">
        <v>12</v>
      </c>
      <c r="W207" s="442" t="s">
        <v>0</v>
      </c>
      <c r="X207" s="56" t="s">
        <v>58</v>
      </c>
      <c r="Y207" s="442">
        <v>30</v>
      </c>
      <c r="Z207" s="442" t="s">
        <v>56</v>
      </c>
      <c r="AA207" s="439" t="s">
        <v>53</v>
      </c>
      <c r="AB207" s="442" t="s">
        <v>769</v>
      </c>
      <c r="AC207" s="70"/>
      <c r="AD207" s="70">
        <f>ROUNDUP(S207*V207*Y207,-3)</f>
        <v>42480000</v>
      </c>
      <c r="AE207" s="59" t="s">
        <v>25</v>
      </c>
      <c r="AF207" s="2"/>
    </row>
    <row r="208" spans="1:32" s="11" customFormat="1" ht="21" customHeight="1">
      <c r="A208" s="47"/>
      <c r="B208" s="47"/>
      <c r="C208" s="47"/>
      <c r="D208" s="122"/>
      <c r="E208" s="121"/>
      <c r="F208" s="121"/>
      <c r="G208" s="121"/>
      <c r="H208" s="121"/>
      <c r="I208" s="121"/>
      <c r="J208" s="121"/>
      <c r="K208" s="121"/>
      <c r="L208" s="121"/>
      <c r="M208" s="121"/>
      <c r="N208" s="72"/>
      <c r="O208" s="277" t="s">
        <v>383</v>
      </c>
      <c r="P208" s="51"/>
      <c r="Q208" s="52"/>
      <c r="R208" s="52"/>
      <c r="S208" s="52">
        <v>500</v>
      </c>
      <c r="T208" s="52" t="s">
        <v>95</v>
      </c>
      <c r="U208" s="56" t="s">
        <v>99</v>
      </c>
      <c r="V208" s="52">
        <v>365</v>
      </c>
      <c r="W208" s="52" t="s">
        <v>100</v>
      </c>
      <c r="X208" s="56" t="s">
        <v>99</v>
      </c>
      <c r="Y208" s="52">
        <v>54</v>
      </c>
      <c r="Z208" s="52" t="s">
        <v>101</v>
      </c>
      <c r="AA208" s="58" t="s">
        <v>102</v>
      </c>
      <c r="AB208" s="52" t="s">
        <v>116</v>
      </c>
      <c r="AC208" s="70"/>
      <c r="AD208" s="70">
        <f>ROUND(S208*V208*Y208,-3)</f>
        <v>9855000</v>
      </c>
      <c r="AE208" s="59" t="s">
        <v>25</v>
      </c>
      <c r="AF208" s="2"/>
    </row>
    <row r="209" spans="1:32" s="11" customFormat="1" ht="21" customHeight="1">
      <c r="A209" s="47"/>
      <c r="B209" s="47"/>
      <c r="C209" s="47"/>
      <c r="D209" s="122"/>
      <c r="E209" s="121"/>
      <c r="F209" s="121"/>
      <c r="G209" s="121"/>
      <c r="H209" s="121"/>
      <c r="I209" s="121"/>
      <c r="J209" s="121"/>
      <c r="K209" s="121"/>
      <c r="L209" s="121"/>
      <c r="M209" s="121"/>
      <c r="N209" s="72"/>
      <c r="O209" s="277" t="s">
        <v>384</v>
      </c>
      <c r="P209" s="51"/>
      <c r="Q209" s="52"/>
      <c r="R209" s="52"/>
      <c r="S209" s="52">
        <v>5000</v>
      </c>
      <c r="T209" s="52" t="s">
        <v>95</v>
      </c>
      <c r="U209" s="56" t="s">
        <v>99</v>
      </c>
      <c r="V209" s="52">
        <v>12</v>
      </c>
      <c r="W209" s="52" t="s">
        <v>29</v>
      </c>
      <c r="X209" s="56" t="s">
        <v>99</v>
      </c>
      <c r="Y209" s="52">
        <v>54</v>
      </c>
      <c r="Z209" s="52" t="s">
        <v>101</v>
      </c>
      <c r="AA209" s="58" t="s">
        <v>102</v>
      </c>
      <c r="AB209" s="52" t="s">
        <v>116</v>
      </c>
      <c r="AC209" s="70"/>
      <c r="AD209" s="70">
        <f>S209*V209*Y209</f>
        <v>3240000</v>
      </c>
      <c r="AE209" s="59" t="s">
        <v>25</v>
      </c>
      <c r="AF209" s="2"/>
    </row>
    <row r="210" spans="1:32" s="11" customFormat="1" ht="21" customHeight="1">
      <c r="A210" s="47"/>
      <c r="B210" s="47"/>
      <c r="C210" s="47"/>
      <c r="D210" s="122"/>
      <c r="E210" s="121"/>
      <c r="F210" s="121"/>
      <c r="G210" s="121"/>
      <c r="H210" s="121"/>
      <c r="I210" s="121"/>
      <c r="J210" s="121"/>
      <c r="K210" s="121"/>
      <c r="L210" s="121"/>
      <c r="M210" s="121"/>
      <c r="N210" s="72"/>
      <c r="O210" s="277" t="s">
        <v>385</v>
      </c>
      <c r="P210" s="51"/>
      <c r="Q210" s="52"/>
      <c r="R210" s="52"/>
      <c r="S210" s="52">
        <v>12000</v>
      </c>
      <c r="T210" s="52" t="s">
        <v>95</v>
      </c>
      <c r="U210" s="56" t="s">
        <v>99</v>
      </c>
      <c r="V210" s="52">
        <v>4</v>
      </c>
      <c r="W210" s="52" t="s">
        <v>133</v>
      </c>
      <c r="X210" s="56" t="s">
        <v>99</v>
      </c>
      <c r="Y210" s="52">
        <v>54</v>
      </c>
      <c r="Z210" s="52" t="s">
        <v>101</v>
      </c>
      <c r="AA210" s="58" t="s">
        <v>102</v>
      </c>
      <c r="AB210" s="52" t="s">
        <v>116</v>
      </c>
      <c r="AC210" s="70"/>
      <c r="AD210" s="70">
        <f>S210*V210*Y210</f>
        <v>2592000</v>
      </c>
      <c r="AE210" s="59" t="s">
        <v>25</v>
      </c>
      <c r="AF210" s="2"/>
    </row>
    <row r="211" spans="1:32" s="11" customFormat="1" ht="21" customHeight="1">
      <c r="A211" s="47"/>
      <c r="B211" s="47"/>
      <c r="C211" s="47"/>
      <c r="D211" s="122"/>
      <c r="E211" s="121"/>
      <c r="F211" s="121"/>
      <c r="G211" s="121"/>
      <c r="H211" s="121"/>
      <c r="I211" s="121"/>
      <c r="J211" s="121"/>
      <c r="K211" s="121"/>
      <c r="L211" s="121"/>
      <c r="M211" s="121"/>
      <c r="N211" s="72"/>
      <c r="O211" s="253" t="s">
        <v>316</v>
      </c>
      <c r="P211" s="51"/>
      <c r="Q211" s="52"/>
      <c r="R211" s="52"/>
      <c r="S211" s="52">
        <v>27489</v>
      </c>
      <c r="T211" s="52" t="s">
        <v>95</v>
      </c>
      <c r="U211" s="56" t="s">
        <v>99</v>
      </c>
      <c r="V211" s="52">
        <v>2</v>
      </c>
      <c r="W211" s="52" t="s">
        <v>133</v>
      </c>
      <c r="X211" s="56" t="s">
        <v>99</v>
      </c>
      <c r="Y211" s="52">
        <v>24</v>
      </c>
      <c r="Z211" s="52" t="s">
        <v>101</v>
      </c>
      <c r="AA211" s="58" t="s">
        <v>102</v>
      </c>
      <c r="AB211" s="52" t="s">
        <v>116</v>
      </c>
      <c r="AC211" s="70"/>
      <c r="AD211" s="70">
        <f>ROUND(S211*V211*Y211,-3)</f>
        <v>1319000</v>
      </c>
      <c r="AE211" s="59" t="s">
        <v>25</v>
      </c>
      <c r="AF211" s="2"/>
    </row>
    <row r="212" spans="1:32" s="11" customFormat="1" ht="21" customHeight="1">
      <c r="A212" s="47"/>
      <c r="B212" s="47"/>
      <c r="C212" s="47"/>
      <c r="D212" s="210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443" t="s">
        <v>770</v>
      </c>
      <c r="P212" s="51"/>
      <c r="Q212" s="52"/>
      <c r="R212" s="52"/>
      <c r="S212" s="252">
        <v>26648</v>
      </c>
      <c r="T212" s="252" t="s">
        <v>57</v>
      </c>
      <c r="U212" s="56" t="s">
        <v>58</v>
      </c>
      <c r="V212" s="252">
        <v>1</v>
      </c>
      <c r="W212" s="252" t="s">
        <v>80</v>
      </c>
      <c r="X212" s="56" t="s">
        <v>58</v>
      </c>
      <c r="Y212" s="252">
        <v>24</v>
      </c>
      <c r="Z212" s="252" t="s">
        <v>56</v>
      </c>
      <c r="AA212" s="247" t="s">
        <v>53</v>
      </c>
      <c r="AB212" s="252" t="s">
        <v>116</v>
      </c>
      <c r="AC212" s="70"/>
      <c r="AD212" s="70">
        <f>ROUNDUP(S212*V212*Y212,-3)</f>
        <v>640000</v>
      </c>
      <c r="AE212" s="59" t="s">
        <v>25</v>
      </c>
      <c r="AF212" s="2"/>
    </row>
    <row r="213" spans="1:32" s="11" customFormat="1" ht="21" customHeight="1">
      <c r="A213" s="47"/>
      <c r="B213" s="47"/>
      <c r="C213" s="47"/>
      <c r="D213" s="210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179"/>
      <c r="P213" s="179"/>
      <c r="Q213" s="178"/>
      <c r="R213" s="178"/>
      <c r="S213" s="178"/>
      <c r="T213" s="178"/>
      <c r="U213" s="56"/>
      <c r="V213" s="178"/>
      <c r="W213" s="178"/>
      <c r="X213" s="56"/>
      <c r="Y213" s="178"/>
      <c r="Z213" s="178"/>
      <c r="AA213" s="177"/>
      <c r="AB213" s="130" t="s">
        <v>329</v>
      </c>
      <c r="AC213" s="130"/>
      <c r="AD213" s="457">
        <v>3621000</v>
      </c>
      <c r="AE213" s="59" t="s">
        <v>25</v>
      </c>
      <c r="AF213" s="2"/>
    </row>
    <row r="214" spans="1:32" s="11" customFormat="1" ht="21" customHeight="1">
      <c r="A214" s="47"/>
      <c r="B214" s="47"/>
      <c r="C214" s="47"/>
      <c r="D214" s="210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443"/>
      <c r="P214" s="443"/>
      <c r="Q214" s="442"/>
      <c r="R214" s="442"/>
      <c r="S214" s="442"/>
      <c r="T214" s="442"/>
      <c r="U214" s="56"/>
      <c r="V214" s="442"/>
      <c r="W214" s="442"/>
      <c r="X214" s="56"/>
      <c r="Y214" s="442"/>
      <c r="Z214" s="442"/>
      <c r="AA214" s="439"/>
      <c r="AB214" s="130" t="s">
        <v>774</v>
      </c>
      <c r="AC214" s="130"/>
      <c r="AD214" s="457">
        <v>2502000</v>
      </c>
      <c r="AE214" s="59" t="s">
        <v>775</v>
      </c>
      <c r="AF214" s="2"/>
    </row>
    <row r="215" spans="1:32" s="11" customFormat="1" ht="21" customHeight="1">
      <c r="A215" s="47"/>
      <c r="B215" s="47"/>
      <c r="C215" s="47"/>
      <c r="D215" s="210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443" t="s">
        <v>771</v>
      </c>
      <c r="P215" s="179"/>
      <c r="Q215" s="179"/>
      <c r="R215" s="179"/>
      <c r="S215" s="252">
        <v>50000</v>
      </c>
      <c r="T215" s="56" t="s">
        <v>57</v>
      </c>
      <c r="U215" s="56" t="s">
        <v>26</v>
      </c>
      <c r="V215" s="252">
        <v>12</v>
      </c>
      <c r="W215" s="252" t="s">
        <v>56</v>
      </c>
      <c r="X215" s="56" t="s">
        <v>26</v>
      </c>
      <c r="Y215" s="252">
        <v>12</v>
      </c>
      <c r="Z215" s="252" t="s">
        <v>0</v>
      </c>
      <c r="AA215" s="247" t="s">
        <v>27</v>
      </c>
      <c r="AB215" s="252" t="s">
        <v>163</v>
      </c>
      <c r="AC215" s="252"/>
      <c r="AD215" s="252">
        <f>S215*V215*Y215</f>
        <v>7200000</v>
      </c>
      <c r="AE215" s="148" t="s">
        <v>57</v>
      </c>
      <c r="AF215" s="2"/>
    </row>
    <row r="216" spans="1:32" s="11" customFormat="1" ht="21" customHeight="1">
      <c r="A216" s="47"/>
      <c r="B216" s="47"/>
      <c r="C216" s="47"/>
      <c r="D216" s="210"/>
      <c r="E216" s="121"/>
      <c r="F216" s="121"/>
      <c r="G216" s="121"/>
      <c r="H216" s="121"/>
      <c r="I216" s="121"/>
      <c r="J216" s="121"/>
      <c r="K216" s="121"/>
      <c r="L216" s="121"/>
      <c r="M216" s="121"/>
      <c r="N216" s="72"/>
      <c r="O216" s="443" t="s">
        <v>772</v>
      </c>
      <c r="P216" s="179"/>
      <c r="Q216" s="179"/>
      <c r="R216" s="179"/>
      <c r="S216" s="178">
        <v>150000</v>
      </c>
      <c r="T216" s="56" t="s">
        <v>178</v>
      </c>
      <c r="U216" s="56" t="s">
        <v>26</v>
      </c>
      <c r="V216" s="178">
        <v>12</v>
      </c>
      <c r="W216" s="178" t="s">
        <v>179</v>
      </c>
      <c r="X216" s="177" t="s">
        <v>27</v>
      </c>
      <c r="Y216" s="178"/>
      <c r="Z216" s="178"/>
      <c r="AA216" s="177"/>
      <c r="AB216" s="178" t="s">
        <v>180</v>
      </c>
      <c r="AC216" s="178"/>
      <c r="AD216" s="438">
        <f>S216*V216</f>
        <v>1800000</v>
      </c>
      <c r="AE216" s="148" t="s">
        <v>57</v>
      </c>
      <c r="AF216" s="2"/>
    </row>
    <row r="217" spans="1:32" s="11" customFormat="1" ht="21" customHeight="1">
      <c r="A217" s="47"/>
      <c r="B217" s="47"/>
      <c r="C217" s="61"/>
      <c r="D217" s="211"/>
      <c r="E217" s="124"/>
      <c r="F217" s="124"/>
      <c r="G217" s="124"/>
      <c r="H217" s="124"/>
      <c r="I217" s="124"/>
      <c r="J217" s="124"/>
      <c r="K217" s="124"/>
      <c r="L217" s="124"/>
      <c r="M217" s="124"/>
      <c r="N217" s="92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60"/>
      <c r="AE217" s="140"/>
      <c r="AF217" s="2"/>
    </row>
    <row r="218" spans="1:32" s="11" customFormat="1" ht="21" customHeight="1">
      <c r="A218" s="47"/>
      <c r="B218" s="47"/>
      <c r="C218" s="47" t="s">
        <v>142</v>
      </c>
      <c r="D218" s="210">
        <v>7304</v>
      </c>
      <c r="E218" s="121">
        <f>ROUND(AD218/1000,0)</f>
        <v>6300</v>
      </c>
      <c r="F218" s="121">
        <v>3911</v>
      </c>
      <c r="G218" s="121">
        <v>0</v>
      </c>
      <c r="H218" s="121">
        <v>0</v>
      </c>
      <c r="I218" s="121">
        <v>2389</v>
      </c>
      <c r="J218" s="121">
        <v>0</v>
      </c>
      <c r="K218" s="121">
        <v>0</v>
      </c>
      <c r="L218" s="121">
        <v>0</v>
      </c>
      <c r="M218" s="121">
        <f>E218-D218</f>
        <v>-1004</v>
      </c>
      <c r="N218" s="72">
        <f>IF(D218=0,0,M218/D218)</f>
        <v>-0.13745892661555312</v>
      </c>
      <c r="O218" s="107" t="s">
        <v>143</v>
      </c>
      <c r="P218" s="103"/>
      <c r="Q218" s="103"/>
      <c r="R218" s="103"/>
      <c r="S218" s="103"/>
      <c r="T218" s="97"/>
      <c r="U218" s="97"/>
      <c r="V218" s="97"/>
      <c r="W218" s="97"/>
      <c r="X218" s="97"/>
      <c r="Y218" s="233" t="s">
        <v>285</v>
      </c>
      <c r="Z218" s="233"/>
      <c r="AA218" s="233"/>
      <c r="AB218" s="233"/>
      <c r="AC218" s="235"/>
      <c r="AD218" s="235">
        <f>SUM(AD219:AD224)</f>
        <v>6300000</v>
      </c>
      <c r="AE218" s="234" t="s">
        <v>25</v>
      </c>
      <c r="AF218" s="1"/>
    </row>
    <row r="219" spans="1:32" s="11" customFormat="1" ht="21" customHeight="1">
      <c r="A219" s="47"/>
      <c r="B219" s="47"/>
      <c r="C219" s="47" t="s">
        <v>317</v>
      </c>
      <c r="D219" s="210"/>
      <c r="E219" s="121"/>
      <c r="F219" s="121"/>
      <c r="G219" s="121"/>
      <c r="H219" s="121"/>
      <c r="I219" s="121"/>
      <c r="J219" s="121"/>
      <c r="K219" s="121"/>
      <c r="L219" s="121"/>
      <c r="M219" s="121"/>
      <c r="N219" s="72"/>
      <c r="O219" s="206" t="s">
        <v>144</v>
      </c>
      <c r="P219" s="51"/>
      <c r="Q219" s="51"/>
      <c r="R219" s="51"/>
      <c r="S219" s="52"/>
      <c r="T219" s="56"/>
      <c r="U219" s="56"/>
      <c r="V219" s="52"/>
      <c r="W219" s="52"/>
      <c r="X219" s="52"/>
      <c r="Y219" s="52"/>
      <c r="Z219" s="52"/>
      <c r="AA219" s="52"/>
      <c r="AB219" s="431" t="s">
        <v>698</v>
      </c>
      <c r="AC219" s="52"/>
      <c r="AD219" s="438">
        <v>3600000</v>
      </c>
      <c r="AE219" s="59" t="s">
        <v>95</v>
      </c>
      <c r="AF219" s="2"/>
    </row>
    <row r="220" spans="1:32" s="11" customFormat="1" ht="21" customHeight="1">
      <c r="A220" s="47"/>
      <c r="B220" s="47"/>
      <c r="C220" s="47"/>
      <c r="D220" s="210"/>
      <c r="E220" s="121"/>
      <c r="F220" s="121"/>
      <c r="G220" s="121"/>
      <c r="H220" s="121"/>
      <c r="I220" s="121"/>
      <c r="J220" s="121"/>
      <c r="K220" s="121"/>
      <c r="L220" s="121"/>
      <c r="M220" s="121"/>
      <c r="N220" s="72"/>
      <c r="O220" s="206" t="s">
        <v>173</v>
      </c>
      <c r="P220" s="144"/>
      <c r="Q220" s="144"/>
      <c r="R220" s="144"/>
      <c r="S220" s="143"/>
      <c r="T220" s="56"/>
      <c r="U220" s="56"/>
      <c r="V220" s="143"/>
      <c r="W220" s="143"/>
      <c r="X220" s="143"/>
      <c r="Y220" s="143"/>
      <c r="Z220" s="143"/>
      <c r="AA220" s="143"/>
      <c r="AB220" s="181"/>
      <c r="AC220" s="143"/>
      <c r="AD220" s="438">
        <v>500000</v>
      </c>
      <c r="AE220" s="59" t="s">
        <v>69</v>
      </c>
      <c r="AF220" s="2"/>
    </row>
    <row r="221" spans="1:32" s="11" customFormat="1" ht="21" customHeight="1">
      <c r="A221" s="47"/>
      <c r="B221" s="47"/>
      <c r="C221" s="47"/>
      <c r="D221" s="210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206" t="s">
        <v>174</v>
      </c>
      <c r="P221" s="144"/>
      <c r="Q221" s="144"/>
      <c r="R221" s="144"/>
      <c r="S221" s="143"/>
      <c r="T221" s="56"/>
      <c r="U221" s="56"/>
      <c r="V221" s="143"/>
      <c r="W221" s="143"/>
      <c r="X221" s="143"/>
      <c r="Y221" s="143"/>
      <c r="Z221" s="143"/>
      <c r="AA221" s="143"/>
      <c r="AB221" s="276"/>
      <c r="AC221" s="143"/>
      <c r="AD221" s="438">
        <v>1000000</v>
      </c>
      <c r="AE221" s="59" t="s">
        <v>69</v>
      </c>
      <c r="AF221" s="2"/>
    </row>
    <row r="222" spans="1:32" s="11" customFormat="1" ht="21" customHeight="1">
      <c r="A222" s="47"/>
      <c r="B222" s="47"/>
      <c r="C222" s="47"/>
      <c r="D222" s="210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428" t="s">
        <v>684</v>
      </c>
      <c r="P222" s="144"/>
      <c r="Q222" s="144"/>
      <c r="R222" s="144"/>
      <c r="S222" s="143"/>
      <c r="T222" s="56"/>
      <c r="U222" s="56"/>
      <c r="V222" s="143"/>
      <c r="W222" s="143"/>
      <c r="X222" s="143"/>
      <c r="Y222" s="143"/>
      <c r="Z222" s="143"/>
      <c r="AA222" s="143"/>
      <c r="AB222" s="188"/>
      <c r="AC222" s="143"/>
      <c r="AD222" s="438">
        <v>700000</v>
      </c>
      <c r="AE222" s="59" t="s">
        <v>69</v>
      </c>
      <c r="AF222" s="2"/>
    </row>
    <row r="223" spans="1:32" s="11" customFormat="1" ht="21" customHeight="1">
      <c r="A223" s="47"/>
      <c r="B223" s="47"/>
      <c r="C223" s="47"/>
      <c r="D223" s="210"/>
      <c r="E223" s="121"/>
      <c r="F223" s="121"/>
      <c r="G223" s="121"/>
      <c r="H223" s="121"/>
      <c r="I223" s="121"/>
      <c r="J223" s="121"/>
      <c r="K223" s="121"/>
      <c r="L223" s="121"/>
      <c r="M223" s="121"/>
      <c r="N223" s="72"/>
      <c r="O223" s="428" t="s">
        <v>685</v>
      </c>
      <c r="P223" s="253"/>
      <c r="Q223" s="253"/>
      <c r="R223" s="253"/>
      <c r="S223" s="252"/>
      <c r="T223" s="56"/>
      <c r="U223" s="56"/>
      <c r="V223" s="252"/>
      <c r="W223" s="252"/>
      <c r="X223" s="252"/>
      <c r="Y223" s="252"/>
      <c r="Z223" s="252"/>
      <c r="AA223" s="252"/>
      <c r="AB223" s="252"/>
      <c r="AC223" s="252"/>
      <c r="AD223" s="438">
        <v>500000</v>
      </c>
      <c r="AE223" s="59" t="s">
        <v>279</v>
      </c>
      <c r="AF223" s="2"/>
    </row>
    <row r="224" spans="1:32" s="11" customFormat="1" ht="21" customHeight="1">
      <c r="A224" s="47"/>
      <c r="B224" s="47"/>
      <c r="C224" s="47"/>
      <c r="D224" s="210"/>
      <c r="E224" s="121"/>
      <c r="F224" s="121"/>
      <c r="G224" s="121"/>
      <c r="H224" s="121"/>
      <c r="I224" s="121"/>
      <c r="J224" s="121"/>
      <c r="K224" s="121"/>
      <c r="L224" s="121"/>
      <c r="M224" s="121"/>
      <c r="N224" s="72"/>
      <c r="O224" s="204"/>
      <c r="P224" s="88"/>
      <c r="Q224" s="88"/>
      <c r="R224" s="88"/>
      <c r="S224" s="87"/>
      <c r="T224" s="93"/>
      <c r="U224" s="56"/>
      <c r="V224" s="74"/>
      <c r="W224" s="87"/>
      <c r="X224" s="87"/>
      <c r="Y224" s="87"/>
      <c r="Z224" s="87"/>
      <c r="AA224" s="87"/>
      <c r="AB224" s="186"/>
      <c r="AC224" s="87"/>
      <c r="AD224" s="87"/>
      <c r="AE224" s="75"/>
      <c r="AF224" s="1"/>
    </row>
    <row r="225" spans="1:32" s="11" customFormat="1" ht="21" customHeight="1">
      <c r="A225" s="47"/>
      <c r="B225" s="47"/>
      <c r="C225" s="37" t="s">
        <v>137</v>
      </c>
      <c r="D225" s="212">
        <v>14040</v>
      </c>
      <c r="E225" s="126">
        <f>ROUND(AD225/1000,0)</f>
        <v>14040</v>
      </c>
      <c r="F225" s="126">
        <v>0</v>
      </c>
      <c r="G225" s="126">
        <v>0</v>
      </c>
      <c r="H225" s="126">
        <f>ROUND(SUM(AD227),-3)/1000</f>
        <v>4320</v>
      </c>
      <c r="I225" s="126">
        <f>AD226/1000</f>
        <v>9720</v>
      </c>
      <c r="J225" s="126">
        <v>0</v>
      </c>
      <c r="K225" s="126">
        <v>0</v>
      </c>
      <c r="L225" s="126">
        <v>0</v>
      </c>
      <c r="M225" s="126">
        <f>E225-D225</f>
        <v>0</v>
      </c>
      <c r="N225" s="134">
        <f>IF(D225=0,0,M225/D225)</f>
        <v>0</v>
      </c>
      <c r="O225" s="107" t="s">
        <v>271</v>
      </c>
      <c r="P225" s="232"/>
      <c r="Q225" s="103"/>
      <c r="R225" s="103"/>
      <c r="S225" s="103"/>
      <c r="T225" s="97"/>
      <c r="U225" s="97"/>
      <c r="V225" s="97"/>
      <c r="W225" s="256"/>
      <c r="X225" s="256"/>
      <c r="Y225" s="233" t="s">
        <v>285</v>
      </c>
      <c r="Z225" s="233"/>
      <c r="AA225" s="233"/>
      <c r="AB225" s="233"/>
      <c r="AC225" s="235"/>
      <c r="AD225" s="235">
        <f>SUM(AD226:AD228)</f>
        <v>14040000</v>
      </c>
      <c r="AE225" s="234" t="s">
        <v>25</v>
      </c>
      <c r="AF225" s="1"/>
    </row>
    <row r="226" spans="1:32" s="11" customFormat="1" ht="21" customHeight="1">
      <c r="A226" s="47"/>
      <c r="B226" s="47"/>
      <c r="C226" s="47"/>
      <c r="D226" s="122"/>
      <c r="E226" s="121"/>
      <c r="F226" s="121"/>
      <c r="G226" s="121"/>
      <c r="H226" s="121"/>
      <c r="I226" s="121"/>
      <c r="J226" s="121"/>
      <c r="K226" s="121"/>
      <c r="L226" s="121"/>
      <c r="M226" s="121"/>
      <c r="N226" s="72"/>
      <c r="O226" s="242" t="s">
        <v>278</v>
      </c>
      <c r="P226" s="51"/>
      <c r="Q226" s="52"/>
      <c r="R226" s="52"/>
      <c r="S226" s="52">
        <v>15000</v>
      </c>
      <c r="T226" s="52" t="s">
        <v>95</v>
      </c>
      <c r="U226" s="51" t="s">
        <v>99</v>
      </c>
      <c r="V226" s="52">
        <v>12</v>
      </c>
      <c r="W226" s="52" t="s">
        <v>112</v>
      </c>
      <c r="X226" s="51" t="s">
        <v>99</v>
      </c>
      <c r="Y226" s="52">
        <v>54</v>
      </c>
      <c r="Z226" s="52" t="s">
        <v>101</v>
      </c>
      <c r="AA226" s="52" t="s">
        <v>102</v>
      </c>
      <c r="AB226" s="442" t="s">
        <v>758</v>
      </c>
      <c r="AC226" s="70"/>
      <c r="AD226" s="454">
        <f>ROUNDUP(S226*V226*Y226,-3)</f>
        <v>9720000</v>
      </c>
      <c r="AE226" s="59" t="s">
        <v>25</v>
      </c>
      <c r="AF226" s="1"/>
    </row>
    <row r="227" spans="1:32" s="11" customFormat="1" ht="21" customHeight="1">
      <c r="A227" s="47"/>
      <c r="B227" s="47"/>
      <c r="C227" s="47"/>
      <c r="D227" s="122"/>
      <c r="E227" s="121"/>
      <c r="F227" s="121"/>
      <c r="G227" s="121"/>
      <c r="H227" s="121"/>
      <c r="I227" s="121"/>
      <c r="J227" s="121"/>
      <c r="K227" s="121"/>
      <c r="L227" s="121"/>
      <c r="M227" s="121"/>
      <c r="N227" s="72"/>
      <c r="O227" s="428" t="s">
        <v>681</v>
      </c>
      <c r="P227" s="242"/>
      <c r="Q227" s="241"/>
      <c r="R227" s="241"/>
      <c r="S227" s="241">
        <v>20000</v>
      </c>
      <c r="T227" s="241" t="s">
        <v>241</v>
      </c>
      <c r="U227" s="242" t="s">
        <v>99</v>
      </c>
      <c r="V227" s="241">
        <v>4</v>
      </c>
      <c r="W227" s="241" t="s">
        <v>270</v>
      </c>
      <c r="X227" s="242" t="s">
        <v>99</v>
      </c>
      <c r="Y227" s="241">
        <v>54</v>
      </c>
      <c r="Z227" s="241" t="s">
        <v>101</v>
      </c>
      <c r="AA227" s="241" t="s">
        <v>102</v>
      </c>
      <c r="AB227" s="241" t="s">
        <v>116</v>
      </c>
      <c r="AC227" s="70"/>
      <c r="AD227" s="70">
        <f>ROUNDUP(S227*V227*Y227,-1)</f>
        <v>4320000</v>
      </c>
      <c r="AE227" s="59" t="s">
        <v>25</v>
      </c>
      <c r="AF227" s="1"/>
    </row>
    <row r="228" spans="1:32" s="11" customFormat="1" ht="21" customHeight="1">
      <c r="A228" s="47"/>
      <c r="B228" s="47"/>
      <c r="C228" s="47"/>
      <c r="D228" s="210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242"/>
      <c r="P228" s="51"/>
      <c r="Q228" s="52"/>
      <c r="R228" s="52"/>
      <c r="S228" s="52"/>
      <c r="T228" s="52"/>
      <c r="U228" s="51"/>
      <c r="V228" s="52"/>
      <c r="W228" s="52"/>
      <c r="X228" s="51"/>
      <c r="Y228" s="52"/>
      <c r="Z228" s="52"/>
      <c r="AA228" s="52"/>
      <c r="AB228" s="241"/>
      <c r="AC228" s="70"/>
      <c r="AD228" s="70"/>
      <c r="AE228" s="59"/>
      <c r="AF228" s="1"/>
    </row>
    <row r="229" spans="1:32" s="11" customFormat="1" ht="21" customHeight="1">
      <c r="A229" s="47"/>
      <c r="B229" s="47"/>
      <c r="C229" s="37" t="s">
        <v>138</v>
      </c>
      <c r="D229" s="212">
        <v>6641</v>
      </c>
      <c r="E229" s="126">
        <f>ROUND(AD229/1000,0)</f>
        <v>11366</v>
      </c>
      <c r="F229" s="126">
        <v>0</v>
      </c>
      <c r="G229" s="126">
        <v>5400</v>
      </c>
      <c r="H229" s="126">
        <v>2160</v>
      </c>
      <c r="I229" s="126">
        <f>SUM(AD232:AD235)/1000</f>
        <v>3806</v>
      </c>
      <c r="J229" s="126">
        <v>0</v>
      </c>
      <c r="K229" s="126">
        <v>0</v>
      </c>
      <c r="L229" s="126">
        <v>0</v>
      </c>
      <c r="M229" s="126">
        <f>E229-D229</f>
        <v>4725</v>
      </c>
      <c r="N229" s="134">
        <f>IF(D229=0,0,M229/D229)</f>
        <v>0.71148923354916427</v>
      </c>
      <c r="O229" s="107" t="s">
        <v>272</v>
      </c>
      <c r="P229" s="232"/>
      <c r="Q229" s="240"/>
      <c r="R229" s="240"/>
      <c r="S229" s="240"/>
      <c r="T229" s="239"/>
      <c r="U229" s="239"/>
      <c r="V229" s="239"/>
      <c r="W229" s="256"/>
      <c r="X229" s="256"/>
      <c r="Y229" s="233" t="s">
        <v>285</v>
      </c>
      <c r="Z229" s="233"/>
      <c r="AA229" s="233"/>
      <c r="AB229" s="233"/>
      <c r="AC229" s="235"/>
      <c r="AD229" s="235">
        <f>SUM(AD230:AD235)</f>
        <v>11366000</v>
      </c>
      <c r="AE229" s="234" t="s">
        <v>25</v>
      </c>
      <c r="AF229" s="1"/>
    </row>
    <row r="230" spans="1:32" s="14" customFormat="1" ht="21" customHeight="1">
      <c r="A230" s="47"/>
      <c r="B230" s="47"/>
      <c r="C230" s="47"/>
      <c r="D230" s="210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443" t="s">
        <v>773</v>
      </c>
      <c r="P230" s="51"/>
      <c r="Q230" s="52"/>
      <c r="R230" s="52"/>
      <c r="S230" s="52">
        <v>40000</v>
      </c>
      <c r="T230" s="52" t="s">
        <v>95</v>
      </c>
      <c r="U230" s="51" t="s">
        <v>99</v>
      </c>
      <c r="V230" s="52">
        <v>1</v>
      </c>
      <c r="W230" s="52" t="s">
        <v>133</v>
      </c>
      <c r="X230" s="51" t="s">
        <v>99</v>
      </c>
      <c r="Y230" s="52">
        <v>54</v>
      </c>
      <c r="Z230" s="52" t="s">
        <v>101</v>
      </c>
      <c r="AA230" s="52" t="s">
        <v>102</v>
      </c>
      <c r="AB230" s="52" t="s">
        <v>116</v>
      </c>
      <c r="AC230" s="70"/>
      <c r="AD230" s="70">
        <f>S230*V230*Y230</f>
        <v>2160000</v>
      </c>
      <c r="AE230" s="59" t="s">
        <v>25</v>
      </c>
      <c r="AF230" s="5"/>
    </row>
    <row r="231" spans="1:32" s="14" customFormat="1" ht="21" customHeight="1">
      <c r="A231" s="47"/>
      <c r="B231" s="47"/>
      <c r="C231" s="47"/>
      <c r="D231" s="210"/>
      <c r="E231" s="121"/>
      <c r="F231" s="121"/>
      <c r="G231" s="121"/>
      <c r="H231" s="121"/>
      <c r="I231" s="121"/>
      <c r="J231" s="121"/>
      <c r="K231" s="121"/>
      <c r="L231" s="121"/>
      <c r="M231" s="121"/>
      <c r="N231" s="449"/>
      <c r="O231" s="69" t="s">
        <v>152</v>
      </c>
      <c r="P231" s="443"/>
      <c r="Q231" s="443"/>
      <c r="R231" s="443"/>
      <c r="S231" s="442">
        <v>60000</v>
      </c>
      <c r="T231" s="442" t="s">
        <v>57</v>
      </c>
      <c r="U231" s="443" t="s">
        <v>58</v>
      </c>
      <c r="V231" s="442">
        <v>1</v>
      </c>
      <c r="W231" s="442" t="s">
        <v>56</v>
      </c>
      <c r="X231" s="443" t="s">
        <v>58</v>
      </c>
      <c r="Y231" s="57">
        <v>90</v>
      </c>
      <c r="Z231" s="439" t="s">
        <v>100</v>
      </c>
      <c r="AA231" s="439" t="s">
        <v>53</v>
      </c>
      <c r="AB231" s="442" t="s">
        <v>747</v>
      </c>
      <c r="AC231" s="70"/>
      <c r="AD231" s="442">
        <f>S231*V231*Y231</f>
        <v>5400000</v>
      </c>
      <c r="AE231" s="59" t="s">
        <v>57</v>
      </c>
      <c r="AF231" s="5"/>
    </row>
    <row r="232" spans="1:32" s="14" customFormat="1" ht="21" customHeight="1">
      <c r="A232" s="47"/>
      <c r="B232" s="47"/>
      <c r="C232" s="47"/>
      <c r="D232" s="210"/>
      <c r="E232" s="121"/>
      <c r="F232" s="121"/>
      <c r="G232" s="121"/>
      <c r="H232" s="121"/>
      <c r="I232" s="121"/>
      <c r="J232" s="121"/>
      <c r="K232" s="121"/>
      <c r="L232" s="121"/>
      <c r="M232" s="121"/>
      <c r="N232" s="72"/>
      <c r="O232" s="443" t="s">
        <v>748</v>
      </c>
      <c r="P232" s="51"/>
      <c r="Q232" s="51"/>
      <c r="R232" s="51"/>
      <c r="S232" s="241">
        <v>200000</v>
      </c>
      <c r="T232" s="56" t="s">
        <v>178</v>
      </c>
      <c r="U232" s="56" t="s">
        <v>26</v>
      </c>
      <c r="V232" s="241">
        <v>12</v>
      </c>
      <c r="W232" s="241" t="s">
        <v>179</v>
      </c>
      <c r="X232" s="236"/>
      <c r="Y232" s="161"/>
      <c r="Z232" s="77"/>
      <c r="AA232" s="246" t="s">
        <v>268</v>
      </c>
      <c r="AB232" s="442" t="s">
        <v>758</v>
      </c>
      <c r="AC232" s="52"/>
      <c r="AD232" s="438">
        <f>S232*V232</f>
        <v>2400000</v>
      </c>
      <c r="AE232" s="59" t="s">
        <v>25</v>
      </c>
      <c r="AF232" s="5"/>
    </row>
    <row r="233" spans="1:32" s="14" customFormat="1" ht="21" customHeight="1">
      <c r="A233" s="47"/>
      <c r="B233" s="47"/>
      <c r="C233" s="47"/>
      <c r="D233" s="210"/>
      <c r="E233" s="121"/>
      <c r="F233" s="121"/>
      <c r="G233" s="121"/>
      <c r="H233" s="121"/>
      <c r="I233" s="121"/>
      <c r="J233" s="121"/>
      <c r="K233" s="121"/>
      <c r="L233" s="121"/>
      <c r="M233" s="121"/>
      <c r="N233" s="72"/>
      <c r="O233" s="443" t="s">
        <v>749</v>
      </c>
      <c r="P233" s="273"/>
      <c r="Q233" s="273"/>
      <c r="R233" s="273"/>
      <c r="S233" s="272">
        <v>50000</v>
      </c>
      <c r="T233" s="56" t="s">
        <v>178</v>
      </c>
      <c r="U233" s="56" t="s">
        <v>26</v>
      </c>
      <c r="V233" s="272">
        <v>12</v>
      </c>
      <c r="W233" s="272" t="s">
        <v>179</v>
      </c>
      <c r="X233" s="271"/>
      <c r="Y233" s="161"/>
      <c r="Z233" s="77"/>
      <c r="AA233" s="246" t="s">
        <v>53</v>
      </c>
      <c r="AB233" s="442" t="s">
        <v>329</v>
      </c>
      <c r="AC233" s="272"/>
      <c r="AD233" s="438">
        <f>S233*V233</f>
        <v>600000</v>
      </c>
      <c r="AE233" s="59" t="s">
        <v>25</v>
      </c>
      <c r="AF233" s="5"/>
    </row>
    <row r="234" spans="1:32" s="14" customFormat="1" ht="21" customHeight="1">
      <c r="A234" s="47"/>
      <c r="B234" s="47"/>
      <c r="C234" s="47"/>
      <c r="D234" s="210"/>
      <c r="E234" s="121"/>
      <c r="F234" s="121"/>
      <c r="G234" s="121"/>
      <c r="H234" s="121"/>
      <c r="I234" s="121"/>
      <c r="J234" s="121"/>
      <c r="K234" s="121"/>
      <c r="L234" s="121"/>
      <c r="M234" s="121"/>
      <c r="N234" s="72"/>
      <c r="O234" s="443" t="s">
        <v>750</v>
      </c>
      <c r="P234" s="242"/>
      <c r="Q234" s="242"/>
      <c r="R234" s="242"/>
      <c r="S234" s="241"/>
      <c r="T234" s="56"/>
      <c r="U234" s="56"/>
      <c r="V234" s="241"/>
      <c r="W234" s="241"/>
      <c r="X234" s="236"/>
      <c r="Y234" s="161"/>
      <c r="Z234" s="77"/>
      <c r="AA234" s="246"/>
      <c r="AB234" s="442" t="s">
        <v>329</v>
      </c>
      <c r="AC234" s="241"/>
      <c r="AD234" s="438">
        <v>300000</v>
      </c>
      <c r="AE234" s="59" t="s">
        <v>241</v>
      </c>
      <c r="AF234" s="5"/>
    </row>
    <row r="235" spans="1:32" s="14" customFormat="1" ht="21" customHeight="1">
      <c r="A235" s="47"/>
      <c r="B235" s="47"/>
      <c r="C235" s="47"/>
      <c r="D235" s="210"/>
      <c r="E235" s="121"/>
      <c r="F235" s="121"/>
      <c r="G235" s="121"/>
      <c r="H235" s="121"/>
      <c r="I235" s="121"/>
      <c r="J235" s="121"/>
      <c r="K235" s="121"/>
      <c r="L235" s="121"/>
      <c r="M235" s="121"/>
      <c r="N235" s="72"/>
      <c r="O235" s="443" t="s">
        <v>751</v>
      </c>
      <c r="P235" s="51"/>
      <c r="Q235" s="51"/>
      <c r="R235" s="51"/>
      <c r="S235" s="52"/>
      <c r="T235" s="52"/>
      <c r="U235" s="51"/>
      <c r="V235" s="52"/>
      <c r="W235" s="52"/>
      <c r="X235" s="51"/>
      <c r="Y235" s="161"/>
      <c r="Z235" s="77"/>
      <c r="AA235" s="162"/>
      <c r="AB235" s="442" t="s">
        <v>758</v>
      </c>
      <c r="AC235" s="52"/>
      <c r="AD235" s="438">
        <v>506000</v>
      </c>
      <c r="AE235" s="59" t="s">
        <v>98</v>
      </c>
      <c r="AF235" s="5"/>
    </row>
    <row r="236" spans="1:32" s="11" customFormat="1" ht="21" customHeight="1">
      <c r="A236" s="47"/>
      <c r="B236" s="47"/>
      <c r="C236" s="61"/>
      <c r="D236" s="211"/>
      <c r="E236" s="218"/>
      <c r="F236" s="218"/>
      <c r="G236" s="218"/>
      <c r="H236" s="218"/>
      <c r="I236" s="218"/>
      <c r="J236" s="218"/>
      <c r="K236" s="218"/>
      <c r="L236" s="218"/>
      <c r="M236" s="164"/>
      <c r="N236" s="92"/>
      <c r="O236" s="163"/>
      <c r="P236" s="163"/>
      <c r="Q236" s="163"/>
      <c r="R236" s="163"/>
      <c r="S236" s="163"/>
      <c r="T236" s="165"/>
      <c r="U236" s="52"/>
      <c r="V236" s="58"/>
      <c r="W236" s="52"/>
      <c r="X236" s="52"/>
      <c r="Y236" s="52"/>
      <c r="Z236" s="52"/>
      <c r="AA236" s="52"/>
      <c r="AB236" s="52"/>
      <c r="AC236" s="52"/>
      <c r="AD236" s="52"/>
      <c r="AE236" s="59"/>
      <c r="AF236" s="1"/>
    </row>
    <row r="237" spans="1:32" s="11" customFormat="1" ht="21" customHeight="1">
      <c r="A237" s="47"/>
      <c r="B237" s="47"/>
      <c r="C237" s="47" t="s">
        <v>139</v>
      </c>
      <c r="D237" s="157">
        <v>23050</v>
      </c>
      <c r="E237" s="121">
        <f>ROUND(AD237/1000,0)</f>
        <v>23052</v>
      </c>
      <c r="F237" s="121">
        <v>16390</v>
      </c>
      <c r="G237" s="121">
        <v>0</v>
      </c>
      <c r="H237" s="121">
        <v>0</v>
      </c>
      <c r="I237" s="121">
        <v>0</v>
      </c>
      <c r="J237" s="121">
        <v>6662</v>
      </c>
      <c r="K237" s="121">
        <v>0</v>
      </c>
      <c r="L237" s="121">
        <v>0</v>
      </c>
      <c r="M237" s="121">
        <f>E237-D237</f>
        <v>2</v>
      </c>
      <c r="N237" s="72">
        <f>IF(D237=0,0,M237/D237)</f>
        <v>8.6767895878524947E-5</v>
      </c>
      <c r="O237" s="107" t="s">
        <v>145</v>
      </c>
      <c r="P237" s="103"/>
      <c r="Q237" s="103"/>
      <c r="R237" s="103"/>
      <c r="S237" s="103"/>
      <c r="T237" s="97"/>
      <c r="U237" s="97"/>
      <c r="V237" s="97"/>
      <c r="W237" s="97"/>
      <c r="X237" s="97"/>
      <c r="Y237" s="233" t="s">
        <v>285</v>
      </c>
      <c r="Z237" s="233"/>
      <c r="AA237" s="233"/>
      <c r="AB237" s="233"/>
      <c r="AC237" s="235"/>
      <c r="AD237" s="235">
        <f>SUM(AD238:AD240)</f>
        <v>23052000</v>
      </c>
      <c r="AE237" s="234" t="s">
        <v>25</v>
      </c>
      <c r="AF237" s="1"/>
    </row>
    <row r="238" spans="1:32" s="11" customFormat="1" ht="21" customHeight="1">
      <c r="A238" s="47"/>
      <c r="B238" s="47"/>
      <c r="C238" s="47"/>
      <c r="D238" s="210"/>
      <c r="E238" s="121"/>
      <c r="F238" s="121"/>
      <c r="G238" s="121"/>
      <c r="H238" s="121"/>
      <c r="I238" s="121"/>
      <c r="J238" s="121"/>
      <c r="K238" s="121"/>
      <c r="L238" s="121"/>
      <c r="M238" s="121"/>
      <c r="N238" s="72"/>
      <c r="O238" s="206" t="s">
        <v>175</v>
      </c>
      <c r="P238" s="51"/>
      <c r="Q238" s="51"/>
      <c r="R238" s="51"/>
      <c r="S238" s="252">
        <v>1335000</v>
      </c>
      <c r="T238" s="56" t="s">
        <v>57</v>
      </c>
      <c r="U238" s="56" t="s">
        <v>26</v>
      </c>
      <c r="V238" s="252">
        <v>12</v>
      </c>
      <c r="W238" s="252" t="s">
        <v>0</v>
      </c>
      <c r="X238" s="247"/>
      <c r="Y238" s="161"/>
      <c r="Z238" s="77"/>
      <c r="AA238" s="246" t="s">
        <v>53</v>
      </c>
      <c r="AB238" s="252"/>
      <c r="AC238" s="252"/>
      <c r="AD238" s="438">
        <f>S238*V238</f>
        <v>16020000</v>
      </c>
      <c r="AE238" s="59" t="s">
        <v>25</v>
      </c>
      <c r="AF238" s="1"/>
    </row>
    <row r="239" spans="1:32" s="11" customFormat="1" ht="21" customHeight="1">
      <c r="A239" s="47"/>
      <c r="B239" s="47"/>
      <c r="C239" s="47"/>
      <c r="D239" s="210"/>
      <c r="E239" s="121"/>
      <c r="F239" s="121"/>
      <c r="G239" s="121"/>
      <c r="H239" s="121"/>
      <c r="I239" s="121"/>
      <c r="J239" s="121"/>
      <c r="K239" s="121"/>
      <c r="L239" s="121"/>
      <c r="M239" s="121"/>
      <c r="N239" s="72"/>
      <c r="O239" s="144" t="s">
        <v>176</v>
      </c>
      <c r="P239" s="144"/>
      <c r="Q239" s="144"/>
      <c r="R239" s="144"/>
      <c r="S239" s="143">
        <v>575000</v>
      </c>
      <c r="T239" s="56" t="s">
        <v>25</v>
      </c>
      <c r="U239" s="144" t="s">
        <v>26</v>
      </c>
      <c r="V239" s="143">
        <v>12</v>
      </c>
      <c r="W239" s="144" t="s">
        <v>29</v>
      </c>
      <c r="X239" s="143"/>
      <c r="Y239" s="143"/>
      <c r="Z239" s="143"/>
      <c r="AA239" s="143" t="s">
        <v>27</v>
      </c>
      <c r="AB239" s="143"/>
      <c r="AC239" s="143"/>
      <c r="AD239" s="438">
        <f>S239*V239</f>
        <v>6900000</v>
      </c>
      <c r="AE239" s="59" t="s">
        <v>69</v>
      </c>
      <c r="AF239" s="1"/>
    </row>
    <row r="240" spans="1:32" s="11" customFormat="1" ht="21" customHeight="1">
      <c r="A240" s="47"/>
      <c r="B240" s="47"/>
      <c r="C240" s="47"/>
      <c r="D240" s="210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253" t="s">
        <v>318</v>
      </c>
      <c r="P240" s="253"/>
      <c r="Q240" s="253"/>
      <c r="R240" s="253"/>
      <c r="S240" s="252">
        <v>11000</v>
      </c>
      <c r="T240" s="56" t="s">
        <v>25</v>
      </c>
      <c r="U240" s="253" t="s">
        <v>26</v>
      </c>
      <c r="V240" s="252">
        <v>12</v>
      </c>
      <c r="W240" s="253" t="s">
        <v>29</v>
      </c>
      <c r="X240" s="252"/>
      <c r="Y240" s="252"/>
      <c r="Z240" s="252"/>
      <c r="AA240" s="252" t="s">
        <v>27</v>
      </c>
      <c r="AB240" s="252"/>
      <c r="AC240" s="252"/>
      <c r="AD240" s="438">
        <f>S240*V240</f>
        <v>132000</v>
      </c>
      <c r="AE240" s="59" t="s">
        <v>57</v>
      </c>
      <c r="AF240" s="1"/>
    </row>
    <row r="241" spans="1:33" s="11" customFormat="1" ht="21" customHeight="1">
      <c r="A241" s="47"/>
      <c r="B241" s="47"/>
      <c r="C241" s="47"/>
      <c r="D241" s="210"/>
      <c r="E241" s="121"/>
      <c r="F241" s="121"/>
      <c r="G241" s="121"/>
      <c r="H241" s="121"/>
      <c r="I241" s="121"/>
      <c r="J241" s="121"/>
      <c r="K241" s="121"/>
      <c r="L241" s="121"/>
      <c r="M241" s="121"/>
      <c r="N241" s="72"/>
      <c r="O241" s="51"/>
      <c r="P241" s="51"/>
      <c r="Q241" s="51"/>
      <c r="R241" s="51"/>
      <c r="S241" s="52"/>
      <c r="T241" s="56"/>
      <c r="U241" s="51"/>
      <c r="V241" s="52"/>
      <c r="W241" s="51"/>
      <c r="X241" s="52"/>
      <c r="Y241" s="52"/>
      <c r="Z241" s="52"/>
      <c r="AA241" s="52"/>
      <c r="AB241" s="52"/>
      <c r="AC241" s="52"/>
      <c r="AD241" s="52"/>
      <c r="AE241" s="59"/>
      <c r="AF241" s="1"/>
    </row>
    <row r="242" spans="1:33" s="11" customFormat="1" ht="21" customHeight="1">
      <c r="A242" s="47"/>
      <c r="B242" s="37" t="s">
        <v>146</v>
      </c>
      <c r="C242" s="229" t="s">
        <v>311</v>
      </c>
      <c r="D242" s="230">
        <f>D243</f>
        <v>87125</v>
      </c>
      <c r="E242" s="230">
        <f>E243</f>
        <v>89115</v>
      </c>
      <c r="F242" s="230">
        <f t="shared" ref="F242:L242" si="12">F243</f>
        <v>0</v>
      </c>
      <c r="G242" s="230">
        <f t="shared" si="12"/>
        <v>11616</v>
      </c>
      <c r="H242" s="230">
        <f t="shared" si="12"/>
        <v>0</v>
      </c>
      <c r="I242" s="230">
        <f t="shared" si="12"/>
        <v>37509</v>
      </c>
      <c r="J242" s="230">
        <f t="shared" si="12"/>
        <v>39990</v>
      </c>
      <c r="K242" s="230">
        <f t="shared" si="12"/>
        <v>0</v>
      </c>
      <c r="L242" s="230">
        <f t="shared" si="12"/>
        <v>0</v>
      </c>
      <c r="M242" s="230">
        <f>E242-D242</f>
        <v>1990</v>
      </c>
      <c r="N242" s="231">
        <f>IF(D242=0,0,M242/D242)</f>
        <v>2.284074605451937E-2</v>
      </c>
      <c r="O242" s="232"/>
      <c r="P242" s="232"/>
      <c r="Q242" s="232"/>
      <c r="R242" s="232"/>
      <c r="S242" s="232"/>
      <c r="T242" s="233"/>
      <c r="U242" s="233"/>
      <c r="V242" s="233"/>
      <c r="W242" s="233"/>
      <c r="X242" s="233"/>
      <c r="Y242" s="233" t="s">
        <v>28</v>
      </c>
      <c r="Z242" s="233"/>
      <c r="AA242" s="233"/>
      <c r="AB242" s="233"/>
      <c r="AC242" s="235"/>
      <c r="AD242" s="235">
        <f>AD243</f>
        <v>89115000</v>
      </c>
      <c r="AE242" s="234" t="s">
        <v>25</v>
      </c>
      <c r="AF242" s="1"/>
    </row>
    <row r="243" spans="1:33" s="11" customFormat="1" ht="26.25" customHeight="1">
      <c r="A243" s="47"/>
      <c r="B243" s="47" t="s">
        <v>239</v>
      </c>
      <c r="C243" s="47" t="s">
        <v>238</v>
      </c>
      <c r="D243" s="210">
        <v>87125</v>
      </c>
      <c r="E243" s="126">
        <f>AD243/1000</f>
        <v>89115</v>
      </c>
      <c r="F243" s="126">
        <f>ROUND(SUM(AD244),-3)/1000</f>
        <v>0</v>
      </c>
      <c r="G243" s="126">
        <v>11616</v>
      </c>
      <c r="H243" s="126">
        <v>0</v>
      </c>
      <c r="I243" s="126">
        <v>37509</v>
      </c>
      <c r="J243" s="126">
        <v>39990</v>
      </c>
      <c r="K243" s="126">
        <v>0</v>
      </c>
      <c r="L243" s="126">
        <v>0</v>
      </c>
      <c r="M243" s="126">
        <f>E243-D243</f>
        <v>1990</v>
      </c>
      <c r="N243" s="134">
        <f>IF(D243=0,0,M243/D243)</f>
        <v>2.284074605451937E-2</v>
      </c>
      <c r="O243" s="109" t="s">
        <v>240</v>
      </c>
      <c r="P243" s="129"/>
      <c r="Q243" s="33"/>
      <c r="R243" s="31"/>
      <c r="S243" s="31"/>
      <c r="T243" s="31"/>
      <c r="U243" s="31"/>
      <c r="V243" s="31"/>
      <c r="W243" s="256"/>
      <c r="X243" s="256"/>
      <c r="Y243" s="233" t="s">
        <v>285</v>
      </c>
      <c r="Z243" s="110"/>
      <c r="AA243" s="110"/>
      <c r="AB243" s="110"/>
      <c r="AC243" s="131"/>
      <c r="AD243" s="131">
        <f>SUM(AD245,AD249,AD257,AD264,AD273,AD279,AD287,AD291,AD298,AD309,AD313,AD320)</f>
        <v>89115000</v>
      </c>
      <c r="AE243" s="132" t="s">
        <v>25</v>
      </c>
      <c r="AF243" s="1"/>
    </row>
    <row r="244" spans="1:33" s="15" customFormat="1" ht="24" customHeight="1">
      <c r="A244" s="47"/>
      <c r="B244" s="47"/>
      <c r="C244" s="47" t="s">
        <v>239</v>
      </c>
      <c r="D244" s="213"/>
      <c r="E244" s="121"/>
      <c r="F244" s="121"/>
      <c r="G244" s="121"/>
      <c r="H244" s="121"/>
      <c r="I244" s="121"/>
      <c r="J244" s="121"/>
      <c r="K244" s="121"/>
      <c r="L244" s="121"/>
      <c r="M244" s="121"/>
      <c r="N244" s="72"/>
      <c r="O244" s="242"/>
      <c r="P244" s="51"/>
      <c r="Q244" s="51"/>
      <c r="R244" s="51"/>
      <c r="S244" s="51"/>
      <c r="T244" s="52"/>
      <c r="U244" s="52"/>
      <c r="V244" s="52"/>
      <c r="W244" s="52"/>
      <c r="X244" s="52"/>
      <c r="Y244" s="166"/>
      <c r="Z244" s="166"/>
      <c r="AA244" s="166"/>
      <c r="AB244" s="166"/>
      <c r="AC244" s="167"/>
      <c r="AD244" s="167"/>
      <c r="AE244" s="59"/>
      <c r="AF244" s="16"/>
    </row>
    <row r="245" spans="1:33" s="15" customFormat="1" ht="24" customHeight="1">
      <c r="A245" s="47"/>
      <c r="B245" s="47"/>
      <c r="C245" s="47"/>
      <c r="D245" s="213"/>
      <c r="E245" s="121"/>
      <c r="F245" s="121"/>
      <c r="G245" s="121"/>
      <c r="H245" s="121"/>
      <c r="I245" s="121"/>
      <c r="J245" s="121"/>
      <c r="K245" s="121"/>
      <c r="L245" s="121"/>
      <c r="M245" s="121"/>
      <c r="N245" s="72"/>
      <c r="O245" s="73" t="s">
        <v>242</v>
      </c>
      <c r="P245" s="238"/>
      <c r="Q245" s="242"/>
      <c r="R245" s="242"/>
      <c r="S245" s="242"/>
      <c r="T245" s="241"/>
      <c r="U245" s="241"/>
      <c r="V245" s="241"/>
      <c r="W245" s="237" t="s">
        <v>264</v>
      </c>
      <c r="X245" s="237"/>
      <c r="Y245" s="237"/>
      <c r="Z245" s="237"/>
      <c r="AA245" s="237"/>
      <c r="AB245" s="237"/>
      <c r="AC245" s="74"/>
      <c r="AD245" s="74">
        <f>SUM(AD246:AD247)</f>
        <v>773000</v>
      </c>
      <c r="AE245" s="75" t="s">
        <v>25</v>
      </c>
      <c r="AF245" s="16"/>
    </row>
    <row r="246" spans="1:33" s="15" customFormat="1" ht="24" customHeight="1">
      <c r="A246" s="47"/>
      <c r="B246" s="47"/>
      <c r="C246" s="47"/>
      <c r="D246" s="213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253" t="s">
        <v>327</v>
      </c>
      <c r="P246" s="242"/>
      <c r="Q246" s="242"/>
      <c r="R246" s="242"/>
      <c r="S246" s="242"/>
      <c r="T246" s="241"/>
      <c r="U246" s="241"/>
      <c r="V246" s="241"/>
      <c r="W246" s="241"/>
      <c r="X246" s="241"/>
      <c r="Y246" s="166"/>
      <c r="Z246" s="166"/>
      <c r="AA246" s="166"/>
      <c r="AB246" s="166"/>
      <c r="AC246" s="167"/>
      <c r="AD246" s="167">
        <v>500000</v>
      </c>
      <c r="AE246" s="59" t="s">
        <v>241</v>
      </c>
      <c r="AF246" s="16"/>
    </row>
    <row r="247" spans="1:33" s="15" customFormat="1" ht="24" customHeight="1">
      <c r="A247" s="47"/>
      <c r="B247" s="47"/>
      <c r="C247" s="47"/>
      <c r="D247" s="210"/>
      <c r="E247" s="121"/>
      <c r="F247" s="121"/>
      <c r="G247" s="121"/>
      <c r="H247" s="121"/>
      <c r="I247" s="121"/>
      <c r="J247" s="121"/>
      <c r="K247" s="121"/>
      <c r="L247" s="121"/>
      <c r="M247" s="121"/>
      <c r="N247" s="72"/>
      <c r="O247" s="253" t="s">
        <v>319</v>
      </c>
      <c r="P247" s="51"/>
      <c r="Q247" s="51"/>
      <c r="R247" s="51"/>
      <c r="S247" s="52"/>
      <c r="T247" s="52"/>
      <c r="U247" s="51"/>
      <c r="V247" s="52"/>
      <c r="W247" s="52"/>
      <c r="X247" s="52"/>
      <c r="Y247" s="52"/>
      <c r="Z247" s="52"/>
      <c r="AA247" s="52"/>
      <c r="AB247" s="422" t="s">
        <v>653</v>
      </c>
      <c r="AC247" s="52"/>
      <c r="AD247" s="52">
        <v>273000</v>
      </c>
      <c r="AE247" s="59" t="s">
        <v>25</v>
      </c>
      <c r="AF247" s="16"/>
    </row>
    <row r="248" spans="1:33" s="15" customFormat="1" ht="24" customHeight="1">
      <c r="A248" s="47"/>
      <c r="B248" s="47"/>
      <c r="C248" s="47"/>
      <c r="D248" s="210"/>
      <c r="E248" s="121"/>
      <c r="F248" s="121"/>
      <c r="G248" s="121"/>
      <c r="H248" s="121"/>
      <c r="I248" s="121"/>
      <c r="J248" s="121"/>
      <c r="K248" s="121"/>
      <c r="L248" s="121"/>
      <c r="M248" s="121"/>
      <c r="N248" s="72"/>
      <c r="O248" s="144"/>
      <c r="P248" s="144"/>
      <c r="Q248" s="144"/>
      <c r="R248" s="144"/>
      <c r="S248" s="143"/>
      <c r="T248" s="143"/>
      <c r="U248" s="144"/>
      <c r="V248" s="143"/>
      <c r="W248" s="143"/>
      <c r="X248" s="143"/>
      <c r="Y248" s="143"/>
      <c r="Z248" s="143"/>
      <c r="AA248" s="143"/>
      <c r="AB248" s="143"/>
      <c r="AC248" s="143"/>
      <c r="AD248" s="143"/>
      <c r="AE248" s="59"/>
      <c r="AF248" s="16"/>
    </row>
    <row r="249" spans="1:33" s="15" customFormat="1" ht="24" customHeight="1">
      <c r="A249" s="47"/>
      <c r="B249" s="47"/>
      <c r="C249" s="47"/>
      <c r="D249" s="210"/>
      <c r="E249" s="121"/>
      <c r="F249" s="121"/>
      <c r="G249" s="121"/>
      <c r="H249" s="121"/>
      <c r="I249" s="121"/>
      <c r="J249" s="121"/>
      <c r="K249" s="121"/>
      <c r="L249" s="121"/>
      <c r="M249" s="121"/>
      <c r="N249" s="72"/>
      <c r="O249" s="73" t="s">
        <v>244</v>
      </c>
      <c r="P249" s="129"/>
      <c r="Q249" s="244"/>
      <c r="R249" s="31"/>
      <c r="S249" s="31"/>
      <c r="T249" s="31"/>
      <c r="U249" s="31"/>
      <c r="V249" s="31"/>
      <c r="W249" s="237" t="s">
        <v>264</v>
      </c>
      <c r="X249" s="237"/>
      <c r="Y249" s="237"/>
      <c r="Z249" s="237"/>
      <c r="AA249" s="237"/>
      <c r="AB249" s="237"/>
      <c r="AC249" s="74"/>
      <c r="AD249" s="74">
        <f>SUM(AD250:AD255)</f>
        <v>27640000</v>
      </c>
      <c r="AE249" s="75" t="s">
        <v>25</v>
      </c>
      <c r="AF249" s="16"/>
    </row>
    <row r="250" spans="1:33" s="15" customFormat="1" ht="24" customHeight="1">
      <c r="A250" s="47"/>
      <c r="B250" s="47"/>
      <c r="C250" s="47"/>
      <c r="D250" s="213"/>
      <c r="E250" s="121"/>
      <c r="F250" s="121"/>
      <c r="G250" s="121"/>
      <c r="H250" s="121"/>
      <c r="I250" s="121"/>
      <c r="J250" s="121"/>
      <c r="K250" s="121"/>
      <c r="L250" s="121"/>
      <c r="M250" s="121"/>
      <c r="N250" s="72"/>
      <c r="O250" s="242" t="s">
        <v>236</v>
      </c>
      <c r="P250" s="242"/>
      <c r="Q250" s="242"/>
      <c r="R250" s="242"/>
      <c r="S250" s="242"/>
      <c r="T250" s="241"/>
      <c r="U250" s="241"/>
      <c r="V250" s="241"/>
      <c r="W250" s="241"/>
      <c r="X250" s="241"/>
      <c r="Y250" s="166"/>
      <c r="Z250" s="166"/>
      <c r="AA250" s="166"/>
      <c r="AB250" s="166"/>
      <c r="AC250" s="167"/>
      <c r="AD250" s="167">
        <v>6165000</v>
      </c>
      <c r="AE250" s="59" t="s">
        <v>25</v>
      </c>
      <c r="AF250" s="16"/>
    </row>
    <row r="251" spans="1:33" s="15" customFormat="1" ht="24" customHeight="1">
      <c r="A251" s="47"/>
      <c r="B251" s="47"/>
      <c r="C251" s="47"/>
      <c r="D251" s="213"/>
      <c r="E251" s="121"/>
      <c r="F251" s="121"/>
      <c r="G251" s="121"/>
      <c r="H251" s="121"/>
      <c r="I251" s="121"/>
      <c r="J251" s="121"/>
      <c r="K251" s="121"/>
      <c r="L251" s="121"/>
      <c r="M251" s="121"/>
      <c r="N251" s="72"/>
      <c r="O251" s="242" t="s">
        <v>237</v>
      </c>
      <c r="P251" s="242"/>
      <c r="Q251" s="242"/>
      <c r="R251" s="242"/>
      <c r="S251" s="242"/>
      <c r="T251" s="241"/>
      <c r="U251" s="241"/>
      <c r="V251" s="241"/>
      <c r="W251" s="241"/>
      <c r="X251" s="241"/>
      <c r="Y251" s="166"/>
      <c r="Z251" s="166"/>
      <c r="AA251" s="166"/>
      <c r="AB251" s="166"/>
      <c r="AC251" s="167"/>
      <c r="AD251" s="167">
        <v>4475000</v>
      </c>
      <c r="AE251" s="59" t="s">
        <v>98</v>
      </c>
      <c r="AF251" s="16"/>
      <c r="AG251" s="16"/>
    </row>
    <row r="252" spans="1:33" s="15" customFormat="1" ht="24" customHeight="1">
      <c r="A252" s="47"/>
      <c r="B252" s="47"/>
      <c r="C252" s="47"/>
      <c r="D252" s="213"/>
      <c r="E252" s="121"/>
      <c r="F252" s="121"/>
      <c r="G252" s="121"/>
      <c r="H252" s="121"/>
      <c r="I252" s="121"/>
      <c r="J252" s="121"/>
      <c r="K252" s="121"/>
      <c r="L252" s="121"/>
      <c r="M252" s="121"/>
      <c r="N252" s="72"/>
      <c r="O252" s="277" t="s">
        <v>387</v>
      </c>
      <c r="P252" s="242"/>
      <c r="Q252" s="242"/>
      <c r="R252" s="242"/>
      <c r="S252" s="242"/>
      <c r="T252" s="241"/>
      <c r="U252" s="241"/>
      <c r="V252" s="241"/>
      <c r="W252" s="241"/>
      <c r="X252" s="241"/>
      <c r="Y252" s="166"/>
      <c r="Z252" s="166"/>
      <c r="AA252" s="166"/>
      <c r="AB252" s="166" t="s">
        <v>379</v>
      </c>
      <c r="AC252" s="167"/>
      <c r="AD252" s="167">
        <v>2000000</v>
      </c>
      <c r="AE252" s="59" t="s">
        <v>241</v>
      </c>
      <c r="AF252" s="16"/>
      <c r="AG252" s="16"/>
    </row>
    <row r="253" spans="1:33" s="15" customFormat="1" ht="24" customHeight="1">
      <c r="A253" s="47"/>
      <c r="B253" s="47"/>
      <c r="C253" s="47"/>
      <c r="D253" s="213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277"/>
      <c r="P253" s="277"/>
      <c r="Q253" s="277"/>
      <c r="R253" s="277"/>
      <c r="S253" s="277"/>
      <c r="T253" s="276"/>
      <c r="U253" s="276"/>
      <c r="V253" s="276"/>
      <c r="W253" s="276"/>
      <c r="X253" s="276"/>
      <c r="Y253" s="166"/>
      <c r="Z253" s="166"/>
      <c r="AA253" s="166"/>
      <c r="AB253" s="166" t="s">
        <v>386</v>
      </c>
      <c r="AC253" s="167"/>
      <c r="AD253" s="167">
        <v>8000000</v>
      </c>
      <c r="AE253" s="59" t="s">
        <v>378</v>
      </c>
      <c r="AF253" s="16"/>
      <c r="AG253" s="16"/>
    </row>
    <row r="254" spans="1:33" s="15" customFormat="1" ht="24" customHeight="1">
      <c r="A254" s="47"/>
      <c r="B254" s="47"/>
      <c r="C254" s="47"/>
      <c r="D254" s="213"/>
      <c r="E254" s="121"/>
      <c r="F254" s="121"/>
      <c r="G254" s="121"/>
      <c r="H254" s="121"/>
      <c r="I254" s="121"/>
      <c r="J254" s="121"/>
      <c r="K254" s="121"/>
      <c r="L254" s="121"/>
      <c r="M254" s="121"/>
      <c r="N254" s="72"/>
      <c r="O254" s="277" t="s">
        <v>388</v>
      </c>
      <c r="P254" s="242"/>
      <c r="Q254" s="242"/>
      <c r="R254" s="242"/>
      <c r="S254" s="242"/>
      <c r="T254" s="241"/>
      <c r="U254" s="241"/>
      <c r="V254" s="241"/>
      <c r="W254" s="241"/>
      <c r="X254" s="241"/>
      <c r="Y254" s="166"/>
      <c r="Z254" s="166"/>
      <c r="AA254" s="166"/>
      <c r="AB254" s="166" t="s">
        <v>116</v>
      </c>
      <c r="AC254" s="167"/>
      <c r="AD254" s="167">
        <v>2000000</v>
      </c>
      <c r="AE254" s="59" t="s">
        <v>241</v>
      </c>
      <c r="AF254" s="16"/>
      <c r="AG254" s="16"/>
    </row>
    <row r="255" spans="1:33" s="15" customFormat="1" ht="24" customHeight="1">
      <c r="A255" s="47"/>
      <c r="B255" s="47"/>
      <c r="C255" s="47"/>
      <c r="D255" s="213"/>
      <c r="E255" s="121"/>
      <c r="F255" s="121"/>
      <c r="G255" s="121"/>
      <c r="H255" s="121"/>
      <c r="I255" s="121"/>
      <c r="J255" s="121"/>
      <c r="K255" s="121"/>
      <c r="L255" s="121"/>
      <c r="M255" s="121"/>
      <c r="N255" s="72"/>
      <c r="O255" s="432"/>
      <c r="P255" s="432"/>
      <c r="Q255" s="432"/>
      <c r="R255" s="432"/>
      <c r="S255" s="432"/>
      <c r="T255" s="431"/>
      <c r="U255" s="431"/>
      <c r="V255" s="431"/>
      <c r="W255" s="431"/>
      <c r="X255" s="431"/>
      <c r="Y255" s="166"/>
      <c r="Z255" s="166"/>
      <c r="AA255" s="166"/>
      <c r="AB255" s="166" t="s">
        <v>269</v>
      </c>
      <c r="AC255" s="167"/>
      <c r="AD255" s="167">
        <v>5000000</v>
      </c>
      <c r="AE255" s="59" t="s">
        <v>692</v>
      </c>
      <c r="AF255" s="16"/>
      <c r="AG255" s="16"/>
    </row>
    <row r="256" spans="1:33" s="15" customFormat="1" ht="24" customHeight="1">
      <c r="A256" s="47"/>
      <c r="B256" s="47"/>
      <c r="C256" s="47"/>
      <c r="D256" s="213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242"/>
      <c r="P256" s="242"/>
      <c r="Q256" s="242"/>
      <c r="R256" s="242"/>
      <c r="S256" s="242"/>
      <c r="T256" s="241"/>
      <c r="U256" s="241"/>
      <c r="V256" s="241"/>
      <c r="W256" s="241"/>
      <c r="X256" s="241"/>
      <c r="Y256" s="166"/>
      <c r="Z256" s="166"/>
      <c r="AA256" s="166"/>
      <c r="AB256" s="166"/>
      <c r="AC256" s="167"/>
      <c r="AD256" s="167"/>
      <c r="AE256" s="59"/>
      <c r="AF256" s="16"/>
      <c r="AG256" s="16"/>
    </row>
    <row r="257" spans="1:33" s="15" customFormat="1" ht="24" customHeight="1">
      <c r="A257" s="47"/>
      <c r="B257" s="47"/>
      <c r="C257" s="47"/>
      <c r="D257" s="213"/>
      <c r="E257" s="121"/>
      <c r="F257" s="121"/>
      <c r="G257" s="121"/>
      <c r="H257" s="121"/>
      <c r="I257" s="121"/>
      <c r="J257" s="121"/>
      <c r="K257" s="121"/>
      <c r="L257" s="121"/>
      <c r="M257" s="121"/>
      <c r="N257" s="72"/>
      <c r="O257" s="73" t="s">
        <v>245</v>
      </c>
      <c r="P257" s="129"/>
      <c r="Q257" s="244"/>
      <c r="R257" s="31"/>
      <c r="S257" s="31"/>
      <c r="T257" s="31"/>
      <c r="U257" s="31"/>
      <c r="V257" s="31"/>
      <c r="W257" s="237" t="s">
        <v>264</v>
      </c>
      <c r="X257" s="237"/>
      <c r="Y257" s="237"/>
      <c r="Z257" s="237"/>
      <c r="AA257" s="237"/>
      <c r="AB257" s="237"/>
      <c r="AC257" s="74"/>
      <c r="AD257" s="74">
        <f>SUM(AD258:AD262)</f>
        <v>5190000</v>
      </c>
      <c r="AE257" s="75" t="s">
        <v>25</v>
      </c>
      <c r="AF257" s="16"/>
      <c r="AG257" s="16"/>
    </row>
    <row r="258" spans="1:33" s="15" customFormat="1" ht="24" customHeight="1">
      <c r="A258" s="47"/>
      <c r="B258" s="47"/>
      <c r="C258" s="47"/>
      <c r="D258" s="210"/>
      <c r="E258" s="121"/>
      <c r="F258" s="121"/>
      <c r="G258" s="121"/>
      <c r="H258" s="121"/>
      <c r="I258" s="121"/>
      <c r="J258" s="121"/>
      <c r="K258" s="121"/>
      <c r="L258" s="121"/>
      <c r="M258" s="121"/>
      <c r="N258" s="72"/>
      <c r="O258" s="242" t="s">
        <v>246</v>
      </c>
      <c r="P258" s="242"/>
      <c r="Q258" s="242"/>
      <c r="R258" s="242"/>
      <c r="S258" s="241"/>
      <c r="T258" s="241"/>
      <c r="U258" s="242"/>
      <c r="V258" s="241"/>
      <c r="W258" s="241"/>
      <c r="X258" s="241"/>
      <c r="Y258" s="241"/>
      <c r="Z258" s="241"/>
      <c r="AA258" s="241"/>
      <c r="AB258" s="241"/>
      <c r="AC258" s="241"/>
      <c r="AD258" s="241">
        <v>290000</v>
      </c>
      <c r="AE258" s="59" t="s">
        <v>25</v>
      </c>
      <c r="AF258" s="16"/>
      <c r="AG258" s="16"/>
    </row>
    <row r="259" spans="1:33" s="15" customFormat="1" ht="24" customHeight="1">
      <c r="A259" s="47"/>
      <c r="B259" s="47"/>
      <c r="C259" s="47"/>
      <c r="D259" s="210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242" t="s">
        <v>247</v>
      </c>
      <c r="P259" s="51"/>
      <c r="Q259" s="51"/>
      <c r="R259" s="51"/>
      <c r="S259" s="52"/>
      <c r="T259" s="52"/>
      <c r="U259" s="51"/>
      <c r="V259" s="52"/>
      <c r="W259" s="52"/>
      <c r="X259" s="52"/>
      <c r="Y259" s="52"/>
      <c r="Z259" s="52"/>
      <c r="AA259" s="52"/>
      <c r="AB259" s="143"/>
      <c r="AC259" s="52"/>
      <c r="AD259" s="52">
        <v>1500000</v>
      </c>
      <c r="AE259" s="168" t="s">
        <v>95</v>
      </c>
      <c r="AF259" s="16"/>
    </row>
    <row r="260" spans="1:33" s="15" customFormat="1" ht="24" customHeight="1">
      <c r="A260" s="47"/>
      <c r="B260" s="47"/>
      <c r="C260" s="47"/>
      <c r="D260" s="210"/>
      <c r="E260" s="121"/>
      <c r="F260" s="121"/>
      <c r="G260" s="121"/>
      <c r="H260" s="121"/>
      <c r="I260" s="121"/>
      <c r="J260" s="121"/>
      <c r="K260" s="121"/>
      <c r="L260" s="121"/>
      <c r="M260" s="121"/>
      <c r="N260" s="72"/>
      <c r="O260" s="273" t="s">
        <v>365</v>
      </c>
      <c r="P260" s="51"/>
      <c r="Q260" s="51"/>
      <c r="R260" s="51"/>
      <c r="S260" s="51"/>
      <c r="T260" s="52"/>
      <c r="U260" s="52"/>
      <c r="V260" s="52"/>
      <c r="W260" s="52"/>
      <c r="X260" s="52"/>
      <c r="Y260" s="166"/>
      <c r="Z260" s="166"/>
      <c r="AA260" s="166"/>
      <c r="AB260" s="166"/>
      <c r="AC260" s="167"/>
      <c r="AD260" s="52">
        <v>2000000</v>
      </c>
      <c r="AE260" s="59" t="s">
        <v>25</v>
      </c>
      <c r="AF260" s="16"/>
    </row>
    <row r="261" spans="1:33" s="15" customFormat="1" ht="24" customHeight="1">
      <c r="A261" s="47"/>
      <c r="B261" s="47"/>
      <c r="C261" s="47"/>
      <c r="D261" s="210"/>
      <c r="E261" s="121"/>
      <c r="F261" s="121"/>
      <c r="G261" s="121"/>
      <c r="H261" s="121"/>
      <c r="I261" s="121"/>
      <c r="J261" s="121"/>
      <c r="K261" s="121"/>
      <c r="L261" s="121"/>
      <c r="M261" s="121"/>
      <c r="N261" s="72"/>
      <c r="O261" s="242" t="s">
        <v>248</v>
      </c>
      <c r="P261" s="51"/>
      <c r="Q261" s="51"/>
      <c r="R261" s="51"/>
      <c r="S261" s="51"/>
      <c r="T261" s="52"/>
      <c r="U261" s="52"/>
      <c r="V261" s="52"/>
      <c r="W261" s="52"/>
      <c r="X261" s="52"/>
      <c r="Y261" s="166"/>
      <c r="Z261" s="166"/>
      <c r="AA261" s="166"/>
      <c r="AB261" s="166"/>
      <c r="AC261" s="167"/>
      <c r="AD261" s="52">
        <v>400000</v>
      </c>
      <c r="AE261" s="59" t="s">
        <v>25</v>
      </c>
      <c r="AF261" s="16"/>
    </row>
    <row r="262" spans="1:33" s="15" customFormat="1" ht="24" customHeight="1">
      <c r="A262" s="47"/>
      <c r="B262" s="47"/>
      <c r="C262" s="47"/>
      <c r="D262" s="210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242" t="s">
        <v>249</v>
      </c>
      <c r="P262" s="51"/>
      <c r="Q262" s="51"/>
      <c r="R262" s="51"/>
      <c r="S262" s="51"/>
      <c r="T262" s="52"/>
      <c r="U262" s="52"/>
      <c r="V262" s="52"/>
      <c r="W262" s="52"/>
      <c r="X262" s="52"/>
      <c r="Y262" s="166"/>
      <c r="Z262" s="166"/>
      <c r="AA262" s="166"/>
      <c r="AB262" s="166"/>
      <c r="AC262" s="167"/>
      <c r="AD262" s="169">
        <v>1000000</v>
      </c>
      <c r="AE262" s="59" t="s">
        <v>25</v>
      </c>
      <c r="AF262" s="16"/>
    </row>
    <row r="263" spans="1:33" s="15" customFormat="1" ht="24" customHeight="1">
      <c r="A263" s="47"/>
      <c r="B263" s="47"/>
      <c r="C263" s="47"/>
      <c r="D263" s="210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242"/>
      <c r="P263" s="242"/>
      <c r="Q263" s="242"/>
      <c r="R263" s="242"/>
      <c r="S263" s="242"/>
      <c r="T263" s="241"/>
      <c r="U263" s="241"/>
      <c r="V263" s="241"/>
      <c r="W263" s="241"/>
      <c r="X263" s="241"/>
      <c r="Y263" s="166"/>
      <c r="Z263" s="166"/>
      <c r="AA263" s="166"/>
      <c r="AB263" s="166"/>
      <c r="AC263" s="167"/>
      <c r="AD263" s="169"/>
      <c r="AE263" s="59"/>
      <c r="AF263" s="16"/>
    </row>
    <row r="264" spans="1:33" s="15" customFormat="1" ht="24" customHeight="1">
      <c r="A264" s="47"/>
      <c r="B264" s="47"/>
      <c r="C264" s="47"/>
      <c r="D264" s="210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73" t="s">
        <v>250</v>
      </c>
      <c r="P264" s="129"/>
      <c r="Q264" s="244"/>
      <c r="R264" s="31"/>
      <c r="S264" s="31"/>
      <c r="T264" s="31"/>
      <c r="U264" s="31"/>
      <c r="V264" s="31"/>
      <c r="W264" s="237" t="s">
        <v>264</v>
      </c>
      <c r="X264" s="237"/>
      <c r="Y264" s="237"/>
      <c r="Z264" s="237"/>
      <c r="AA264" s="237"/>
      <c r="AB264" s="237"/>
      <c r="AC264" s="74"/>
      <c r="AD264" s="74">
        <f>SUM(AD265:AD271)</f>
        <v>13470000</v>
      </c>
      <c r="AE264" s="75" t="s">
        <v>25</v>
      </c>
      <c r="AF264" s="16"/>
    </row>
    <row r="265" spans="1:33" s="15" customFormat="1" ht="24" customHeight="1">
      <c r="A265" s="47"/>
      <c r="B265" s="47"/>
      <c r="C265" s="47"/>
      <c r="D265" s="210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273" t="s">
        <v>359</v>
      </c>
      <c r="P265" s="242"/>
      <c r="Q265" s="242"/>
      <c r="R265" s="242"/>
      <c r="S265" s="242"/>
      <c r="T265" s="241"/>
      <c r="U265" s="241"/>
      <c r="V265" s="241"/>
      <c r="W265" s="241"/>
      <c r="X265" s="241"/>
      <c r="Y265" s="166"/>
      <c r="Z265" s="166"/>
      <c r="AA265" s="166"/>
      <c r="AB265" s="166" t="s">
        <v>358</v>
      </c>
      <c r="AC265" s="167"/>
      <c r="AD265" s="169">
        <v>5616000</v>
      </c>
      <c r="AE265" s="59" t="s">
        <v>241</v>
      </c>
      <c r="AF265" s="16"/>
    </row>
    <row r="266" spans="1:33" s="15" customFormat="1" ht="24" customHeight="1">
      <c r="A266" s="47"/>
      <c r="B266" s="47"/>
      <c r="C266" s="47"/>
      <c r="D266" s="210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273"/>
      <c r="P266" s="273"/>
      <c r="Q266" s="273"/>
      <c r="R266" s="273"/>
      <c r="S266" s="273"/>
      <c r="T266" s="272"/>
      <c r="U266" s="272"/>
      <c r="V266" s="272"/>
      <c r="W266" s="272"/>
      <c r="X266" s="272"/>
      <c r="Y266" s="166"/>
      <c r="Z266" s="166"/>
      <c r="AA266" s="166"/>
      <c r="AB266" s="166" t="s">
        <v>360</v>
      </c>
      <c r="AC266" s="167"/>
      <c r="AD266" s="169">
        <v>860000</v>
      </c>
      <c r="AE266" s="59" t="s">
        <v>356</v>
      </c>
      <c r="AF266" s="16"/>
    </row>
    <row r="267" spans="1:33" s="15" customFormat="1" ht="24" customHeight="1">
      <c r="A267" s="47"/>
      <c r="B267" s="47"/>
      <c r="C267" s="47"/>
      <c r="D267" s="210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170" t="s">
        <v>362</v>
      </c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  <c r="AA267" s="170"/>
      <c r="AB267" s="170"/>
      <c r="AC267" s="170"/>
      <c r="AD267" s="171">
        <v>1900000</v>
      </c>
      <c r="AE267" s="172" t="s">
        <v>98</v>
      </c>
      <c r="AF267" s="16"/>
    </row>
    <row r="268" spans="1:33" s="15" customFormat="1" ht="24" customHeight="1">
      <c r="A268" s="47"/>
      <c r="B268" s="47"/>
      <c r="C268" s="47"/>
      <c r="D268" s="210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170" t="s">
        <v>251</v>
      </c>
      <c r="P268" s="170"/>
      <c r="Q268" s="170"/>
      <c r="R268" s="170"/>
      <c r="S268" s="170"/>
      <c r="T268" s="170"/>
      <c r="U268" s="170"/>
      <c r="V268" s="170"/>
      <c r="W268" s="170"/>
      <c r="X268" s="170"/>
      <c r="Y268" s="170"/>
      <c r="Z268" s="170"/>
      <c r="AA268" s="170"/>
      <c r="AB268" s="170"/>
      <c r="AC268" s="170"/>
      <c r="AD268" s="171">
        <v>1600000</v>
      </c>
      <c r="AE268" s="172" t="s">
        <v>69</v>
      </c>
      <c r="AF268" s="16"/>
    </row>
    <row r="269" spans="1:33" s="15" customFormat="1" ht="24" customHeight="1">
      <c r="A269" s="47"/>
      <c r="B269" s="47"/>
      <c r="C269" s="47"/>
      <c r="D269" s="210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170" t="s">
        <v>375</v>
      </c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  <c r="AA269" s="170"/>
      <c r="AB269" s="170"/>
      <c r="AC269" s="170"/>
      <c r="AD269" s="171">
        <v>434000</v>
      </c>
      <c r="AE269" s="172" t="s">
        <v>69</v>
      </c>
      <c r="AF269" s="16"/>
    </row>
    <row r="270" spans="1:33" s="15" customFormat="1" ht="24" customHeight="1">
      <c r="A270" s="47"/>
      <c r="B270" s="47"/>
      <c r="C270" s="47"/>
      <c r="D270" s="210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170" t="s">
        <v>376</v>
      </c>
      <c r="P270" s="170"/>
      <c r="Q270" s="170"/>
      <c r="R270" s="170"/>
      <c r="S270" s="170"/>
      <c r="T270" s="170"/>
      <c r="U270" s="170"/>
      <c r="V270" s="170"/>
      <c r="W270" s="170"/>
      <c r="X270" s="170"/>
      <c r="Y270" s="170"/>
      <c r="Z270" s="170"/>
      <c r="AA270" s="170"/>
      <c r="AB270" s="170"/>
      <c r="AC270" s="170"/>
      <c r="AD270" s="171">
        <v>360000</v>
      </c>
      <c r="AE270" s="172" t="s">
        <v>356</v>
      </c>
      <c r="AF270" s="16"/>
    </row>
    <row r="271" spans="1:33" s="15" customFormat="1" ht="24" customHeight="1">
      <c r="A271" s="47"/>
      <c r="B271" s="47"/>
      <c r="C271" s="47"/>
      <c r="D271" s="210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170" t="s">
        <v>252</v>
      </c>
      <c r="P271" s="170"/>
      <c r="Q271" s="170"/>
      <c r="R271" s="170"/>
      <c r="S271" s="241">
        <v>50000</v>
      </c>
      <c r="T271" s="56" t="s">
        <v>95</v>
      </c>
      <c r="U271" s="56" t="s">
        <v>26</v>
      </c>
      <c r="V271" s="241">
        <v>54</v>
      </c>
      <c r="W271" s="242" t="s">
        <v>253</v>
      </c>
      <c r="X271" s="241" t="s">
        <v>27</v>
      </c>
      <c r="Y271" s="170"/>
      <c r="Z271" s="170"/>
      <c r="AA271" s="170"/>
      <c r="AB271" s="170"/>
      <c r="AC271" s="170"/>
      <c r="AD271" s="171">
        <f>S271*V271</f>
        <v>2700000</v>
      </c>
      <c r="AE271" s="172" t="s">
        <v>69</v>
      </c>
      <c r="AF271" s="16"/>
    </row>
    <row r="272" spans="1:33" s="15" customFormat="1" ht="24" customHeight="1">
      <c r="A272" s="47"/>
      <c r="B272" s="47"/>
      <c r="C272" s="47"/>
      <c r="D272" s="210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170"/>
      <c r="P272" s="170"/>
      <c r="Q272" s="170"/>
      <c r="R272" s="170"/>
      <c r="S272" s="241"/>
      <c r="T272" s="56"/>
      <c r="U272" s="56"/>
      <c r="V272" s="241"/>
      <c r="W272" s="242"/>
      <c r="X272" s="241"/>
      <c r="Y272" s="170"/>
      <c r="Z272" s="170"/>
      <c r="AA272" s="170"/>
      <c r="AB272" s="170"/>
      <c r="AC272" s="170"/>
      <c r="AD272" s="171"/>
      <c r="AE272" s="172"/>
      <c r="AF272" s="16"/>
    </row>
    <row r="273" spans="1:32" s="15" customFormat="1" ht="24" customHeight="1">
      <c r="A273" s="47"/>
      <c r="B273" s="47"/>
      <c r="C273" s="47"/>
      <c r="D273" s="210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73" t="s">
        <v>254</v>
      </c>
      <c r="P273" s="129"/>
      <c r="Q273" s="244"/>
      <c r="R273" s="31"/>
      <c r="S273" s="31"/>
      <c r="T273" s="31"/>
      <c r="U273" s="31"/>
      <c r="V273" s="31"/>
      <c r="W273" s="237" t="s">
        <v>264</v>
      </c>
      <c r="X273" s="237"/>
      <c r="Y273" s="237"/>
      <c r="Z273" s="237"/>
      <c r="AA273" s="237"/>
      <c r="AB273" s="237"/>
      <c r="AC273" s="74"/>
      <c r="AD273" s="74">
        <f>SUM(AD274:AD277)</f>
        <v>16573000</v>
      </c>
      <c r="AE273" s="75" t="s">
        <v>25</v>
      </c>
      <c r="AF273" s="16"/>
    </row>
    <row r="274" spans="1:32" s="15" customFormat="1" ht="24" customHeight="1">
      <c r="A274" s="47"/>
      <c r="B274" s="47"/>
      <c r="C274" s="47"/>
      <c r="D274" s="210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170" t="s">
        <v>366</v>
      </c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1">
        <v>5600000</v>
      </c>
      <c r="AE274" s="172" t="s">
        <v>57</v>
      </c>
      <c r="AF274" s="16"/>
    </row>
    <row r="275" spans="1:32" s="15" customFormat="1" ht="24" customHeight="1">
      <c r="A275" s="47"/>
      <c r="B275" s="47"/>
      <c r="C275" s="47"/>
      <c r="D275" s="210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170" t="s">
        <v>367</v>
      </c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1">
        <v>4130000</v>
      </c>
      <c r="AE275" s="172" t="s">
        <v>57</v>
      </c>
      <c r="AF275" s="16"/>
    </row>
    <row r="276" spans="1:32" s="15" customFormat="1" ht="24" customHeight="1">
      <c r="A276" s="47"/>
      <c r="B276" s="47"/>
      <c r="C276" s="47"/>
      <c r="D276" s="210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170" t="s">
        <v>368</v>
      </c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1">
        <v>3629000</v>
      </c>
      <c r="AE276" s="172" t="s">
        <v>57</v>
      </c>
      <c r="AF276" s="16"/>
    </row>
    <row r="277" spans="1:32" s="15" customFormat="1" ht="24" customHeight="1">
      <c r="A277" s="47"/>
      <c r="B277" s="47"/>
      <c r="C277" s="47"/>
      <c r="D277" s="210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170" t="s">
        <v>369</v>
      </c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1">
        <v>3214000</v>
      </c>
      <c r="AE277" s="172" t="s">
        <v>57</v>
      </c>
      <c r="AF277" s="16"/>
    </row>
    <row r="278" spans="1:32" s="15" customFormat="1" ht="24" customHeight="1">
      <c r="A278" s="47"/>
      <c r="B278" s="47"/>
      <c r="C278" s="47"/>
      <c r="D278" s="210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1"/>
      <c r="AE278" s="172"/>
      <c r="AF278" s="16"/>
    </row>
    <row r="279" spans="1:32" s="15" customFormat="1" ht="24" customHeight="1">
      <c r="A279" s="47"/>
      <c r="B279" s="47"/>
      <c r="C279" s="47"/>
      <c r="D279" s="210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73" t="s">
        <v>255</v>
      </c>
      <c r="P279" s="129"/>
      <c r="Q279" s="244"/>
      <c r="R279" s="31"/>
      <c r="S279" s="31"/>
      <c r="T279" s="31"/>
      <c r="U279" s="31"/>
      <c r="V279" s="31"/>
      <c r="W279" s="237" t="s">
        <v>264</v>
      </c>
      <c r="X279" s="237"/>
      <c r="Y279" s="237"/>
      <c r="Z279" s="237"/>
      <c r="AA279" s="237"/>
      <c r="AB279" s="237"/>
      <c r="AC279" s="74"/>
      <c r="AD279" s="74">
        <f>SUM(AD280:AD285)</f>
        <v>5358000</v>
      </c>
      <c r="AE279" s="75" t="s">
        <v>25</v>
      </c>
      <c r="AF279" s="16"/>
    </row>
    <row r="280" spans="1:32" s="15" customFormat="1" ht="24" customHeight="1">
      <c r="A280" s="47"/>
      <c r="B280" s="47"/>
      <c r="C280" s="47"/>
      <c r="D280" s="210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170" t="s">
        <v>256</v>
      </c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 t="s">
        <v>664</v>
      </c>
      <c r="AC280" s="170"/>
      <c r="AD280" s="171">
        <v>403000</v>
      </c>
      <c r="AE280" s="172" t="s">
        <v>241</v>
      </c>
      <c r="AF280" s="16"/>
    </row>
    <row r="281" spans="1:32" s="15" customFormat="1" ht="24" customHeight="1">
      <c r="A281" s="47"/>
      <c r="B281" s="47"/>
      <c r="C281" s="47"/>
      <c r="D281" s="210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170" t="s">
        <v>257</v>
      </c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1">
        <v>350000</v>
      </c>
      <c r="AE281" s="172" t="s">
        <v>69</v>
      </c>
      <c r="AF281" s="16"/>
    </row>
    <row r="282" spans="1:32" s="15" customFormat="1" ht="24" customHeight="1">
      <c r="A282" s="47"/>
      <c r="B282" s="47"/>
      <c r="C282" s="47"/>
      <c r="D282" s="210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170" t="s">
        <v>258</v>
      </c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1">
        <v>150000</v>
      </c>
      <c r="AE282" s="172" t="s">
        <v>69</v>
      </c>
      <c r="AF282" s="16"/>
    </row>
    <row r="283" spans="1:32" s="15" customFormat="1" ht="24" customHeight="1">
      <c r="A283" s="47"/>
      <c r="B283" s="47"/>
      <c r="C283" s="47"/>
      <c r="D283" s="210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170" t="s">
        <v>259</v>
      </c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 t="s">
        <v>663</v>
      </c>
      <c r="AC283" s="170"/>
      <c r="AD283" s="171">
        <v>1785000</v>
      </c>
      <c r="AE283" s="172" t="s">
        <v>69</v>
      </c>
      <c r="AF283" s="16"/>
    </row>
    <row r="284" spans="1:32" s="15" customFormat="1" ht="24" customHeight="1">
      <c r="A284" s="47"/>
      <c r="B284" s="47"/>
      <c r="C284" s="47"/>
      <c r="D284" s="210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170" t="s">
        <v>320</v>
      </c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1">
        <v>2470000</v>
      </c>
      <c r="AE284" s="172" t="s">
        <v>279</v>
      </c>
      <c r="AF284" s="16"/>
    </row>
    <row r="285" spans="1:32" s="15" customFormat="1" ht="24" customHeight="1">
      <c r="A285" s="47"/>
      <c r="B285" s="47"/>
      <c r="C285" s="47"/>
      <c r="D285" s="210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170" t="s">
        <v>340</v>
      </c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1">
        <v>200000</v>
      </c>
      <c r="AE285" s="172" t="s">
        <v>341</v>
      </c>
      <c r="AF285" s="16"/>
    </row>
    <row r="286" spans="1:32" s="15" customFormat="1" ht="24" customHeight="1">
      <c r="A286" s="47"/>
      <c r="B286" s="47"/>
      <c r="C286" s="47"/>
      <c r="D286" s="210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170"/>
      <c r="P286" s="170"/>
      <c r="Q286" s="170"/>
      <c r="R286" s="170"/>
      <c r="S286" s="170"/>
      <c r="T286" s="170"/>
      <c r="U286" s="170"/>
      <c r="V286" s="170"/>
      <c r="W286" s="170"/>
      <c r="X286" s="170"/>
      <c r="Y286" s="170"/>
      <c r="Z286" s="170"/>
      <c r="AA286" s="170"/>
      <c r="AB286" s="170"/>
      <c r="AC286" s="170"/>
      <c r="AD286" s="171"/>
      <c r="AE286" s="172"/>
      <c r="AF286" s="16"/>
    </row>
    <row r="287" spans="1:32" s="15" customFormat="1" ht="24" customHeight="1">
      <c r="A287" s="47"/>
      <c r="B287" s="47"/>
      <c r="C287" s="47"/>
      <c r="D287" s="210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73" t="s">
        <v>260</v>
      </c>
      <c r="P287" s="129"/>
      <c r="Q287" s="244"/>
      <c r="R287" s="31"/>
      <c r="S287" s="31"/>
      <c r="T287" s="31"/>
      <c r="U287" s="31"/>
      <c r="V287" s="31"/>
      <c r="W287" s="237" t="s">
        <v>264</v>
      </c>
      <c r="X287" s="237"/>
      <c r="Y287" s="237"/>
      <c r="Z287" s="237"/>
      <c r="AA287" s="237"/>
      <c r="AB287" s="237"/>
      <c r="AC287" s="74"/>
      <c r="AD287" s="74">
        <f>SUM(AD288:AD289)</f>
        <v>1130000</v>
      </c>
      <c r="AE287" s="75" t="s">
        <v>25</v>
      </c>
      <c r="AF287" s="16"/>
    </row>
    <row r="288" spans="1:32" s="15" customFormat="1" ht="24" customHeight="1">
      <c r="A288" s="47"/>
      <c r="B288" s="47"/>
      <c r="C288" s="47"/>
      <c r="D288" s="210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242" t="s">
        <v>261</v>
      </c>
      <c r="P288" s="244"/>
      <c r="Q288" s="244"/>
      <c r="R288" s="31"/>
      <c r="S288" s="31"/>
      <c r="T288" s="31"/>
      <c r="U288" s="31"/>
      <c r="V288" s="31"/>
      <c r="W288" s="243"/>
      <c r="X288" s="243"/>
      <c r="Y288" s="243"/>
      <c r="Z288" s="243"/>
      <c r="AA288" s="243"/>
      <c r="AB288" s="243"/>
      <c r="AC288" s="53"/>
      <c r="AD288" s="70">
        <v>130000</v>
      </c>
      <c r="AE288" s="59" t="s">
        <v>241</v>
      </c>
      <c r="AF288" s="16"/>
    </row>
    <row r="289" spans="1:32" s="15" customFormat="1" ht="24" customHeight="1">
      <c r="A289" s="47"/>
      <c r="B289" s="47"/>
      <c r="C289" s="47"/>
      <c r="D289" s="210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242" t="s">
        <v>262</v>
      </c>
      <c r="P289" s="244"/>
      <c r="Q289" s="244"/>
      <c r="R289" s="31"/>
      <c r="S289" s="31"/>
      <c r="T289" s="31"/>
      <c r="U289" s="31"/>
      <c r="V289" s="31"/>
      <c r="W289" s="243"/>
      <c r="X289" s="243"/>
      <c r="Y289" s="243"/>
      <c r="Z289" s="243"/>
      <c r="AA289" s="243"/>
      <c r="AB289" s="243"/>
      <c r="AC289" s="53"/>
      <c r="AD289" s="70">
        <v>1000000</v>
      </c>
      <c r="AE289" s="59" t="s">
        <v>263</v>
      </c>
      <c r="AF289" s="16"/>
    </row>
    <row r="290" spans="1:32" s="15" customFormat="1" ht="24" customHeight="1">
      <c r="A290" s="47"/>
      <c r="B290" s="47"/>
      <c r="C290" s="47"/>
      <c r="D290" s="210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242"/>
      <c r="P290" s="244"/>
      <c r="Q290" s="244"/>
      <c r="R290" s="31"/>
      <c r="S290" s="31"/>
      <c r="T290" s="31"/>
      <c r="U290" s="31"/>
      <c r="V290" s="31"/>
      <c r="W290" s="243"/>
      <c r="X290" s="243"/>
      <c r="Y290" s="243"/>
      <c r="Z290" s="243"/>
      <c r="AA290" s="243"/>
      <c r="AB290" s="243"/>
      <c r="AC290" s="53"/>
      <c r="AD290" s="53"/>
      <c r="AE290" s="35"/>
      <c r="AF290" s="16"/>
    </row>
    <row r="291" spans="1:32" s="15" customFormat="1" ht="24" customHeight="1">
      <c r="A291" s="47"/>
      <c r="B291" s="47"/>
      <c r="C291" s="47"/>
      <c r="D291" s="210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73" t="s">
        <v>265</v>
      </c>
      <c r="P291" s="129"/>
      <c r="Q291" s="244"/>
      <c r="R291" s="31"/>
      <c r="S291" s="31"/>
      <c r="T291" s="31"/>
      <c r="U291" s="31"/>
      <c r="V291" s="31"/>
      <c r="W291" s="237" t="s">
        <v>243</v>
      </c>
      <c r="X291" s="237"/>
      <c r="Y291" s="237"/>
      <c r="Z291" s="237"/>
      <c r="AA291" s="237"/>
      <c r="AB291" s="237"/>
      <c r="AC291" s="74"/>
      <c r="AD291" s="74">
        <f>SUM(AD292:AD296)</f>
        <v>9821000</v>
      </c>
      <c r="AE291" s="75" t="s">
        <v>25</v>
      </c>
      <c r="AF291" s="16"/>
    </row>
    <row r="292" spans="1:32" s="15" customFormat="1" ht="24" customHeight="1">
      <c r="A292" s="47"/>
      <c r="B292" s="47"/>
      <c r="C292" s="47"/>
      <c r="D292" s="210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273" t="s">
        <v>361</v>
      </c>
      <c r="P292" s="244"/>
      <c r="Q292" s="244"/>
      <c r="R292" s="31"/>
      <c r="S292" s="31"/>
      <c r="T292" s="31"/>
      <c r="U292" s="31"/>
      <c r="V292" s="31"/>
      <c r="W292" s="243"/>
      <c r="X292" s="243"/>
      <c r="Y292" s="243"/>
      <c r="Z292" s="243"/>
      <c r="AA292" s="243"/>
      <c r="AB292" s="243"/>
      <c r="AC292" s="53"/>
      <c r="AD292" s="70">
        <v>643000</v>
      </c>
      <c r="AE292" s="59" t="s">
        <v>241</v>
      </c>
      <c r="AF292" s="16"/>
    </row>
    <row r="293" spans="1:32" s="15" customFormat="1" ht="24" customHeight="1">
      <c r="A293" s="47"/>
      <c r="B293" s="47"/>
      <c r="C293" s="47"/>
      <c r="D293" s="210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242" t="s">
        <v>266</v>
      </c>
      <c r="P293" s="244"/>
      <c r="Q293" s="244"/>
      <c r="R293" s="31"/>
      <c r="S293" s="31"/>
      <c r="T293" s="31"/>
      <c r="U293" s="31"/>
      <c r="V293" s="31"/>
      <c r="W293" s="243"/>
      <c r="X293" s="243"/>
      <c r="Y293" s="243"/>
      <c r="Z293" s="243"/>
      <c r="AA293" s="243"/>
      <c r="AB293" s="243"/>
      <c r="AC293" s="53"/>
      <c r="AD293" s="70">
        <v>3458000</v>
      </c>
      <c r="AE293" s="59" t="s">
        <v>241</v>
      </c>
      <c r="AF293" s="16"/>
    </row>
    <row r="294" spans="1:32" s="15" customFormat="1" ht="24" customHeight="1">
      <c r="A294" s="47"/>
      <c r="B294" s="47"/>
      <c r="C294" s="47"/>
      <c r="D294" s="210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423" t="s">
        <v>658</v>
      </c>
      <c r="P294" s="251"/>
      <c r="Q294" s="251"/>
      <c r="R294" s="31"/>
      <c r="S294" s="31"/>
      <c r="T294" s="31"/>
      <c r="U294" s="31"/>
      <c r="V294" s="31"/>
      <c r="W294" s="250"/>
      <c r="X294" s="250"/>
      <c r="Y294" s="250"/>
      <c r="Z294" s="250"/>
      <c r="AA294" s="250"/>
      <c r="AB294" s="427"/>
      <c r="AC294" s="53"/>
      <c r="AD294" s="70">
        <v>1912000</v>
      </c>
      <c r="AE294" s="59" t="s">
        <v>643</v>
      </c>
      <c r="AF294" s="16"/>
    </row>
    <row r="295" spans="1:32" s="15" customFormat="1" ht="24" customHeight="1">
      <c r="A295" s="47"/>
      <c r="B295" s="47"/>
      <c r="C295" s="47"/>
      <c r="D295" s="210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423" t="s">
        <v>660</v>
      </c>
      <c r="P295" s="244"/>
      <c r="Q295" s="244"/>
      <c r="R295" s="31"/>
      <c r="S295" s="31"/>
      <c r="T295" s="31"/>
      <c r="U295" s="31"/>
      <c r="V295" s="31"/>
      <c r="W295" s="243"/>
      <c r="X295" s="243"/>
      <c r="Y295" s="243"/>
      <c r="Z295" s="243"/>
      <c r="AA295" s="243"/>
      <c r="AB295" s="243"/>
      <c r="AC295" s="53"/>
      <c r="AD295" s="70">
        <v>1700000</v>
      </c>
      <c r="AE295" s="59" t="s">
        <v>241</v>
      </c>
      <c r="AF295" s="16"/>
    </row>
    <row r="296" spans="1:32" s="15" customFormat="1" ht="24" customHeight="1">
      <c r="A296" s="47"/>
      <c r="B296" s="47"/>
      <c r="C296" s="47"/>
      <c r="D296" s="210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423" t="s">
        <v>661</v>
      </c>
      <c r="P296" s="244"/>
      <c r="Q296" s="244"/>
      <c r="R296" s="31"/>
      <c r="S296" s="31"/>
      <c r="T296" s="31"/>
      <c r="U296" s="31"/>
      <c r="V296" s="31"/>
      <c r="W296" s="243"/>
      <c r="X296" s="243"/>
      <c r="Y296" s="243"/>
      <c r="Z296" s="243"/>
      <c r="AA296" s="243"/>
      <c r="AB296" s="243"/>
      <c r="AC296" s="53"/>
      <c r="AD296" s="70">
        <v>2108000</v>
      </c>
      <c r="AE296" s="59" t="s">
        <v>241</v>
      </c>
      <c r="AF296" s="16"/>
    </row>
    <row r="297" spans="1:32" s="15" customFormat="1" ht="24" customHeight="1">
      <c r="A297" s="47"/>
      <c r="B297" s="47"/>
      <c r="C297" s="47"/>
      <c r="D297" s="210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242"/>
      <c r="P297" s="244"/>
      <c r="Q297" s="244"/>
      <c r="R297" s="31"/>
      <c r="S297" s="31"/>
      <c r="T297" s="31"/>
      <c r="U297" s="31"/>
      <c r="V297" s="31"/>
      <c r="W297" s="243"/>
      <c r="X297" s="243"/>
      <c r="Y297" s="243"/>
      <c r="Z297" s="243"/>
      <c r="AA297" s="243"/>
      <c r="AB297" s="243"/>
      <c r="AC297" s="53"/>
      <c r="AD297" s="70"/>
      <c r="AE297" s="59"/>
      <c r="AF297" s="16"/>
    </row>
    <row r="298" spans="1:32" s="15" customFormat="1" ht="24" customHeight="1">
      <c r="A298" s="47"/>
      <c r="B298" s="47"/>
      <c r="C298" s="47"/>
      <c r="D298" s="210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73" t="s">
        <v>267</v>
      </c>
      <c r="P298" s="129"/>
      <c r="Q298" s="244"/>
      <c r="R298" s="31"/>
      <c r="S298" s="31"/>
      <c r="T298" s="31"/>
      <c r="U298" s="31"/>
      <c r="V298" s="31"/>
      <c r="W298" s="237" t="s">
        <v>243</v>
      </c>
      <c r="X298" s="237"/>
      <c r="Y298" s="237"/>
      <c r="Z298" s="237"/>
      <c r="AA298" s="237"/>
      <c r="AB298" s="237"/>
      <c r="AC298" s="74"/>
      <c r="AD298" s="74">
        <f>SUM(AD299:AD307)</f>
        <v>6345000</v>
      </c>
      <c r="AE298" s="75" t="s">
        <v>25</v>
      </c>
      <c r="AF298" s="16"/>
    </row>
    <row r="299" spans="1:32" s="15" customFormat="1" ht="24" customHeight="1">
      <c r="A299" s="47"/>
      <c r="B299" s="47"/>
      <c r="C299" s="47"/>
      <c r="D299" s="210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273" t="s">
        <v>371</v>
      </c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/>
      <c r="AC299" s="170"/>
      <c r="AD299" s="171">
        <v>200000</v>
      </c>
      <c r="AE299" s="172" t="s">
        <v>69</v>
      </c>
      <c r="AF299" s="16"/>
    </row>
    <row r="300" spans="1:32" s="15" customFormat="1" ht="24" customHeight="1">
      <c r="A300" s="47"/>
      <c r="B300" s="47"/>
      <c r="C300" s="47"/>
      <c r="D300" s="210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423" t="s">
        <v>662</v>
      </c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 t="s">
        <v>659</v>
      </c>
      <c r="AC300" s="170"/>
      <c r="AD300" s="171">
        <v>2000000</v>
      </c>
      <c r="AE300" s="172" t="s">
        <v>69</v>
      </c>
      <c r="AF300" s="16"/>
    </row>
    <row r="301" spans="1:32" s="15" customFormat="1" ht="24" customHeight="1">
      <c r="A301" s="47"/>
      <c r="B301" s="47"/>
      <c r="C301" s="47"/>
      <c r="D301" s="210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423"/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 t="s">
        <v>653</v>
      </c>
      <c r="AC301" s="170"/>
      <c r="AD301" s="171">
        <v>600000</v>
      </c>
      <c r="AE301" s="172" t="s">
        <v>643</v>
      </c>
      <c r="AF301" s="16"/>
    </row>
    <row r="302" spans="1:32" s="15" customFormat="1" ht="24" customHeight="1">
      <c r="A302" s="47"/>
      <c r="B302" s="47"/>
      <c r="C302" s="47"/>
      <c r="D302" s="210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242" t="s">
        <v>273</v>
      </c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1">
        <v>390000</v>
      </c>
      <c r="AE302" s="172" t="s">
        <v>69</v>
      </c>
      <c r="AF302" s="16"/>
    </row>
    <row r="303" spans="1:32" s="15" customFormat="1" ht="24" customHeight="1">
      <c r="A303" s="47"/>
      <c r="B303" s="47"/>
      <c r="C303" s="47"/>
      <c r="D303" s="210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242" t="s">
        <v>274</v>
      </c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 t="s">
        <v>656</v>
      </c>
      <c r="AC303" s="170"/>
      <c r="AD303" s="171">
        <v>230000</v>
      </c>
      <c r="AE303" s="172" t="s">
        <v>69</v>
      </c>
      <c r="AF303" s="16"/>
    </row>
    <row r="304" spans="1:32" s="15" customFormat="1" ht="24" customHeight="1">
      <c r="A304" s="47"/>
      <c r="B304" s="47"/>
      <c r="C304" s="47"/>
      <c r="D304" s="210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423"/>
      <c r="P304" s="170"/>
      <c r="Q304" s="170"/>
      <c r="R304" s="170"/>
      <c r="S304" s="170"/>
      <c r="T304" s="170"/>
      <c r="U304" s="170"/>
      <c r="V304" s="170"/>
      <c r="W304" s="170"/>
      <c r="X304" s="170"/>
      <c r="Y304" s="170"/>
      <c r="Z304" s="170"/>
      <c r="AA304" s="170"/>
      <c r="AB304" s="170" t="s">
        <v>663</v>
      </c>
      <c r="AC304" s="170"/>
      <c r="AD304" s="171">
        <v>187000</v>
      </c>
      <c r="AE304" s="172" t="s">
        <v>643</v>
      </c>
      <c r="AF304" s="16"/>
    </row>
    <row r="305" spans="1:32" s="15" customFormat="1" ht="24" customHeight="1">
      <c r="A305" s="47"/>
      <c r="B305" s="47"/>
      <c r="C305" s="47"/>
      <c r="D305" s="210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270" t="s">
        <v>339</v>
      </c>
      <c r="P305" s="170"/>
      <c r="Q305" s="170"/>
      <c r="R305" s="170"/>
      <c r="S305" s="170"/>
      <c r="T305" s="170"/>
      <c r="U305" s="170"/>
      <c r="V305" s="170"/>
      <c r="W305" s="170"/>
      <c r="X305" s="170"/>
      <c r="Y305" s="170"/>
      <c r="Z305" s="170"/>
      <c r="AA305" s="170"/>
      <c r="AB305" s="170" t="s">
        <v>352</v>
      </c>
      <c r="AC305" s="170"/>
      <c r="AD305" s="171">
        <v>2000000</v>
      </c>
      <c r="AE305" s="172" t="s">
        <v>69</v>
      </c>
      <c r="AF305" s="16"/>
    </row>
    <row r="306" spans="1:32" s="15" customFormat="1" ht="24" customHeight="1">
      <c r="A306" s="47"/>
      <c r="B306" s="47"/>
      <c r="C306" s="47"/>
      <c r="D306" s="210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423"/>
      <c r="P306" s="170"/>
      <c r="Q306" s="170"/>
      <c r="R306" s="170"/>
      <c r="S306" s="170"/>
      <c r="T306" s="170"/>
      <c r="U306" s="170"/>
      <c r="V306" s="170"/>
      <c r="W306" s="170"/>
      <c r="X306" s="170"/>
      <c r="Y306" s="170"/>
      <c r="Z306" s="170"/>
      <c r="AA306" s="170"/>
      <c r="AB306" s="170" t="s">
        <v>656</v>
      </c>
      <c r="AC306" s="170"/>
      <c r="AD306" s="171">
        <v>318000</v>
      </c>
      <c r="AE306" s="172" t="s">
        <v>643</v>
      </c>
      <c r="AF306" s="16"/>
    </row>
    <row r="307" spans="1:32" s="15" customFormat="1" ht="24" customHeight="1">
      <c r="A307" s="47"/>
      <c r="B307" s="47"/>
      <c r="C307" s="47"/>
      <c r="D307" s="210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253" t="s">
        <v>331</v>
      </c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/>
      <c r="AC307" s="170"/>
      <c r="AD307" s="171">
        <v>420000</v>
      </c>
      <c r="AE307" s="172" t="s">
        <v>241</v>
      </c>
      <c r="AF307" s="16"/>
    </row>
    <row r="308" spans="1:32" s="15" customFormat="1" ht="24" customHeight="1">
      <c r="A308" s="47"/>
      <c r="B308" s="47"/>
      <c r="C308" s="47"/>
      <c r="D308" s="210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242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1"/>
      <c r="AE308" s="172"/>
      <c r="AF308" s="16"/>
    </row>
    <row r="309" spans="1:32" s="15" customFormat="1" ht="24" customHeight="1">
      <c r="A309" s="47"/>
      <c r="B309" s="47"/>
      <c r="C309" s="47"/>
      <c r="D309" s="210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73" t="s">
        <v>275</v>
      </c>
      <c r="P309" s="129"/>
      <c r="Q309" s="244"/>
      <c r="R309" s="31"/>
      <c r="S309" s="31"/>
      <c r="T309" s="31"/>
      <c r="U309" s="31"/>
      <c r="V309" s="31"/>
      <c r="W309" s="237" t="s">
        <v>243</v>
      </c>
      <c r="X309" s="237"/>
      <c r="Y309" s="237"/>
      <c r="Z309" s="237"/>
      <c r="AA309" s="237"/>
      <c r="AB309" s="237"/>
      <c r="AC309" s="74"/>
      <c r="AD309" s="74">
        <f>SUM(AD310:AD311)</f>
        <v>200000</v>
      </c>
      <c r="AE309" s="75" t="s">
        <v>25</v>
      </c>
      <c r="AF309" s="16"/>
    </row>
    <row r="310" spans="1:32" s="15" customFormat="1" ht="24" customHeight="1">
      <c r="A310" s="47"/>
      <c r="B310" s="47"/>
      <c r="C310" s="48"/>
      <c r="D310" s="210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242" t="s">
        <v>276</v>
      </c>
      <c r="P310" s="244"/>
      <c r="Q310" s="244"/>
      <c r="R310" s="31"/>
      <c r="S310" s="31"/>
      <c r="T310" s="31"/>
      <c r="U310" s="31"/>
      <c r="V310" s="31"/>
      <c r="W310" s="241"/>
      <c r="X310" s="241"/>
      <c r="Y310" s="241"/>
      <c r="Z310" s="241"/>
      <c r="AA310" s="241"/>
      <c r="AB310" s="241"/>
      <c r="AC310" s="70"/>
      <c r="AD310" s="70">
        <v>0</v>
      </c>
      <c r="AE310" s="59" t="s">
        <v>241</v>
      </c>
      <c r="AF310" s="16"/>
    </row>
    <row r="311" spans="1:32" s="15" customFormat="1" ht="24" customHeight="1">
      <c r="A311" s="47"/>
      <c r="B311" s="47"/>
      <c r="C311" s="48"/>
      <c r="D311" s="210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242" t="s">
        <v>277</v>
      </c>
      <c r="P311" s="244"/>
      <c r="Q311" s="244"/>
      <c r="R311" s="31"/>
      <c r="S311" s="31"/>
      <c r="T311" s="31"/>
      <c r="U311" s="31"/>
      <c r="V311" s="31"/>
      <c r="W311" s="241"/>
      <c r="X311" s="241"/>
      <c r="Y311" s="241"/>
      <c r="Z311" s="241"/>
      <c r="AA311" s="241"/>
      <c r="AB311" s="241"/>
      <c r="AC311" s="70"/>
      <c r="AD311" s="70">
        <v>200000</v>
      </c>
      <c r="AE311" s="59" t="s">
        <v>241</v>
      </c>
      <c r="AF311" s="16"/>
    </row>
    <row r="312" spans="1:32" s="15" customFormat="1" ht="24" customHeight="1">
      <c r="A312" s="47"/>
      <c r="B312" s="47"/>
      <c r="C312" s="48"/>
      <c r="D312" s="210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432"/>
      <c r="P312" s="251"/>
      <c r="Q312" s="251"/>
      <c r="R312" s="31"/>
      <c r="S312" s="31"/>
      <c r="T312" s="31"/>
      <c r="U312" s="31"/>
      <c r="V312" s="31"/>
      <c r="W312" s="431"/>
      <c r="X312" s="431"/>
      <c r="Y312" s="431"/>
      <c r="Z312" s="431"/>
      <c r="AA312" s="431"/>
      <c r="AB312" s="431"/>
      <c r="AC312" s="70"/>
      <c r="AD312" s="70"/>
      <c r="AE312" s="59"/>
      <c r="AF312" s="16"/>
    </row>
    <row r="313" spans="1:32" s="15" customFormat="1" ht="24" customHeight="1">
      <c r="A313" s="47"/>
      <c r="B313" s="47"/>
      <c r="C313" s="48"/>
      <c r="D313" s="210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73" t="s">
        <v>342</v>
      </c>
      <c r="P313" s="129"/>
      <c r="Q313" s="251"/>
      <c r="R313" s="31"/>
      <c r="S313" s="31"/>
      <c r="T313" s="31"/>
      <c r="U313" s="31"/>
      <c r="V313" s="31"/>
      <c r="W313" s="433" t="s">
        <v>243</v>
      </c>
      <c r="X313" s="433"/>
      <c r="Y313" s="433"/>
      <c r="Z313" s="433"/>
      <c r="AA313" s="433"/>
      <c r="AB313" s="433"/>
      <c r="AC313" s="74"/>
      <c r="AD313" s="74">
        <f>SUM(AD314:AD318)</f>
        <v>2015000</v>
      </c>
      <c r="AE313" s="75" t="s">
        <v>25</v>
      </c>
      <c r="AF313" s="16"/>
    </row>
    <row r="314" spans="1:32" s="15" customFormat="1" ht="24" customHeight="1">
      <c r="A314" s="47"/>
      <c r="B314" s="47"/>
      <c r="C314" s="48"/>
      <c r="D314" s="210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432" t="s">
        <v>363</v>
      </c>
      <c r="P314" s="251"/>
      <c r="Q314" s="251"/>
      <c r="R314" s="31"/>
      <c r="S314" s="31"/>
      <c r="T314" s="31"/>
      <c r="U314" s="31"/>
      <c r="V314" s="31"/>
      <c r="W314" s="431"/>
      <c r="X314" s="431"/>
      <c r="Y314" s="431"/>
      <c r="Z314" s="431"/>
      <c r="AA314" s="431"/>
      <c r="AB314" s="431"/>
      <c r="AC314" s="70"/>
      <c r="AD314" s="70">
        <v>130000</v>
      </c>
      <c r="AE314" s="59" t="s">
        <v>57</v>
      </c>
      <c r="AF314" s="16"/>
    </row>
    <row r="315" spans="1:32" s="15" customFormat="1" ht="24" customHeight="1">
      <c r="A315" s="47"/>
      <c r="B315" s="47"/>
      <c r="C315" s="48"/>
      <c r="D315" s="210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432" t="s">
        <v>372</v>
      </c>
      <c r="P315" s="251"/>
      <c r="Q315" s="251"/>
      <c r="R315" s="31"/>
      <c r="S315" s="31"/>
      <c r="T315" s="31"/>
      <c r="U315" s="31"/>
      <c r="V315" s="31"/>
      <c r="W315" s="431"/>
      <c r="X315" s="431"/>
      <c r="Y315" s="431"/>
      <c r="Z315" s="431"/>
      <c r="AA315" s="431"/>
      <c r="AB315" s="431"/>
      <c r="AC315" s="70"/>
      <c r="AD315" s="70">
        <v>100000</v>
      </c>
      <c r="AE315" s="59" t="s">
        <v>57</v>
      </c>
      <c r="AF315" s="16"/>
    </row>
    <row r="316" spans="1:32" s="15" customFormat="1" ht="24" customHeight="1">
      <c r="A316" s="47"/>
      <c r="B316" s="47"/>
      <c r="C316" s="48"/>
      <c r="D316" s="210"/>
      <c r="E316" s="121"/>
      <c r="F316" s="121"/>
      <c r="G316" s="121"/>
      <c r="H316" s="121"/>
      <c r="I316" s="121"/>
      <c r="J316" s="121"/>
      <c r="K316" s="121"/>
      <c r="L316" s="121"/>
      <c r="M316" s="121"/>
      <c r="N316" s="72"/>
      <c r="O316" s="432" t="s">
        <v>373</v>
      </c>
      <c r="P316" s="251"/>
      <c r="Q316" s="251"/>
      <c r="R316" s="31"/>
      <c r="S316" s="31"/>
      <c r="T316" s="31"/>
      <c r="U316" s="31"/>
      <c r="V316" s="31"/>
      <c r="W316" s="431"/>
      <c r="X316" s="431"/>
      <c r="Y316" s="431"/>
      <c r="Z316" s="431"/>
      <c r="AA316" s="431"/>
      <c r="AB316" s="431"/>
      <c r="AC316" s="70"/>
      <c r="AD316" s="70">
        <v>881000</v>
      </c>
      <c r="AE316" s="59" t="s">
        <v>57</v>
      </c>
      <c r="AF316" s="16"/>
    </row>
    <row r="317" spans="1:32" s="15" customFormat="1" ht="24" customHeight="1">
      <c r="A317" s="47"/>
      <c r="B317" s="47"/>
      <c r="C317" s="48"/>
      <c r="D317" s="210"/>
      <c r="E317" s="121"/>
      <c r="F317" s="121"/>
      <c r="G317" s="121"/>
      <c r="H317" s="121"/>
      <c r="I317" s="121"/>
      <c r="J317" s="121"/>
      <c r="K317" s="121"/>
      <c r="L317" s="121"/>
      <c r="M317" s="121"/>
      <c r="N317" s="72"/>
      <c r="O317" s="432" t="s">
        <v>374</v>
      </c>
      <c r="P317" s="251"/>
      <c r="Q317" s="251"/>
      <c r="R317" s="31"/>
      <c r="S317" s="31"/>
      <c r="T317" s="31"/>
      <c r="U317" s="31"/>
      <c r="V317" s="31"/>
      <c r="W317" s="431"/>
      <c r="X317" s="431"/>
      <c r="Y317" s="431"/>
      <c r="Z317" s="431"/>
      <c r="AA317" s="431"/>
      <c r="AB317" s="431"/>
      <c r="AC317" s="70"/>
      <c r="AD317" s="70">
        <v>500000</v>
      </c>
      <c r="AE317" s="59" t="s">
        <v>57</v>
      </c>
      <c r="AF317" s="16"/>
    </row>
    <row r="318" spans="1:32" s="15" customFormat="1" ht="24" customHeight="1">
      <c r="A318" s="47"/>
      <c r="B318" s="47"/>
      <c r="C318" s="48"/>
      <c r="D318" s="210"/>
      <c r="E318" s="121"/>
      <c r="F318" s="121"/>
      <c r="G318" s="121"/>
      <c r="H318" s="121"/>
      <c r="I318" s="121"/>
      <c r="J318" s="121"/>
      <c r="K318" s="121"/>
      <c r="L318" s="121"/>
      <c r="M318" s="121"/>
      <c r="N318" s="72"/>
      <c r="O318" s="432"/>
      <c r="P318" s="432"/>
      <c r="Q318" s="432"/>
      <c r="R318" s="432"/>
      <c r="S318" s="432"/>
      <c r="T318" s="431"/>
      <c r="U318" s="431"/>
      <c r="V318" s="431"/>
      <c r="W318" s="431"/>
      <c r="X318" s="431"/>
      <c r="Y318" s="166"/>
      <c r="Z318" s="166"/>
      <c r="AA318" s="166"/>
      <c r="AB318" s="166"/>
      <c r="AC318" s="167"/>
      <c r="AD318" s="431">
        <v>404000</v>
      </c>
      <c r="AE318" s="59" t="s">
        <v>57</v>
      </c>
      <c r="AF318" s="16"/>
    </row>
    <row r="319" spans="1:32" s="15" customFormat="1" ht="24" customHeight="1">
      <c r="A319" s="47"/>
      <c r="B319" s="47"/>
      <c r="C319" s="48"/>
      <c r="D319" s="210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432"/>
      <c r="P319" s="432"/>
      <c r="Q319" s="432"/>
      <c r="R319" s="432"/>
      <c r="S319" s="432"/>
      <c r="T319" s="431"/>
      <c r="U319" s="431"/>
      <c r="V319" s="431"/>
      <c r="W319" s="431"/>
      <c r="X319" s="431"/>
      <c r="Y319" s="166"/>
      <c r="Z319" s="166"/>
      <c r="AA319" s="166"/>
      <c r="AB319" s="166"/>
      <c r="AC319" s="167"/>
      <c r="AD319" s="431"/>
      <c r="AE319" s="59"/>
      <c r="AF319" s="16"/>
    </row>
    <row r="320" spans="1:32" s="15" customFormat="1" ht="24" customHeight="1">
      <c r="A320" s="47"/>
      <c r="B320" s="47"/>
      <c r="C320" s="48"/>
      <c r="D320" s="210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73" t="s">
        <v>708</v>
      </c>
      <c r="P320" s="129"/>
      <c r="Q320" s="251"/>
      <c r="R320" s="31"/>
      <c r="S320" s="31"/>
      <c r="T320" s="31"/>
      <c r="U320" s="31"/>
      <c r="V320" s="31"/>
      <c r="W320" s="433" t="s">
        <v>243</v>
      </c>
      <c r="X320" s="433"/>
      <c r="Y320" s="433"/>
      <c r="Z320" s="433"/>
      <c r="AA320" s="433"/>
      <c r="AB320" s="433"/>
      <c r="AC320" s="74"/>
      <c r="AD320" s="74">
        <f>AD321</f>
        <v>600000</v>
      </c>
      <c r="AE320" s="75" t="s">
        <v>25</v>
      </c>
      <c r="AF320" s="16"/>
    </row>
    <row r="321" spans="1:32" s="15" customFormat="1" ht="24" customHeight="1">
      <c r="A321" s="47"/>
      <c r="B321" s="47"/>
      <c r="C321" s="48"/>
      <c r="D321" s="210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432" t="s">
        <v>709</v>
      </c>
      <c r="P321" s="251"/>
      <c r="Q321" s="251"/>
      <c r="R321" s="31"/>
      <c r="S321" s="31"/>
      <c r="T321" s="31"/>
      <c r="U321" s="31"/>
      <c r="V321" s="31"/>
      <c r="W321" s="431"/>
      <c r="X321" s="431"/>
      <c r="Y321" s="431"/>
      <c r="Z321" s="431"/>
      <c r="AA321" s="431"/>
      <c r="AB321" s="431"/>
      <c r="AC321" s="70"/>
      <c r="AD321" s="70">
        <v>600000</v>
      </c>
      <c r="AE321" s="59" t="s">
        <v>692</v>
      </c>
      <c r="AF321" s="16"/>
    </row>
    <row r="322" spans="1:32" s="15" customFormat="1" ht="24" customHeight="1">
      <c r="A322" s="61"/>
      <c r="B322" s="61"/>
      <c r="C322" s="123"/>
      <c r="D322" s="211"/>
      <c r="E322" s="124"/>
      <c r="F322" s="124"/>
      <c r="G322" s="124"/>
      <c r="H322" s="124"/>
      <c r="I322" s="124"/>
      <c r="J322" s="124"/>
      <c r="K322" s="124"/>
      <c r="L322" s="124"/>
      <c r="M322" s="121"/>
      <c r="N322" s="72"/>
      <c r="O322" s="51"/>
      <c r="P322" s="51"/>
      <c r="Q322" s="51"/>
      <c r="R322" s="51"/>
      <c r="S322" s="51"/>
      <c r="T322" s="52"/>
      <c r="U322" s="52"/>
      <c r="V322" s="52"/>
      <c r="W322" s="52"/>
      <c r="X322" s="52"/>
      <c r="Y322" s="166"/>
      <c r="Z322" s="166"/>
      <c r="AA322" s="166"/>
      <c r="AB322" s="166"/>
      <c r="AC322" s="167"/>
      <c r="AD322" s="52"/>
      <c r="AE322" s="59"/>
      <c r="AF322" s="16"/>
    </row>
    <row r="323" spans="1:32" s="11" customFormat="1" ht="21" customHeight="1">
      <c r="A323" s="125" t="s">
        <v>322</v>
      </c>
      <c r="B323" s="507" t="s">
        <v>20</v>
      </c>
      <c r="C323" s="508"/>
      <c r="D323" s="230">
        <f>SUM(D324)</f>
        <v>14551</v>
      </c>
      <c r="E323" s="230">
        <f>SUM(E324)</f>
        <v>8111</v>
      </c>
      <c r="F323" s="230">
        <f t="shared" ref="F323:L323" si="13">SUM(F324)</f>
        <v>5254</v>
      </c>
      <c r="G323" s="230">
        <f t="shared" si="13"/>
        <v>2196</v>
      </c>
      <c r="H323" s="230">
        <f t="shared" si="13"/>
        <v>661</v>
      </c>
      <c r="I323" s="230">
        <f t="shared" si="13"/>
        <v>0</v>
      </c>
      <c r="J323" s="230">
        <f t="shared" si="13"/>
        <v>0</v>
      </c>
      <c r="K323" s="230">
        <f t="shared" si="13"/>
        <v>0</v>
      </c>
      <c r="L323" s="230">
        <f t="shared" si="13"/>
        <v>0</v>
      </c>
      <c r="M323" s="230">
        <f>E323-D323</f>
        <v>-6440</v>
      </c>
      <c r="N323" s="231">
        <f>IF(D323=0,0,M323/D323)</f>
        <v>-0.44258126589237851</v>
      </c>
      <c r="O323" s="107" t="s">
        <v>325</v>
      </c>
      <c r="P323" s="232"/>
      <c r="Q323" s="232"/>
      <c r="R323" s="232"/>
      <c r="S323" s="233"/>
      <c r="T323" s="233"/>
      <c r="U323" s="233"/>
      <c r="V323" s="233"/>
      <c r="W323" s="233"/>
      <c r="X323" s="233"/>
      <c r="Y323" s="233"/>
      <c r="Z323" s="233"/>
      <c r="AA323" s="233"/>
      <c r="AB323" s="233"/>
      <c r="AC323" s="233"/>
      <c r="AD323" s="233">
        <f>SUM(AD324)</f>
        <v>8111000</v>
      </c>
      <c r="AE323" s="234" t="s">
        <v>25</v>
      </c>
      <c r="AF323" s="1"/>
    </row>
    <row r="324" spans="1:32" s="11" customFormat="1" ht="21" customHeight="1">
      <c r="A324" s="263" t="s">
        <v>324</v>
      </c>
      <c r="B324" s="47" t="s">
        <v>322</v>
      </c>
      <c r="C324" s="47" t="s">
        <v>322</v>
      </c>
      <c r="D324" s="210">
        <v>14551</v>
      </c>
      <c r="E324" s="121">
        <f>AD324/1000</f>
        <v>8111</v>
      </c>
      <c r="F324" s="121">
        <v>5254</v>
      </c>
      <c r="G324" s="121">
        <v>2196</v>
      </c>
      <c r="H324" s="121">
        <v>661</v>
      </c>
      <c r="I324" s="121">
        <v>0</v>
      </c>
      <c r="J324" s="121">
        <v>0</v>
      </c>
      <c r="K324" s="121">
        <v>0</v>
      </c>
      <c r="L324" s="121">
        <v>0</v>
      </c>
      <c r="M324" s="121">
        <f>E324-D324</f>
        <v>-6440</v>
      </c>
      <c r="N324" s="72">
        <f>IF(D324=0,0,M324/D324)</f>
        <v>-0.44258126589237851</v>
      </c>
      <c r="O324" s="129" t="s">
        <v>326</v>
      </c>
      <c r="P324" s="33"/>
      <c r="Q324" s="33"/>
      <c r="R324" s="33"/>
      <c r="S324" s="33"/>
      <c r="T324" s="34"/>
      <c r="U324" s="34"/>
      <c r="V324" s="34"/>
      <c r="W324" s="34"/>
      <c r="X324" s="34"/>
      <c r="Y324" s="233" t="s">
        <v>285</v>
      </c>
      <c r="Z324" s="110"/>
      <c r="AA324" s="110"/>
      <c r="AB324" s="110"/>
      <c r="AC324" s="131"/>
      <c r="AD324" s="131">
        <f>ROUND(SUM(AD325:AD335),-3)</f>
        <v>8111000</v>
      </c>
      <c r="AE324" s="132" t="s">
        <v>25</v>
      </c>
      <c r="AF324" s="1"/>
    </row>
    <row r="325" spans="1:32" ht="21" customHeight="1">
      <c r="A325" s="46"/>
      <c r="B325" s="47" t="s">
        <v>323</v>
      </c>
      <c r="C325" s="47" t="s">
        <v>323</v>
      </c>
      <c r="D325" s="210"/>
      <c r="E325" s="121"/>
      <c r="F325" s="121"/>
      <c r="G325" s="121"/>
      <c r="H325" s="121"/>
      <c r="I325" s="121"/>
      <c r="J325" s="121"/>
      <c r="K325" s="121"/>
      <c r="L325" s="121"/>
      <c r="M325" s="121"/>
      <c r="N325" s="72"/>
      <c r="O325" s="179" t="s">
        <v>182</v>
      </c>
      <c r="P325" s="51"/>
      <c r="Q325" s="51"/>
      <c r="R325" s="51"/>
      <c r="S325" s="52"/>
      <c r="T325" s="52"/>
      <c r="U325" s="52"/>
      <c r="V325" s="52"/>
      <c r="W325" s="52"/>
      <c r="X325" s="52"/>
      <c r="Y325" s="52"/>
      <c r="Z325" s="52"/>
      <c r="AA325" s="52"/>
      <c r="AB325" s="143"/>
      <c r="AC325" s="52"/>
      <c r="AD325" s="52">
        <v>5000000</v>
      </c>
      <c r="AE325" s="59" t="s">
        <v>25</v>
      </c>
    </row>
    <row r="326" spans="1:32" ht="21" customHeight="1">
      <c r="A326" s="46"/>
      <c r="B326" s="47"/>
      <c r="C326" s="47"/>
      <c r="D326" s="210"/>
      <c r="E326" s="121"/>
      <c r="F326" s="121"/>
      <c r="G326" s="121"/>
      <c r="H326" s="121"/>
      <c r="I326" s="121"/>
      <c r="J326" s="121"/>
      <c r="K326" s="121"/>
      <c r="L326" s="121"/>
      <c r="M326" s="121"/>
      <c r="N326" s="72"/>
      <c r="O326" s="423" t="s">
        <v>641</v>
      </c>
      <c r="P326" s="253"/>
      <c r="Q326" s="253"/>
      <c r="R326" s="253"/>
      <c r="S326" s="252"/>
      <c r="T326" s="252"/>
      <c r="U326" s="252"/>
      <c r="V326" s="252"/>
      <c r="W326" s="252"/>
      <c r="X326" s="252"/>
      <c r="Y326" s="252"/>
      <c r="Z326" s="252"/>
      <c r="AA326" s="252"/>
      <c r="AB326" s="252"/>
      <c r="AC326" s="252"/>
      <c r="AD326" s="252">
        <v>150000</v>
      </c>
      <c r="AE326" s="59" t="s">
        <v>279</v>
      </c>
    </row>
    <row r="327" spans="1:32" ht="21" customHeight="1">
      <c r="A327" s="46"/>
      <c r="B327" s="47"/>
      <c r="C327" s="47"/>
      <c r="D327" s="210"/>
      <c r="E327" s="121"/>
      <c r="F327" s="121"/>
      <c r="G327" s="121"/>
      <c r="H327" s="121"/>
      <c r="I327" s="121"/>
      <c r="J327" s="121"/>
      <c r="K327" s="121"/>
      <c r="L327" s="121"/>
      <c r="M327" s="121"/>
      <c r="N327" s="72"/>
      <c r="O327" s="423" t="s">
        <v>642</v>
      </c>
      <c r="P327" s="423"/>
      <c r="Q327" s="423"/>
      <c r="R327" s="423"/>
      <c r="S327" s="422"/>
      <c r="T327" s="422"/>
      <c r="U327" s="422"/>
      <c r="V327" s="422"/>
      <c r="W327" s="422"/>
      <c r="X327" s="422"/>
      <c r="Y327" s="422"/>
      <c r="Z327" s="422"/>
      <c r="AA327" s="422"/>
      <c r="AB327" s="422"/>
      <c r="AC327" s="422"/>
      <c r="AD327" s="422">
        <v>100000</v>
      </c>
      <c r="AE327" s="59" t="s">
        <v>643</v>
      </c>
    </row>
    <row r="328" spans="1:32" ht="21" customHeight="1">
      <c r="A328" s="46"/>
      <c r="B328" s="47"/>
      <c r="C328" s="47"/>
      <c r="D328" s="210"/>
      <c r="E328" s="121"/>
      <c r="F328" s="121"/>
      <c r="G328" s="121"/>
      <c r="H328" s="121"/>
      <c r="I328" s="121"/>
      <c r="J328" s="121"/>
      <c r="K328" s="121"/>
      <c r="L328" s="121"/>
      <c r="M328" s="121"/>
      <c r="N328" s="72"/>
      <c r="O328" s="423" t="s">
        <v>644</v>
      </c>
      <c r="P328" s="423"/>
      <c r="Q328" s="423"/>
      <c r="R328" s="423"/>
      <c r="S328" s="422"/>
      <c r="T328" s="422"/>
      <c r="U328" s="422"/>
      <c r="V328" s="422"/>
      <c r="W328" s="422"/>
      <c r="X328" s="422"/>
      <c r="Y328" s="422"/>
      <c r="Z328" s="422"/>
      <c r="AA328" s="422"/>
      <c r="AB328" s="422"/>
      <c r="AC328" s="422"/>
      <c r="AD328" s="422">
        <v>4000</v>
      </c>
      <c r="AE328" s="59" t="s">
        <v>643</v>
      </c>
    </row>
    <row r="329" spans="1:32" ht="21" customHeight="1">
      <c r="A329" s="46"/>
      <c r="B329" s="47"/>
      <c r="C329" s="47"/>
      <c r="D329" s="210"/>
      <c r="E329" s="121"/>
      <c r="F329" s="121"/>
      <c r="G329" s="121"/>
      <c r="H329" s="121"/>
      <c r="I329" s="121"/>
      <c r="J329" s="121"/>
      <c r="K329" s="121"/>
      <c r="L329" s="121"/>
      <c r="M329" s="121"/>
      <c r="N329" s="72"/>
      <c r="O329" s="423" t="s">
        <v>645</v>
      </c>
      <c r="P329" s="51"/>
      <c r="Q329" s="51"/>
      <c r="R329" s="51"/>
      <c r="S329" s="52"/>
      <c r="T329" s="52"/>
      <c r="U329" s="52"/>
      <c r="V329" s="52"/>
      <c r="W329" s="52"/>
      <c r="X329" s="52"/>
      <c r="Y329" s="52"/>
      <c r="Z329" s="52"/>
      <c r="AA329" s="52"/>
      <c r="AB329" s="178"/>
      <c r="AC329" s="52"/>
      <c r="AD329" s="52">
        <v>656000</v>
      </c>
      <c r="AE329" s="59" t="s">
        <v>25</v>
      </c>
    </row>
    <row r="330" spans="1:32" ht="21" customHeight="1">
      <c r="A330" s="46"/>
      <c r="B330" s="47"/>
      <c r="C330" s="47"/>
      <c r="D330" s="210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423" t="s">
        <v>646</v>
      </c>
      <c r="P330" s="253"/>
      <c r="Q330" s="253"/>
      <c r="R330" s="253"/>
      <c r="S330" s="252"/>
      <c r="T330" s="252"/>
      <c r="U330" s="252"/>
      <c r="V330" s="252"/>
      <c r="W330" s="252"/>
      <c r="X330" s="252"/>
      <c r="Y330" s="252"/>
      <c r="Z330" s="252"/>
      <c r="AA330" s="252"/>
      <c r="AB330" s="252"/>
      <c r="AC330" s="252"/>
      <c r="AD330" s="252">
        <v>5000</v>
      </c>
      <c r="AE330" s="59" t="s">
        <v>279</v>
      </c>
    </row>
    <row r="331" spans="1:32" ht="21" customHeight="1">
      <c r="A331" s="46"/>
      <c r="B331" s="47"/>
      <c r="C331" s="47"/>
      <c r="D331" s="210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423" t="s">
        <v>647</v>
      </c>
      <c r="P331" s="51"/>
      <c r="Q331" s="51"/>
      <c r="R331" s="51"/>
      <c r="S331" s="52"/>
      <c r="T331" s="52"/>
      <c r="U331" s="52"/>
      <c r="V331" s="52"/>
      <c r="W331" s="52"/>
      <c r="X331" s="52"/>
      <c r="Y331" s="52"/>
      <c r="Z331" s="52"/>
      <c r="AA331" s="52"/>
      <c r="AB331" s="178"/>
      <c r="AC331" s="52"/>
      <c r="AD331" s="52">
        <v>1350000</v>
      </c>
      <c r="AE331" s="59" t="s">
        <v>25</v>
      </c>
    </row>
    <row r="332" spans="1:32" ht="21" customHeight="1">
      <c r="A332" s="46"/>
      <c r="B332" s="47"/>
      <c r="C332" s="47"/>
      <c r="D332" s="210"/>
      <c r="E332" s="121"/>
      <c r="F332" s="121"/>
      <c r="G332" s="121"/>
      <c r="H332" s="121"/>
      <c r="I332" s="121"/>
      <c r="J332" s="121"/>
      <c r="K332" s="121"/>
      <c r="L332" s="121"/>
      <c r="M332" s="121"/>
      <c r="N332" s="72"/>
      <c r="O332" s="423" t="s">
        <v>648</v>
      </c>
      <c r="P332" s="253"/>
      <c r="Q332" s="253"/>
      <c r="R332" s="253"/>
      <c r="S332" s="252"/>
      <c r="T332" s="252"/>
      <c r="U332" s="252"/>
      <c r="V332" s="252"/>
      <c r="W332" s="252"/>
      <c r="X332" s="252"/>
      <c r="Y332" s="252"/>
      <c r="Z332" s="252"/>
      <c r="AA332" s="252"/>
      <c r="AB332" s="252"/>
      <c r="AC332" s="252"/>
      <c r="AD332" s="252">
        <v>20000</v>
      </c>
      <c r="AE332" s="59" t="s">
        <v>279</v>
      </c>
    </row>
    <row r="333" spans="1:32" ht="21" customHeight="1">
      <c r="A333" s="46"/>
      <c r="B333" s="47"/>
      <c r="C333" s="47"/>
      <c r="D333" s="210"/>
      <c r="E333" s="121"/>
      <c r="F333" s="121"/>
      <c r="G333" s="121"/>
      <c r="H333" s="121"/>
      <c r="I333" s="121"/>
      <c r="J333" s="121"/>
      <c r="K333" s="121"/>
      <c r="L333" s="121"/>
      <c r="M333" s="121"/>
      <c r="N333" s="72"/>
      <c r="O333" s="423" t="s">
        <v>649</v>
      </c>
      <c r="P333" s="51"/>
      <c r="Q333" s="51"/>
      <c r="R333" s="51"/>
      <c r="S333" s="52"/>
      <c r="T333" s="52"/>
      <c r="U333" s="52"/>
      <c r="V333" s="52"/>
      <c r="W333" s="52"/>
      <c r="X333" s="52"/>
      <c r="Y333" s="52"/>
      <c r="Z333" s="52"/>
      <c r="AA333" s="52"/>
      <c r="AB333" s="178"/>
      <c r="AC333" s="52"/>
      <c r="AD333" s="52">
        <v>823000</v>
      </c>
      <c r="AE333" s="59" t="s">
        <v>25</v>
      </c>
    </row>
    <row r="334" spans="1:32" ht="21" customHeight="1">
      <c r="A334" s="46"/>
      <c r="B334" s="47"/>
      <c r="C334" s="47"/>
      <c r="D334" s="210"/>
      <c r="E334" s="121"/>
      <c r="F334" s="121"/>
      <c r="G334" s="121"/>
      <c r="H334" s="121"/>
      <c r="I334" s="121"/>
      <c r="J334" s="121"/>
      <c r="K334" s="121"/>
      <c r="L334" s="121"/>
      <c r="M334" s="121"/>
      <c r="N334" s="72"/>
      <c r="O334" s="423" t="s">
        <v>650</v>
      </c>
      <c r="P334" s="51"/>
      <c r="Q334" s="51"/>
      <c r="R334" s="51"/>
      <c r="S334" s="52"/>
      <c r="T334" s="52"/>
      <c r="U334" s="52"/>
      <c r="V334" s="52"/>
      <c r="W334" s="52"/>
      <c r="X334" s="52"/>
      <c r="Y334" s="52"/>
      <c r="Z334" s="52"/>
      <c r="AA334" s="52"/>
      <c r="AB334" s="178"/>
      <c r="AC334" s="52"/>
      <c r="AD334" s="52">
        <v>3000</v>
      </c>
      <c r="AE334" s="59" t="s">
        <v>25</v>
      </c>
    </row>
    <row r="335" spans="1:32" ht="21" customHeight="1">
      <c r="A335" s="46"/>
      <c r="B335" s="47"/>
      <c r="C335" s="48"/>
      <c r="D335" s="210"/>
      <c r="E335" s="121"/>
      <c r="F335" s="121"/>
      <c r="G335" s="121"/>
      <c r="H335" s="121"/>
      <c r="I335" s="121"/>
      <c r="J335" s="121"/>
      <c r="K335" s="121"/>
      <c r="L335" s="121"/>
      <c r="M335" s="121"/>
      <c r="N335" s="72"/>
      <c r="O335" s="423" t="s">
        <v>651</v>
      </c>
      <c r="P335" s="423"/>
      <c r="Q335" s="423"/>
      <c r="R335" s="423"/>
      <c r="S335" s="422"/>
      <c r="T335" s="422"/>
      <c r="U335" s="422"/>
      <c r="V335" s="422"/>
      <c r="W335" s="422"/>
      <c r="X335" s="422"/>
      <c r="Y335" s="422"/>
      <c r="Z335" s="422"/>
      <c r="AA335" s="422"/>
      <c r="AB335" s="422"/>
      <c r="AC335" s="422"/>
      <c r="AD335" s="422">
        <v>0</v>
      </c>
      <c r="AE335" s="59" t="s">
        <v>643</v>
      </c>
    </row>
    <row r="336" spans="1:32" s="14" customFormat="1" ht="21" customHeight="1">
      <c r="A336" s="46"/>
      <c r="B336" s="61"/>
      <c r="C336" s="48"/>
      <c r="D336" s="210"/>
      <c r="E336" s="121"/>
      <c r="F336" s="121"/>
      <c r="G336" s="121"/>
      <c r="H336" s="121"/>
      <c r="I336" s="121"/>
      <c r="J336" s="121"/>
      <c r="K336" s="121"/>
      <c r="L336" s="121"/>
      <c r="M336" s="121"/>
      <c r="N336" s="72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2"/>
      <c r="AE336" s="59"/>
      <c r="AF336" s="4"/>
    </row>
    <row r="337" spans="1:32" s="11" customFormat="1" ht="21" customHeight="1">
      <c r="A337" s="36" t="s">
        <v>147</v>
      </c>
      <c r="B337" s="507" t="s">
        <v>20</v>
      </c>
      <c r="C337" s="508"/>
      <c r="D337" s="230">
        <f>D338</f>
        <v>1200</v>
      </c>
      <c r="E337" s="230">
        <f>E338</f>
        <v>0</v>
      </c>
      <c r="F337" s="230">
        <f t="shared" ref="F337:L337" si="14">F338</f>
        <v>0</v>
      </c>
      <c r="G337" s="230">
        <f t="shared" si="14"/>
        <v>0</v>
      </c>
      <c r="H337" s="230">
        <f t="shared" si="14"/>
        <v>0</v>
      </c>
      <c r="I337" s="230">
        <f t="shared" si="14"/>
        <v>0</v>
      </c>
      <c r="J337" s="230">
        <f t="shared" si="14"/>
        <v>0</v>
      </c>
      <c r="K337" s="230">
        <f t="shared" si="14"/>
        <v>0</v>
      </c>
      <c r="L337" s="230">
        <f t="shared" si="14"/>
        <v>0</v>
      </c>
      <c r="M337" s="230">
        <f>E337-D337</f>
        <v>-1200</v>
      </c>
      <c r="N337" s="231">
        <f>IF(D337=0,0,M337/D337)</f>
        <v>-1</v>
      </c>
      <c r="O337" s="232" t="s">
        <v>147</v>
      </c>
      <c r="P337" s="232"/>
      <c r="Q337" s="232"/>
      <c r="R337" s="232"/>
      <c r="S337" s="233"/>
      <c r="T337" s="233"/>
      <c r="U337" s="233"/>
      <c r="V337" s="233"/>
      <c r="W337" s="233"/>
      <c r="X337" s="233"/>
      <c r="Y337" s="233"/>
      <c r="Z337" s="233"/>
      <c r="AA337" s="233"/>
      <c r="AB337" s="233"/>
      <c r="AC337" s="233"/>
      <c r="AD337" s="233">
        <f>SUM(AD338)</f>
        <v>0</v>
      </c>
      <c r="AE337" s="234" t="s">
        <v>25</v>
      </c>
      <c r="AF337" s="1"/>
    </row>
    <row r="338" spans="1:32" s="11" customFormat="1" ht="21" customHeight="1">
      <c r="A338" s="46"/>
      <c r="B338" s="47" t="s">
        <v>147</v>
      </c>
      <c r="C338" s="47" t="s">
        <v>147</v>
      </c>
      <c r="D338" s="210">
        <v>1200</v>
      </c>
      <c r="E338" s="121">
        <f>AD338/1000</f>
        <v>0</v>
      </c>
      <c r="F338" s="121">
        <v>0</v>
      </c>
      <c r="G338" s="121">
        <v>0</v>
      </c>
      <c r="H338" s="121">
        <v>0</v>
      </c>
      <c r="I338" s="121">
        <v>0</v>
      </c>
      <c r="J338" s="121">
        <v>0</v>
      </c>
      <c r="K338" s="121">
        <v>0</v>
      </c>
      <c r="L338" s="121">
        <v>0</v>
      </c>
      <c r="M338" s="121">
        <f>E338-D338</f>
        <v>-1200</v>
      </c>
      <c r="N338" s="72">
        <f>IF(D338=0,0,M338/D338)</f>
        <v>-1</v>
      </c>
      <c r="O338" s="129" t="s">
        <v>148</v>
      </c>
      <c r="P338" s="33"/>
      <c r="Q338" s="33"/>
      <c r="R338" s="33"/>
      <c r="S338" s="33"/>
      <c r="T338" s="34"/>
      <c r="U338" s="34"/>
      <c r="V338" s="34"/>
      <c r="W338" s="34"/>
      <c r="X338" s="34"/>
      <c r="Y338" s="233" t="s">
        <v>285</v>
      </c>
      <c r="Z338" s="110"/>
      <c r="AA338" s="110"/>
      <c r="AB338" s="110"/>
      <c r="AC338" s="131"/>
      <c r="AD338" s="131">
        <f>AD339</f>
        <v>0</v>
      </c>
      <c r="AE338" s="132" t="s">
        <v>25</v>
      </c>
      <c r="AF338" s="1"/>
    </row>
    <row r="339" spans="1:32" s="11" customFormat="1" ht="21" customHeight="1">
      <c r="A339" s="46"/>
      <c r="B339" s="47"/>
      <c r="C339" s="47"/>
      <c r="D339" s="210"/>
      <c r="E339" s="121"/>
      <c r="F339" s="121"/>
      <c r="G339" s="121"/>
      <c r="H339" s="121"/>
      <c r="I339" s="121"/>
      <c r="J339" s="121"/>
      <c r="K339" s="121"/>
      <c r="L339" s="121"/>
      <c r="M339" s="121"/>
      <c r="N339" s="72"/>
      <c r="O339" s="206" t="s">
        <v>214</v>
      </c>
      <c r="P339" s="51"/>
      <c r="Q339" s="51"/>
      <c r="R339" s="51"/>
      <c r="S339" s="52"/>
      <c r="T339" s="52"/>
      <c r="U339" s="52"/>
      <c r="V339" s="52"/>
      <c r="W339" s="52"/>
      <c r="X339" s="52"/>
      <c r="Y339" s="52"/>
      <c r="Z339" s="52"/>
      <c r="AA339" s="52"/>
      <c r="AB339" s="431" t="s">
        <v>699</v>
      </c>
      <c r="AC339" s="52"/>
      <c r="AD339" s="52">
        <v>0</v>
      </c>
      <c r="AE339" s="59" t="s">
        <v>98</v>
      </c>
      <c r="AF339" s="1"/>
    </row>
    <row r="340" spans="1:32" s="1" customFormat="1" ht="21" customHeight="1" thickBot="1">
      <c r="A340" s="173"/>
      <c r="B340" s="47"/>
      <c r="C340" s="47"/>
      <c r="D340" s="210"/>
      <c r="E340" s="121"/>
      <c r="F340" s="121"/>
      <c r="G340" s="121"/>
      <c r="H340" s="121"/>
      <c r="I340" s="121"/>
      <c r="J340" s="121"/>
      <c r="K340" s="121"/>
      <c r="L340" s="121"/>
      <c r="M340" s="121"/>
      <c r="N340" s="72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176"/>
    </row>
    <row r="341" spans="1:32" s="11" customFormat="1" ht="21" customHeight="1">
      <c r="A341" s="36" t="s">
        <v>21</v>
      </c>
      <c r="B341" s="505" t="s">
        <v>20</v>
      </c>
      <c r="C341" s="506"/>
      <c r="D341" s="268">
        <f>SUM(D342)</f>
        <v>250</v>
      </c>
      <c r="E341" s="268">
        <f>SUM(E342)</f>
        <v>250</v>
      </c>
      <c r="F341" s="268">
        <f t="shared" ref="F341:L341" si="15">SUM(F342)</f>
        <v>155</v>
      </c>
      <c r="G341" s="268">
        <f t="shared" si="15"/>
        <v>25</v>
      </c>
      <c r="H341" s="268">
        <f t="shared" si="15"/>
        <v>5</v>
      </c>
      <c r="I341" s="268">
        <f t="shared" si="15"/>
        <v>30</v>
      </c>
      <c r="J341" s="268">
        <f t="shared" si="15"/>
        <v>20</v>
      </c>
      <c r="K341" s="268">
        <f t="shared" si="15"/>
        <v>5</v>
      </c>
      <c r="L341" s="268">
        <f t="shared" si="15"/>
        <v>10</v>
      </c>
      <c r="M341" s="268">
        <f>E341-D341</f>
        <v>0</v>
      </c>
      <c r="N341" s="269">
        <f>IF(D341=0,0,M341/D341)</f>
        <v>0</v>
      </c>
      <c r="O341" s="222" t="s">
        <v>21</v>
      </c>
      <c r="P341" s="223"/>
      <c r="Q341" s="223"/>
      <c r="R341" s="223"/>
      <c r="S341" s="224"/>
      <c r="T341" s="224"/>
      <c r="U341" s="224"/>
      <c r="V341" s="224"/>
      <c r="W341" s="224"/>
      <c r="X341" s="224"/>
      <c r="Y341" s="224"/>
      <c r="Z341" s="224"/>
      <c r="AA341" s="224"/>
      <c r="AB341" s="224"/>
      <c r="AC341" s="224"/>
      <c r="AD341" s="224">
        <f>AD342</f>
        <v>250000</v>
      </c>
      <c r="AE341" s="225" t="s">
        <v>25</v>
      </c>
      <c r="AF341" s="1"/>
    </row>
    <row r="342" spans="1:32" s="11" customFormat="1" ht="21" customHeight="1">
      <c r="A342" s="46"/>
      <c r="B342" s="47" t="s">
        <v>21</v>
      </c>
      <c r="C342" s="47" t="s">
        <v>21</v>
      </c>
      <c r="D342" s="121">
        <v>250</v>
      </c>
      <c r="E342" s="121">
        <f>SUM(F342:L342)</f>
        <v>250</v>
      </c>
      <c r="F342" s="121">
        <f>(AD343+AD344)/1000</f>
        <v>155</v>
      </c>
      <c r="G342" s="121">
        <f>SUM(AD346:AD347)/1000</f>
        <v>25</v>
      </c>
      <c r="H342" s="121">
        <f>AD345/1000</f>
        <v>5</v>
      </c>
      <c r="I342" s="121">
        <f>AD349/1000</f>
        <v>30</v>
      </c>
      <c r="J342" s="121">
        <f>AD348/1000</f>
        <v>20</v>
      </c>
      <c r="K342" s="121">
        <f>AD350/1000</f>
        <v>5</v>
      </c>
      <c r="L342" s="121">
        <f>AD351/1000</f>
        <v>10</v>
      </c>
      <c r="M342" s="121">
        <f>E342-D342</f>
        <v>0</v>
      </c>
      <c r="N342" s="72">
        <f>IF(D342=0,0,M342/D342)</f>
        <v>0</v>
      </c>
      <c r="O342" s="129" t="s">
        <v>52</v>
      </c>
      <c r="P342" s="33"/>
      <c r="Q342" s="33"/>
      <c r="R342" s="33"/>
      <c r="S342" s="33"/>
      <c r="T342" s="34"/>
      <c r="U342" s="34"/>
      <c r="V342" s="34"/>
      <c r="W342" s="34"/>
      <c r="X342" s="34"/>
      <c r="Y342" s="233" t="s">
        <v>285</v>
      </c>
      <c r="Z342" s="110"/>
      <c r="AA342" s="110"/>
      <c r="AB342" s="110"/>
      <c r="AC342" s="131"/>
      <c r="AD342" s="131">
        <f>SUM(AD343:AD351)</f>
        <v>250000</v>
      </c>
      <c r="AE342" s="132" t="s">
        <v>25</v>
      </c>
      <c r="AF342" s="1"/>
    </row>
    <row r="343" spans="1:32" s="11" customFormat="1" ht="21" customHeight="1">
      <c r="A343" s="46"/>
      <c r="B343" s="47"/>
      <c r="C343" s="47"/>
      <c r="D343" s="210"/>
      <c r="E343" s="121"/>
      <c r="F343" s="121"/>
      <c r="G343" s="121"/>
      <c r="H343" s="121"/>
      <c r="I343" s="121"/>
      <c r="J343" s="121"/>
      <c r="K343" s="121"/>
      <c r="L343" s="121"/>
      <c r="M343" s="121"/>
      <c r="N343" s="72"/>
      <c r="O343" s="423" t="s">
        <v>667</v>
      </c>
      <c r="P343" s="179"/>
      <c r="Q343" s="179"/>
      <c r="R343" s="179"/>
      <c r="S343" s="179"/>
      <c r="T343" s="178"/>
      <c r="U343" s="178"/>
      <c r="V343" s="178"/>
      <c r="W343" s="178"/>
      <c r="X343" s="178"/>
      <c r="Y343" s="178"/>
      <c r="Z343" s="178"/>
      <c r="AA343" s="178"/>
      <c r="AB343" s="178"/>
      <c r="AC343" s="70"/>
      <c r="AD343" s="70">
        <v>150000</v>
      </c>
      <c r="AE343" s="59" t="s">
        <v>69</v>
      </c>
      <c r="AF343" s="2"/>
    </row>
    <row r="344" spans="1:32" s="11" customFormat="1" ht="21" customHeight="1">
      <c r="A344" s="46"/>
      <c r="B344" s="47"/>
      <c r="C344" s="47"/>
      <c r="D344" s="210"/>
      <c r="E344" s="121"/>
      <c r="F344" s="121"/>
      <c r="G344" s="121"/>
      <c r="H344" s="121"/>
      <c r="I344" s="121"/>
      <c r="J344" s="121"/>
      <c r="K344" s="121"/>
      <c r="L344" s="121"/>
      <c r="M344" s="121"/>
      <c r="N344" s="72"/>
      <c r="O344" s="423" t="s">
        <v>668</v>
      </c>
      <c r="P344" s="423"/>
      <c r="Q344" s="423"/>
      <c r="R344" s="423"/>
      <c r="S344" s="423"/>
      <c r="T344" s="422"/>
      <c r="U344" s="422"/>
      <c r="V344" s="422"/>
      <c r="W344" s="422"/>
      <c r="X344" s="422"/>
      <c r="Y344" s="422"/>
      <c r="Z344" s="422"/>
      <c r="AA344" s="422"/>
      <c r="AB344" s="422"/>
      <c r="AC344" s="70"/>
      <c r="AD344" s="70">
        <v>5000</v>
      </c>
      <c r="AE344" s="59" t="s">
        <v>643</v>
      </c>
      <c r="AF344" s="2"/>
    </row>
    <row r="345" spans="1:32" s="11" customFormat="1" ht="21" customHeight="1">
      <c r="A345" s="46"/>
      <c r="B345" s="47"/>
      <c r="C345" s="47"/>
      <c r="D345" s="210"/>
      <c r="E345" s="121"/>
      <c r="F345" s="121"/>
      <c r="G345" s="121"/>
      <c r="H345" s="121"/>
      <c r="I345" s="121"/>
      <c r="J345" s="121"/>
      <c r="K345" s="121"/>
      <c r="L345" s="121"/>
      <c r="M345" s="121"/>
      <c r="N345" s="72"/>
      <c r="O345" s="423" t="s">
        <v>669</v>
      </c>
      <c r="P345" s="423"/>
      <c r="Q345" s="423"/>
      <c r="R345" s="423"/>
      <c r="S345" s="423"/>
      <c r="T345" s="422"/>
      <c r="U345" s="422"/>
      <c r="V345" s="422"/>
      <c r="W345" s="422"/>
      <c r="X345" s="422"/>
      <c r="Y345" s="422"/>
      <c r="Z345" s="422"/>
      <c r="AA345" s="422"/>
      <c r="AB345" s="422"/>
      <c r="AC345" s="70"/>
      <c r="AD345" s="70">
        <v>5000</v>
      </c>
      <c r="AE345" s="59" t="s">
        <v>643</v>
      </c>
      <c r="AF345" s="2"/>
    </row>
    <row r="346" spans="1:32" s="11" customFormat="1" ht="21" customHeight="1">
      <c r="A346" s="46"/>
      <c r="B346" s="47"/>
      <c r="C346" s="47"/>
      <c r="D346" s="210"/>
      <c r="E346" s="121"/>
      <c r="F346" s="121"/>
      <c r="G346" s="121"/>
      <c r="H346" s="121"/>
      <c r="I346" s="121"/>
      <c r="J346" s="121"/>
      <c r="K346" s="121"/>
      <c r="L346" s="121"/>
      <c r="M346" s="121"/>
      <c r="N346" s="72"/>
      <c r="O346" s="423" t="s">
        <v>670</v>
      </c>
      <c r="P346" s="423"/>
      <c r="Q346" s="423"/>
      <c r="R346" s="423"/>
      <c r="S346" s="423"/>
      <c r="T346" s="422"/>
      <c r="U346" s="422"/>
      <c r="V346" s="422"/>
      <c r="W346" s="422"/>
      <c r="X346" s="422"/>
      <c r="Y346" s="422"/>
      <c r="Z346" s="422"/>
      <c r="AA346" s="422"/>
      <c r="AB346" s="422"/>
      <c r="AC346" s="70"/>
      <c r="AD346" s="70">
        <v>25000</v>
      </c>
      <c r="AE346" s="59" t="s">
        <v>643</v>
      </c>
      <c r="AF346" s="2"/>
    </row>
    <row r="347" spans="1:32" s="11" customFormat="1" ht="21" customHeight="1">
      <c r="A347" s="46"/>
      <c r="B347" s="47"/>
      <c r="C347" s="47"/>
      <c r="D347" s="210"/>
      <c r="E347" s="121"/>
      <c r="F347" s="121"/>
      <c r="G347" s="121"/>
      <c r="H347" s="121"/>
      <c r="I347" s="121"/>
      <c r="J347" s="121"/>
      <c r="K347" s="121"/>
      <c r="L347" s="121"/>
      <c r="M347" s="121"/>
      <c r="N347" s="72"/>
      <c r="O347" s="423" t="s">
        <v>671</v>
      </c>
      <c r="P347" s="423"/>
      <c r="Q347" s="423"/>
      <c r="R347" s="423"/>
      <c r="S347" s="423"/>
      <c r="T347" s="422"/>
      <c r="U347" s="422"/>
      <c r="V347" s="422"/>
      <c r="W347" s="422"/>
      <c r="X347" s="422"/>
      <c r="Y347" s="422"/>
      <c r="Z347" s="422"/>
      <c r="AA347" s="422"/>
      <c r="AB347" s="422"/>
      <c r="AC347" s="70"/>
      <c r="AD347" s="70">
        <v>0</v>
      </c>
      <c r="AE347" s="59" t="s">
        <v>643</v>
      </c>
      <c r="AF347" s="2"/>
    </row>
    <row r="348" spans="1:32" s="11" customFormat="1" ht="21" customHeight="1">
      <c r="A348" s="46"/>
      <c r="B348" s="47"/>
      <c r="C348" s="47"/>
      <c r="D348" s="210"/>
      <c r="E348" s="121"/>
      <c r="F348" s="121"/>
      <c r="G348" s="121"/>
      <c r="H348" s="121"/>
      <c r="I348" s="121"/>
      <c r="J348" s="121"/>
      <c r="K348" s="121"/>
      <c r="L348" s="121"/>
      <c r="M348" s="121"/>
      <c r="N348" s="72"/>
      <c r="O348" s="423" t="s">
        <v>672</v>
      </c>
      <c r="P348" s="423"/>
      <c r="Q348" s="423"/>
      <c r="R348" s="423"/>
      <c r="S348" s="423"/>
      <c r="T348" s="422"/>
      <c r="U348" s="422"/>
      <c r="V348" s="422"/>
      <c r="W348" s="422"/>
      <c r="X348" s="422"/>
      <c r="Y348" s="422"/>
      <c r="Z348" s="422"/>
      <c r="AA348" s="422"/>
      <c r="AB348" s="422"/>
      <c r="AC348" s="70"/>
      <c r="AD348" s="70">
        <v>20000</v>
      </c>
      <c r="AE348" s="59" t="s">
        <v>643</v>
      </c>
      <c r="AF348" s="2"/>
    </row>
    <row r="349" spans="1:32" s="11" customFormat="1" ht="21" customHeight="1">
      <c r="A349" s="46"/>
      <c r="B349" s="47"/>
      <c r="C349" s="47"/>
      <c r="D349" s="210"/>
      <c r="E349" s="121"/>
      <c r="F349" s="121"/>
      <c r="G349" s="121"/>
      <c r="H349" s="121"/>
      <c r="I349" s="121"/>
      <c r="J349" s="121"/>
      <c r="K349" s="121"/>
      <c r="L349" s="121"/>
      <c r="M349" s="121"/>
      <c r="N349" s="72"/>
      <c r="O349" s="423" t="s">
        <v>673</v>
      </c>
      <c r="P349" s="423"/>
      <c r="Q349" s="423"/>
      <c r="R349" s="423"/>
      <c r="S349" s="423"/>
      <c r="T349" s="422"/>
      <c r="U349" s="422"/>
      <c r="V349" s="422"/>
      <c r="W349" s="422"/>
      <c r="X349" s="422"/>
      <c r="Y349" s="422"/>
      <c r="Z349" s="422"/>
      <c r="AA349" s="422"/>
      <c r="AB349" s="422"/>
      <c r="AC349" s="70"/>
      <c r="AD349" s="70">
        <v>30000</v>
      </c>
      <c r="AE349" s="59" t="s">
        <v>643</v>
      </c>
      <c r="AF349" s="2"/>
    </row>
    <row r="350" spans="1:32" s="11" customFormat="1" ht="21" customHeight="1">
      <c r="A350" s="46"/>
      <c r="B350" s="47"/>
      <c r="C350" s="47"/>
      <c r="D350" s="210"/>
      <c r="E350" s="121"/>
      <c r="F350" s="121"/>
      <c r="G350" s="121"/>
      <c r="H350" s="121"/>
      <c r="I350" s="121"/>
      <c r="J350" s="121"/>
      <c r="K350" s="121"/>
      <c r="L350" s="121"/>
      <c r="M350" s="121"/>
      <c r="N350" s="72"/>
      <c r="O350" s="423" t="s">
        <v>674</v>
      </c>
      <c r="P350" s="423"/>
      <c r="Q350" s="423"/>
      <c r="R350" s="423"/>
      <c r="S350" s="423"/>
      <c r="T350" s="422"/>
      <c r="U350" s="422"/>
      <c r="V350" s="422"/>
      <c r="W350" s="422"/>
      <c r="X350" s="422"/>
      <c r="Y350" s="422"/>
      <c r="Z350" s="422"/>
      <c r="AA350" s="422"/>
      <c r="AB350" s="422"/>
      <c r="AC350" s="70"/>
      <c r="AD350" s="70">
        <v>5000</v>
      </c>
      <c r="AE350" s="59" t="s">
        <v>643</v>
      </c>
      <c r="AF350" s="2"/>
    </row>
    <row r="351" spans="1:32" s="11" customFormat="1" ht="21" customHeight="1">
      <c r="A351" s="46"/>
      <c r="B351" s="47"/>
      <c r="C351" s="47"/>
      <c r="D351" s="210"/>
      <c r="E351" s="121"/>
      <c r="F351" s="121"/>
      <c r="G351" s="121"/>
      <c r="H351" s="121"/>
      <c r="I351" s="121"/>
      <c r="J351" s="121"/>
      <c r="K351" s="121"/>
      <c r="L351" s="121"/>
      <c r="M351" s="121"/>
      <c r="N351" s="72"/>
      <c r="O351" s="423" t="s">
        <v>675</v>
      </c>
      <c r="P351" s="179"/>
      <c r="Q351" s="179"/>
      <c r="R351" s="179"/>
      <c r="S351" s="179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70"/>
      <c r="AD351" s="70">
        <v>10000</v>
      </c>
      <c r="AE351" s="59" t="s">
        <v>69</v>
      </c>
      <c r="AF351" s="2"/>
    </row>
    <row r="352" spans="1:32" s="1" customFormat="1" ht="21" customHeight="1" thickBot="1">
      <c r="A352" s="173"/>
      <c r="B352" s="113"/>
      <c r="C352" s="113"/>
      <c r="D352" s="215"/>
      <c r="E352" s="174"/>
      <c r="F352" s="174"/>
      <c r="G352" s="174"/>
      <c r="H352" s="174"/>
      <c r="I352" s="174"/>
      <c r="J352" s="174"/>
      <c r="K352" s="174"/>
      <c r="L352" s="174"/>
      <c r="M352" s="174"/>
      <c r="N352" s="175"/>
      <c r="O352" s="66"/>
      <c r="P352" s="66"/>
      <c r="Q352" s="66"/>
      <c r="R352" s="66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8"/>
    </row>
  </sheetData>
  <mergeCells count="21">
    <mergeCell ref="O2:AE3"/>
    <mergeCell ref="O36:P36"/>
    <mergeCell ref="A1:D1"/>
    <mergeCell ref="V130:W130"/>
    <mergeCell ref="V162:W162"/>
    <mergeCell ref="V111:W111"/>
    <mergeCell ref="O150:S150"/>
    <mergeCell ref="V118:W118"/>
    <mergeCell ref="B5:C5"/>
    <mergeCell ref="A4:C4"/>
    <mergeCell ref="M2:N2"/>
    <mergeCell ref="A2:C2"/>
    <mergeCell ref="D2:D3"/>
    <mergeCell ref="E2:L2"/>
    <mergeCell ref="O37:P37"/>
    <mergeCell ref="O40:P40"/>
    <mergeCell ref="B341:C341"/>
    <mergeCell ref="B337:C337"/>
    <mergeCell ref="B323:C323"/>
    <mergeCell ref="B203:C203"/>
    <mergeCell ref="B182:C182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E15" sqref="E15"/>
    </sheetView>
  </sheetViews>
  <sheetFormatPr defaultRowHeight="16.5"/>
  <cols>
    <col min="1" max="1" width="1.44140625" style="297" customWidth="1"/>
    <col min="2" max="2" width="11.5546875" style="297" bestFit="1" customWidth="1"/>
    <col min="3" max="3" width="13.33203125" style="297" bestFit="1" customWidth="1"/>
    <col min="4" max="5" width="15.44140625" style="297" bestFit="1" customWidth="1"/>
    <col min="6" max="6" width="14.21875" style="297" bestFit="1" customWidth="1"/>
    <col min="7" max="7" width="39.44140625" style="297" bestFit="1" customWidth="1"/>
    <col min="8" max="8" width="9.6640625" style="297" customWidth="1"/>
    <col min="9" max="9" width="13.33203125" style="297" customWidth="1"/>
    <col min="10" max="11" width="15.44140625" style="297" customWidth="1"/>
    <col min="12" max="12" width="14.21875" style="297" customWidth="1"/>
    <col min="13" max="13" width="45.33203125" style="297" customWidth="1"/>
    <col min="14" max="16384" width="8.88671875" style="297"/>
  </cols>
  <sheetData>
    <row r="1" spans="2:13" ht="9.9499999999999993" customHeight="1"/>
    <row r="2" spans="2:13" ht="26.25">
      <c r="B2" s="280" t="s">
        <v>722</v>
      </c>
      <c r="M2" s="298" t="s">
        <v>402</v>
      </c>
    </row>
    <row r="3" spans="2:13" ht="9.9499999999999993" customHeight="1" thickBot="1"/>
    <row r="4" spans="2:13" ht="30" customHeight="1">
      <c r="B4" s="552" t="s">
        <v>403</v>
      </c>
      <c r="C4" s="553"/>
      <c r="D4" s="553"/>
      <c r="E4" s="553"/>
      <c r="F4" s="554"/>
      <c r="G4" s="555"/>
      <c r="H4" s="552" t="s">
        <v>404</v>
      </c>
      <c r="I4" s="553"/>
      <c r="J4" s="553"/>
      <c r="K4" s="553"/>
      <c r="L4" s="554"/>
      <c r="M4" s="555"/>
    </row>
    <row r="5" spans="2:13" ht="16.5" customHeight="1">
      <c r="B5" s="464" t="s">
        <v>393</v>
      </c>
      <c r="C5" s="465"/>
      <c r="D5" s="468" t="s">
        <v>718</v>
      </c>
      <c r="E5" s="468" t="s">
        <v>719</v>
      </c>
      <c r="F5" s="546" t="s">
        <v>405</v>
      </c>
      <c r="G5" s="548" t="s">
        <v>406</v>
      </c>
      <c r="H5" s="556" t="s">
        <v>393</v>
      </c>
      <c r="I5" s="557"/>
      <c r="J5" s="468" t="s">
        <v>718</v>
      </c>
      <c r="K5" s="468" t="s">
        <v>719</v>
      </c>
      <c r="L5" s="546" t="s">
        <v>689</v>
      </c>
      <c r="M5" s="548" t="s">
        <v>406</v>
      </c>
    </row>
    <row r="6" spans="2:13" ht="22.5" customHeight="1" thickBot="1">
      <c r="B6" s="466"/>
      <c r="C6" s="467"/>
      <c r="D6" s="469"/>
      <c r="E6" s="469"/>
      <c r="F6" s="547"/>
      <c r="G6" s="549"/>
      <c r="H6" s="558"/>
      <c r="I6" s="559"/>
      <c r="J6" s="469"/>
      <c r="K6" s="469"/>
      <c r="L6" s="547"/>
      <c r="M6" s="549"/>
    </row>
    <row r="7" spans="2:13" ht="36" customHeight="1" thickTop="1">
      <c r="B7" s="476" t="s">
        <v>395</v>
      </c>
      <c r="C7" s="483"/>
      <c r="D7" s="282">
        <f t="shared" ref="D7:E7" si="0">SUM(D8:D16)</f>
        <v>1664373000</v>
      </c>
      <c r="E7" s="282">
        <f t="shared" si="0"/>
        <v>1787572000</v>
      </c>
      <c r="F7" s="299">
        <f t="shared" ref="F7" si="1">SUM(F8:F16)</f>
        <v>123199000</v>
      </c>
      <c r="G7" s="300"/>
      <c r="H7" s="550" t="s">
        <v>395</v>
      </c>
      <c r="I7" s="551"/>
      <c r="J7" s="282">
        <f t="shared" ref="J7:K7" si="2">SUM(J8:J22)</f>
        <v>1664373000</v>
      </c>
      <c r="K7" s="282">
        <f t="shared" si="2"/>
        <v>1787572000</v>
      </c>
      <c r="L7" s="299">
        <f>SUM(L8:L22)</f>
        <v>123199000</v>
      </c>
      <c r="M7" s="300"/>
    </row>
    <row r="8" spans="2:13" ht="24.95" customHeight="1">
      <c r="B8" s="446" t="s">
        <v>396</v>
      </c>
      <c r="C8" s="286" t="s">
        <v>397</v>
      </c>
      <c r="D8" s="287">
        <v>63000000</v>
      </c>
      <c r="E8" s="287">
        <v>90000000</v>
      </c>
      <c r="F8" s="301">
        <f>E8-D8</f>
        <v>27000000</v>
      </c>
      <c r="G8" s="303" t="s">
        <v>724</v>
      </c>
      <c r="H8" s="474" t="s">
        <v>398</v>
      </c>
      <c r="I8" s="286" t="s">
        <v>399</v>
      </c>
      <c r="J8" s="287">
        <v>1260360000</v>
      </c>
      <c r="K8" s="287">
        <v>1363738000</v>
      </c>
      <c r="L8" s="302">
        <f>K8-J8</f>
        <v>103378000</v>
      </c>
      <c r="M8" s="303" t="s">
        <v>726</v>
      </c>
    </row>
    <row r="9" spans="2:13" ht="33.75" customHeight="1">
      <c r="B9" s="484" t="s">
        <v>400</v>
      </c>
      <c r="C9" s="436" t="s">
        <v>686</v>
      </c>
      <c r="D9" s="287">
        <v>56633000</v>
      </c>
      <c r="E9" s="287">
        <v>45309000</v>
      </c>
      <c r="F9" s="301">
        <f t="shared" ref="F9:F16" si="3">E9-D9</f>
        <v>-11324000</v>
      </c>
      <c r="G9" s="303" t="s">
        <v>729</v>
      </c>
      <c r="H9" s="475"/>
      <c r="I9" s="286" t="s">
        <v>401</v>
      </c>
      <c r="J9" s="287">
        <v>2550000</v>
      </c>
      <c r="K9" s="287">
        <v>2950000</v>
      </c>
      <c r="L9" s="302">
        <f t="shared" ref="L9:L21" si="4">K9-J9</f>
        <v>400000</v>
      </c>
      <c r="M9" s="303" t="s">
        <v>781</v>
      </c>
    </row>
    <row r="10" spans="2:13" ht="40.5" customHeight="1">
      <c r="B10" s="484"/>
      <c r="C10" s="436" t="s">
        <v>687</v>
      </c>
      <c r="D10" s="287">
        <v>827112000</v>
      </c>
      <c r="E10" s="287">
        <v>737535000</v>
      </c>
      <c r="F10" s="301">
        <f t="shared" si="3"/>
        <v>-89577000</v>
      </c>
      <c r="G10" s="459" t="s">
        <v>776</v>
      </c>
      <c r="H10" s="476"/>
      <c r="I10" s="286" t="s">
        <v>187</v>
      </c>
      <c r="J10" s="287">
        <v>76377000</v>
      </c>
      <c r="K10" s="287">
        <v>95911000</v>
      </c>
      <c r="L10" s="302">
        <f t="shared" si="4"/>
        <v>19534000</v>
      </c>
      <c r="M10" s="305" t="s">
        <v>782</v>
      </c>
    </row>
    <row r="11" spans="2:13" ht="29.25" customHeight="1">
      <c r="B11" s="484"/>
      <c r="C11" s="436" t="s">
        <v>688</v>
      </c>
      <c r="D11" s="287">
        <v>524859000</v>
      </c>
      <c r="E11" s="287">
        <v>713549000</v>
      </c>
      <c r="F11" s="301">
        <f t="shared" si="3"/>
        <v>188690000</v>
      </c>
      <c r="G11" s="459" t="s">
        <v>777</v>
      </c>
      <c r="H11" s="474" t="s">
        <v>188</v>
      </c>
      <c r="I11" s="286" t="s">
        <v>189</v>
      </c>
      <c r="J11" s="287">
        <v>0</v>
      </c>
      <c r="K11" s="287">
        <v>0</v>
      </c>
      <c r="L11" s="302">
        <f t="shared" si="4"/>
        <v>0</v>
      </c>
      <c r="M11" s="305"/>
    </row>
    <row r="12" spans="2:13" ht="38.25" customHeight="1">
      <c r="B12" s="484" t="s">
        <v>190</v>
      </c>
      <c r="C12" s="286" t="s">
        <v>191</v>
      </c>
      <c r="D12" s="287">
        <v>9912000</v>
      </c>
      <c r="E12" s="287">
        <v>30600000</v>
      </c>
      <c r="F12" s="301">
        <f t="shared" si="3"/>
        <v>20688000</v>
      </c>
      <c r="G12" s="459" t="s">
        <v>725</v>
      </c>
      <c r="H12" s="475"/>
      <c r="I12" s="286" t="s">
        <v>192</v>
      </c>
      <c r="J12" s="287">
        <v>2540000</v>
      </c>
      <c r="K12" s="287">
        <v>22000000</v>
      </c>
      <c r="L12" s="302">
        <f t="shared" si="4"/>
        <v>19460000</v>
      </c>
      <c r="M12" s="305" t="s">
        <v>728</v>
      </c>
    </row>
    <row r="13" spans="2:13" ht="33" customHeight="1">
      <c r="B13" s="484"/>
      <c r="C13" s="286" t="s">
        <v>193</v>
      </c>
      <c r="D13" s="287">
        <v>60000000</v>
      </c>
      <c r="E13" s="287">
        <v>60000000</v>
      </c>
      <c r="F13" s="301">
        <f t="shared" si="3"/>
        <v>0</v>
      </c>
      <c r="G13" s="303"/>
      <c r="H13" s="476"/>
      <c r="I13" s="286" t="s">
        <v>194</v>
      </c>
      <c r="J13" s="287">
        <v>25960000</v>
      </c>
      <c r="K13" s="287">
        <v>20812000</v>
      </c>
      <c r="L13" s="302">
        <f t="shared" si="4"/>
        <v>-5148000</v>
      </c>
      <c r="M13" s="305" t="s">
        <v>727</v>
      </c>
    </row>
    <row r="14" spans="2:13" ht="36" customHeight="1">
      <c r="B14" s="446" t="s">
        <v>195</v>
      </c>
      <c r="C14" s="286" t="s">
        <v>196</v>
      </c>
      <c r="D14" s="287">
        <v>40925000</v>
      </c>
      <c r="E14" s="287">
        <v>31515000</v>
      </c>
      <c r="F14" s="301">
        <f t="shared" si="3"/>
        <v>-9410000</v>
      </c>
      <c r="G14" s="459" t="s">
        <v>778</v>
      </c>
      <c r="H14" s="474" t="s">
        <v>197</v>
      </c>
      <c r="I14" s="286" t="s">
        <v>198</v>
      </c>
      <c r="J14" s="287">
        <v>142425000</v>
      </c>
      <c r="K14" s="287">
        <v>129927000</v>
      </c>
      <c r="L14" s="302">
        <f t="shared" si="4"/>
        <v>-12498000</v>
      </c>
      <c r="M14" s="304" t="s">
        <v>723</v>
      </c>
    </row>
    <row r="15" spans="2:13" ht="39.75" customHeight="1">
      <c r="B15" s="446" t="s">
        <v>199</v>
      </c>
      <c r="C15" s="286" t="s">
        <v>200</v>
      </c>
      <c r="D15" s="287">
        <v>50482000</v>
      </c>
      <c r="E15" s="287">
        <v>48814000</v>
      </c>
      <c r="F15" s="301">
        <f t="shared" si="3"/>
        <v>-1668000</v>
      </c>
      <c r="G15" s="459" t="s">
        <v>779</v>
      </c>
      <c r="H15" s="475"/>
      <c r="I15" s="286" t="s">
        <v>201</v>
      </c>
      <c r="J15" s="287">
        <v>7304000</v>
      </c>
      <c r="K15" s="287">
        <v>6300000</v>
      </c>
      <c r="L15" s="302">
        <f t="shared" si="4"/>
        <v>-1004000</v>
      </c>
      <c r="M15" s="305" t="s">
        <v>730</v>
      </c>
    </row>
    <row r="16" spans="2:13" ht="24.95" customHeight="1">
      <c r="B16" s="446" t="s">
        <v>202</v>
      </c>
      <c r="C16" s="286" t="s">
        <v>203</v>
      </c>
      <c r="D16" s="287">
        <v>31450000</v>
      </c>
      <c r="E16" s="287">
        <v>30250000</v>
      </c>
      <c r="F16" s="301">
        <f t="shared" si="3"/>
        <v>-1200000</v>
      </c>
      <c r="G16" s="303" t="s">
        <v>780</v>
      </c>
      <c r="H16" s="475"/>
      <c r="I16" s="286" t="s">
        <v>204</v>
      </c>
      <c r="J16" s="287">
        <v>14040000</v>
      </c>
      <c r="K16" s="287">
        <v>14040000</v>
      </c>
      <c r="L16" s="302">
        <f t="shared" si="4"/>
        <v>0</v>
      </c>
      <c r="M16" s="304"/>
    </row>
    <row r="17" spans="2:13" ht="24.95" customHeight="1">
      <c r="B17" s="537"/>
      <c r="C17" s="538"/>
      <c r="D17" s="538"/>
      <c r="E17" s="538"/>
      <c r="F17" s="538"/>
      <c r="G17" s="539"/>
      <c r="H17" s="475"/>
      <c r="I17" s="286" t="s">
        <v>205</v>
      </c>
      <c r="J17" s="287">
        <v>6641000</v>
      </c>
      <c r="K17" s="287">
        <v>11366000</v>
      </c>
      <c r="L17" s="302">
        <f t="shared" si="4"/>
        <v>4725000</v>
      </c>
      <c r="M17" s="304" t="s">
        <v>783</v>
      </c>
    </row>
    <row r="18" spans="2:13" ht="24.95" customHeight="1">
      <c r="B18" s="540"/>
      <c r="C18" s="541"/>
      <c r="D18" s="541"/>
      <c r="E18" s="541"/>
      <c r="F18" s="541"/>
      <c r="G18" s="542"/>
      <c r="H18" s="475"/>
      <c r="I18" s="286" t="s">
        <v>206</v>
      </c>
      <c r="J18" s="287">
        <v>23050000</v>
      </c>
      <c r="K18" s="287">
        <v>23052000</v>
      </c>
      <c r="L18" s="302">
        <f t="shared" si="4"/>
        <v>2000</v>
      </c>
      <c r="M18" s="304"/>
    </row>
    <row r="19" spans="2:13" ht="42" customHeight="1">
      <c r="B19" s="540"/>
      <c r="C19" s="541"/>
      <c r="D19" s="541"/>
      <c r="E19" s="541"/>
      <c r="F19" s="541"/>
      <c r="G19" s="542"/>
      <c r="H19" s="476"/>
      <c r="I19" s="286" t="s">
        <v>207</v>
      </c>
      <c r="J19" s="287">
        <v>87125000</v>
      </c>
      <c r="K19" s="287">
        <v>89115000</v>
      </c>
      <c r="L19" s="302">
        <f t="shared" si="4"/>
        <v>1990000</v>
      </c>
      <c r="M19" s="305" t="s">
        <v>731</v>
      </c>
    </row>
    <row r="20" spans="2:13" ht="24.95" customHeight="1">
      <c r="B20" s="540"/>
      <c r="C20" s="541"/>
      <c r="D20" s="541"/>
      <c r="E20" s="541"/>
      <c r="F20" s="541"/>
      <c r="G20" s="542"/>
      <c r="H20" s="290" t="s">
        <v>335</v>
      </c>
      <c r="I20" s="286" t="s">
        <v>208</v>
      </c>
      <c r="J20" s="287">
        <v>14551000</v>
      </c>
      <c r="K20" s="287">
        <v>8111000</v>
      </c>
      <c r="L20" s="302">
        <f t="shared" si="4"/>
        <v>-6440000</v>
      </c>
      <c r="M20" s="304"/>
    </row>
    <row r="21" spans="2:13" ht="24.95" customHeight="1">
      <c r="B21" s="540"/>
      <c r="C21" s="541"/>
      <c r="D21" s="541"/>
      <c r="E21" s="541"/>
      <c r="F21" s="541"/>
      <c r="G21" s="542"/>
      <c r="H21" s="426" t="s">
        <v>209</v>
      </c>
      <c r="I21" s="286" t="s">
        <v>210</v>
      </c>
      <c r="J21" s="287">
        <v>1200000</v>
      </c>
      <c r="K21" s="287">
        <v>0</v>
      </c>
      <c r="L21" s="302">
        <f t="shared" si="4"/>
        <v>-1200000</v>
      </c>
      <c r="M21" s="304" t="s">
        <v>784</v>
      </c>
    </row>
    <row r="22" spans="2:13" ht="24.95" customHeight="1" thickBot="1">
      <c r="B22" s="543"/>
      <c r="C22" s="544"/>
      <c r="D22" s="544"/>
      <c r="E22" s="544"/>
      <c r="F22" s="544"/>
      <c r="G22" s="545"/>
      <c r="H22" s="291" t="s">
        <v>211</v>
      </c>
      <c r="I22" s="292" t="s">
        <v>212</v>
      </c>
      <c r="J22" s="293">
        <v>250000</v>
      </c>
      <c r="K22" s="293">
        <v>250000</v>
      </c>
      <c r="L22" s="306">
        <f>K22-J22</f>
        <v>0</v>
      </c>
      <c r="M22" s="307"/>
    </row>
  </sheetData>
  <mergeCells count="20">
    <mergeCell ref="B4:G4"/>
    <mergeCell ref="H4:M4"/>
    <mergeCell ref="B5:C6"/>
    <mergeCell ref="D5:D6"/>
    <mergeCell ref="E5:E6"/>
    <mergeCell ref="F5:F6"/>
    <mergeCell ref="G5:G6"/>
    <mergeCell ref="H5:I6"/>
    <mergeCell ref="J5:J6"/>
    <mergeCell ref="K5:K6"/>
    <mergeCell ref="H14:H19"/>
    <mergeCell ref="B17:G22"/>
    <mergeCell ref="L5:L6"/>
    <mergeCell ref="M5:M6"/>
    <mergeCell ref="B7:C7"/>
    <mergeCell ref="H7:I7"/>
    <mergeCell ref="H8:H10"/>
    <mergeCell ref="B9:B11"/>
    <mergeCell ref="H11:H13"/>
    <mergeCell ref="B12:B13"/>
  </mergeCells>
  <phoneticPr fontId="6" type="noConversion"/>
  <printOptions horizontalCentered="1" verticalCentered="1"/>
  <pageMargins left="0.11811023622047245" right="0.19685039370078741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10</vt:i4>
      </vt:variant>
    </vt:vector>
  </HeadingPairs>
  <TitlesOfParts>
    <vt:vector size="14" baseType="lpstr">
      <vt:lpstr>세입세출총괄표</vt:lpstr>
      <vt:lpstr>세입</vt:lpstr>
      <vt:lpstr>세출</vt:lpstr>
      <vt:lpstr>증감사유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2013-12-09T22:21:36Z</cp:lastPrinted>
  <dcterms:created xsi:type="dcterms:W3CDTF">2003-12-18T04:11:57Z</dcterms:created>
  <dcterms:modified xsi:type="dcterms:W3CDTF">2014-01-07T00:55:56Z</dcterms:modified>
</cp:coreProperties>
</file>