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Area" localSheetId="1">세입!$A$1:$AC$35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E12" i="18"/>
  <c r="K21"/>
  <c r="K20"/>
  <c r="K19"/>
  <c r="K18"/>
  <c r="K17"/>
  <c r="K16"/>
  <c r="K15"/>
  <c r="E15"/>
  <c r="E6" s="1"/>
  <c r="K14"/>
  <c r="E14"/>
  <c r="K13"/>
  <c r="E13"/>
  <c r="K12"/>
  <c r="K11"/>
  <c r="E11"/>
  <c r="K10"/>
  <c r="E10"/>
  <c r="K9"/>
  <c r="E9"/>
  <c r="K8"/>
  <c r="E8"/>
  <c r="K7"/>
  <c r="E7"/>
  <c r="J6"/>
  <c r="I6"/>
  <c r="D6"/>
  <c r="C6"/>
  <c r="K6" l="1"/>
  <c r="L23" i="16" l="1"/>
  <c r="L22"/>
  <c r="L21"/>
  <c r="L20"/>
  <c r="L19"/>
  <c r="L18"/>
  <c r="L17"/>
  <c r="L16"/>
  <c r="G16"/>
  <c r="L15"/>
  <c r="G15"/>
  <c r="L14"/>
  <c r="G14"/>
  <c r="L13"/>
  <c r="G13"/>
  <c r="L12"/>
  <c r="G12"/>
  <c r="L11"/>
  <c r="G11"/>
  <c r="L10"/>
  <c r="G10"/>
  <c r="L9"/>
  <c r="G9"/>
  <c r="L8"/>
  <c r="G8"/>
  <c r="K7"/>
  <c r="J7"/>
  <c r="G7"/>
  <c r="F7"/>
  <c r="E7"/>
  <c r="L7" l="1"/>
  <c r="Q20" i="5"/>
  <c r="AC28"/>
  <c r="I26" s="1"/>
  <c r="H52"/>
  <c r="F52"/>
  <c r="AC52"/>
  <c r="H102"/>
  <c r="AC59"/>
  <c r="H57"/>
  <c r="H95"/>
  <c r="AC126"/>
  <c r="AC116"/>
  <c r="AC117"/>
  <c r="F95"/>
  <c r="AC47"/>
  <c r="F46" s="1"/>
  <c r="AC17"/>
  <c r="AC16"/>
  <c r="Q21"/>
  <c r="N21"/>
  <c r="N20"/>
  <c r="N13"/>
  <c r="N12"/>
  <c r="Q13"/>
  <c r="AC13" s="1"/>
  <c r="Q12"/>
  <c r="D49"/>
  <c r="J38"/>
  <c r="I38"/>
  <c r="H38"/>
  <c r="G38"/>
  <c r="F38"/>
  <c r="D6"/>
  <c r="AC38"/>
  <c r="AB17" i="4"/>
  <c r="D27"/>
  <c r="D8"/>
  <c r="D7" s="1"/>
  <c r="D4" l="1"/>
  <c r="E46" i="5"/>
  <c r="F41"/>
  <c r="AC15"/>
  <c r="E38"/>
  <c r="E95"/>
  <c r="K95" s="1"/>
  <c r="F27" i="4"/>
  <c r="AC142" i="5"/>
  <c r="E142" s="1"/>
  <c r="AC134"/>
  <c r="AC107"/>
  <c r="F106" s="1"/>
  <c r="E106" s="1"/>
  <c r="AC91"/>
  <c r="F90" s="1"/>
  <c r="AC92"/>
  <c r="AC58"/>
  <c r="F57" s="1"/>
  <c r="D76"/>
  <c r="D75" s="1"/>
  <c r="F76"/>
  <c r="F75" s="1"/>
  <c r="AC20"/>
  <c r="D109"/>
  <c r="D89"/>
  <c r="D41"/>
  <c r="D5" s="1"/>
  <c r="H19" i="4"/>
  <c r="G89" i="5"/>
  <c r="I89"/>
  <c r="J89"/>
  <c r="G76"/>
  <c r="G75" s="1"/>
  <c r="H75"/>
  <c r="I76"/>
  <c r="I75" s="1"/>
  <c r="J76"/>
  <c r="J75" s="1"/>
  <c r="G49"/>
  <c r="H49"/>
  <c r="I49"/>
  <c r="J49"/>
  <c r="G41"/>
  <c r="J41"/>
  <c r="H6"/>
  <c r="J6"/>
  <c r="AC129"/>
  <c r="AC124"/>
  <c r="AC123"/>
  <c r="AC120"/>
  <c r="AC115"/>
  <c r="AC114"/>
  <c r="AC113"/>
  <c r="AC100"/>
  <c r="AC72"/>
  <c r="AC70"/>
  <c r="AC64"/>
  <c r="AC65"/>
  <c r="AC66"/>
  <c r="AC63"/>
  <c r="AC62"/>
  <c r="AC50"/>
  <c r="AC46"/>
  <c r="F61" l="1"/>
  <c r="AC112"/>
  <c r="F49"/>
  <c r="AC122"/>
  <c r="AC141"/>
  <c r="D142"/>
  <c r="D141" s="1"/>
  <c r="H90"/>
  <c r="H89" s="1"/>
  <c r="D88"/>
  <c r="AC90"/>
  <c r="J5"/>
  <c r="H5"/>
  <c r="AC24"/>
  <c r="AC21"/>
  <c r="AC19" s="1"/>
  <c r="AC12"/>
  <c r="AC9"/>
  <c r="AC8"/>
  <c r="E90" l="1"/>
  <c r="AC7"/>
  <c r="F7" s="1"/>
  <c r="E7" s="1"/>
  <c r="AC23"/>
  <c r="G10" s="1"/>
  <c r="G6" s="1"/>
  <c r="G5" s="1"/>
  <c r="AC11"/>
  <c r="Q27" l="1"/>
  <c r="AC27" s="1"/>
  <c r="F10"/>
  <c r="AC10"/>
  <c r="F9" i="4"/>
  <c r="F19"/>
  <c r="AB19"/>
  <c r="AB16"/>
  <c r="AB15"/>
  <c r="AB14" l="1"/>
  <c r="Q35" i="5"/>
  <c r="Q36"/>
  <c r="Q33"/>
  <c r="Q32"/>
  <c r="H8" i="4"/>
  <c r="H7" s="1"/>
  <c r="I8"/>
  <c r="I7" s="1"/>
  <c r="J8"/>
  <c r="J7" s="1"/>
  <c r="AB11"/>
  <c r="G9" s="1"/>
  <c r="G8" s="1"/>
  <c r="G7" s="1"/>
  <c r="AC119" i="5"/>
  <c r="I141"/>
  <c r="J141"/>
  <c r="F137"/>
  <c r="G137"/>
  <c r="H137"/>
  <c r="I137"/>
  <c r="J137"/>
  <c r="AC138"/>
  <c r="D138" s="1"/>
  <c r="D137" s="1"/>
  <c r="H133"/>
  <c r="I133"/>
  <c r="J133"/>
  <c r="G133"/>
  <c r="F134"/>
  <c r="F133" s="1"/>
  <c r="D133"/>
  <c r="D4" s="1"/>
  <c r="G109"/>
  <c r="G88" s="1"/>
  <c r="I109"/>
  <c r="I88" s="1"/>
  <c r="J109"/>
  <c r="J88" s="1"/>
  <c r="AC128"/>
  <c r="AC95"/>
  <c r="AC86"/>
  <c r="AC80"/>
  <c r="L77"/>
  <c r="AC77"/>
  <c r="E77" s="1"/>
  <c r="K77" s="1"/>
  <c r="AC69"/>
  <c r="I42"/>
  <c r="I41" s="1"/>
  <c r="J4" l="1"/>
  <c r="G4"/>
  <c r="AB9" i="4"/>
  <c r="AC106" i="5"/>
  <c r="AC84"/>
  <c r="AC76" s="1"/>
  <c r="AC57"/>
  <c r="E57" s="1"/>
  <c r="E9" i="4" l="1"/>
  <c r="AB8"/>
  <c r="AB7" s="1"/>
  <c r="J19"/>
  <c r="AC110" i="5"/>
  <c r="F109" l="1"/>
  <c r="AC99"/>
  <c r="E99" s="1"/>
  <c r="AC109" l="1"/>
  <c r="H110" s="1"/>
  <c r="G27" i="4"/>
  <c r="G4" s="1"/>
  <c r="H27"/>
  <c r="I27"/>
  <c r="E110" i="5" l="1"/>
  <c r="K110" s="1"/>
  <c r="L110" s="1"/>
  <c r="H109"/>
  <c r="H88" s="1"/>
  <c r="H4" s="1"/>
  <c r="E30" i="4"/>
  <c r="K30" s="1"/>
  <c r="L30" s="1"/>
  <c r="E28"/>
  <c r="K28" s="1"/>
  <c r="E25"/>
  <c r="K25" s="1"/>
  <c r="E19"/>
  <c r="AB6"/>
  <c r="AB5" s="1"/>
  <c r="E109" i="5" l="1"/>
  <c r="H5" i="4"/>
  <c r="K19"/>
  <c r="K7" i="5"/>
  <c r="E5" i="4" l="1"/>
  <c r="K5" s="1"/>
  <c r="H4"/>
  <c r="I10" i="5"/>
  <c r="I6" l="1"/>
  <c r="I5" s="1"/>
  <c r="I4" s="1"/>
  <c r="E10"/>
  <c r="AC35"/>
  <c r="AC26" l="1"/>
  <c r="F26"/>
  <c r="E26" s="1"/>
  <c r="AC32"/>
  <c r="AC36"/>
  <c r="AC133"/>
  <c r="AC103"/>
  <c r="L25" i="4"/>
  <c r="AC33" i="5" l="1"/>
  <c r="AC102"/>
  <c r="F102"/>
  <c r="E80"/>
  <c r="K80" s="1"/>
  <c r="L80" s="1"/>
  <c r="AC61"/>
  <c r="E61" s="1"/>
  <c r="K61" s="1"/>
  <c r="L61" s="1"/>
  <c r="AC41"/>
  <c r="AB32" i="4"/>
  <c r="AB27" s="1"/>
  <c r="AB4" s="1"/>
  <c r="L19"/>
  <c r="L7" i="5"/>
  <c r="E84"/>
  <c r="E42"/>
  <c r="E50"/>
  <c r="L95"/>
  <c r="E134"/>
  <c r="K46"/>
  <c r="L46" s="1"/>
  <c r="F89" l="1"/>
  <c r="F88" s="1"/>
  <c r="E102"/>
  <c r="K102" s="1"/>
  <c r="L102" s="1"/>
  <c r="Q34"/>
  <c r="AC34" s="1"/>
  <c r="AC30" s="1"/>
  <c r="K26"/>
  <c r="L26" s="1"/>
  <c r="AC49"/>
  <c r="J32" i="4"/>
  <c r="K90" i="5"/>
  <c r="L90" s="1"/>
  <c r="AC89"/>
  <c r="AC88" s="1"/>
  <c r="K50"/>
  <c r="L50" s="1"/>
  <c r="K99"/>
  <c r="L99" s="1"/>
  <c r="K84"/>
  <c r="L84" s="1"/>
  <c r="E76"/>
  <c r="E75" s="1"/>
  <c r="AC75"/>
  <c r="E72"/>
  <c r="K72" s="1"/>
  <c r="L72" s="1"/>
  <c r="E69"/>
  <c r="K69" s="1"/>
  <c r="L69" s="1"/>
  <c r="K42"/>
  <c r="L42" s="1"/>
  <c r="J27" i="4"/>
  <c r="J4" s="1"/>
  <c r="E32"/>
  <c r="K106" i="5"/>
  <c r="L106" s="1"/>
  <c r="K134"/>
  <c r="L134" s="1"/>
  <c r="E133"/>
  <c r="K133" s="1"/>
  <c r="L133" s="1"/>
  <c r="K109"/>
  <c r="L109" s="1"/>
  <c r="E44"/>
  <c r="K44" s="1"/>
  <c r="L44" s="1"/>
  <c r="L5" i="4"/>
  <c r="E41" i="5" l="1"/>
  <c r="K41" s="1"/>
  <c r="L41" s="1"/>
  <c r="AC6"/>
  <c r="AC5" s="1"/>
  <c r="F30"/>
  <c r="K57"/>
  <c r="L57" s="1"/>
  <c r="I14" i="4"/>
  <c r="E138" i="5"/>
  <c r="AC137"/>
  <c r="E89"/>
  <c r="E88" s="1"/>
  <c r="K75"/>
  <c r="L75" s="1"/>
  <c r="K76"/>
  <c r="L76" s="1"/>
  <c r="K32" i="4"/>
  <c r="L32" s="1"/>
  <c r="E27"/>
  <c r="K10" i="5"/>
  <c r="L10" s="1"/>
  <c r="E52"/>
  <c r="E49" s="1"/>
  <c r="K142"/>
  <c r="L142" s="1"/>
  <c r="E141"/>
  <c r="K141" s="1"/>
  <c r="L141" s="1"/>
  <c r="E30" l="1"/>
  <c r="E6" s="1"/>
  <c r="F6"/>
  <c r="F5" s="1"/>
  <c r="F4" s="1"/>
  <c r="E4" s="1"/>
  <c r="E14" i="4"/>
  <c r="K14" s="1"/>
  <c r="L14" s="1"/>
  <c r="I4"/>
  <c r="AC4" i="5"/>
  <c r="K89"/>
  <c r="L89" s="1"/>
  <c r="K138"/>
  <c r="L138" s="1"/>
  <c r="E137"/>
  <c r="K137" s="1"/>
  <c r="L137" s="1"/>
  <c r="K52"/>
  <c r="L52" s="1"/>
  <c r="K49"/>
  <c r="L49" s="1"/>
  <c r="K27" i="4"/>
  <c r="L27" s="1"/>
  <c r="K30" i="5" l="1"/>
  <c r="L30" s="1"/>
  <c r="K4"/>
  <c r="L4" s="1"/>
  <c r="K88"/>
  <c r="L88" s="1"/>
  <c r="F8" i="4"/>
  <c r="F7" s="1"/>
  <c r="F4" s="1"/>
  <c r="E5" i="5" l="1"/>
  <c r="K5" s="1"/>
  <c r="L5" s="1"/>
  <c r="K6"/>
  <c r="L6" s="1"/>
  <c r="E8" i="4"/>
  <c r="E7" s="1"/>
  <c r="E4" s="1"/>
  <c r="K9" l="1"/>
  <c r="L9" s="1"/>
  <c r="K8"/>
  <c r="L8" s="1"/>
  <c r="K7" l="1"/>
  <c r="L7" s="1"/>
  <c r="K4"/>
</calcChain>
</file>

<file path=xl/sharedStrings.xml><?xml version="1.0" encoding="utf-8"?>
<sst xmlns="http://schemas.openxmlformats.org/spreadsheetml/2006/main" count="769" uniqueCount="396">
  <si>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</si>
  <si>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</si>
  <si>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</si>
  <si>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</si>
  <si>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</si>
  <si>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</si>
  <si>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</si>
  <si>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</si>
  <si>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</si>
  <si>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</si>
  <si>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</si>
  <si>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</si>
  <si>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</si>
  <si>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</si>
  <si>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</si>
  <si>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</si>
  <si>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</si>
  <si>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</si>
  <si>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</si>
  <si>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</si>
  <si>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</si>
  <si>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</si>
  <si>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</si>
  <si>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</si>
  <si>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</si>
  <si>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</si>
  <si>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</si>
  <si>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</si>
  <si>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</si>
  <si>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</si>
  <si>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</si>
  <si>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</si>
  <si>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</si>
  <si>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</si>
  <si>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</si>
  <si>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</si>
  <si>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</si>
  <si>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</si>
  <si>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</si>
  <si>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</si>
  <si>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</si>
  <si>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</si>
  <si>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</si>
  <si>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</si>
  <si>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</si>
  <si>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</si>
  <si>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</si>
  <si>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</si>
  <si>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</si>
  <si>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</si>
  <si>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</si>
  <si>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</si>
  <si>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</si>
  <si>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</si>
  <si>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</si>
  <si>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</si>
  <si>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</si>
  <si>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</si>
  <si>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</si>
  <si>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</si>
  <si>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</si>
  <si>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</si>
  <si>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</si>
  <si>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</si>
  <si>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</si>
  <si>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</si>
  <si>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※ 입소비용수입</t>
    <phoneticPr fontId="5" type="noConversion"/>
  </si>
  <si>
    <t>합  계 :</t>
    <phoneticPr fontId="5" type="noConversion"/>
  </si>
  <si>
    <t>잡수입</t>
    <phoneticPr fontId="5" type="noConversion"/>
  </si>
  <si>
    <t>* 입소비용수입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</si>
  <si>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</si>
  <si>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</si>
  <si>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</si>
  <si>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</si>
  <si>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경  상</t>
    <phoneticPr fontId="5" type="noConversion"/>
  </si>
  <si>
    <t>계</t>
    <phoneticPr fontId="5" type="noConversion"/>
  </si>
  <si>
    <t>&lt;경상보조금수입 합계&gt;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</si>
  <si>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</si>
  <si>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</si>
  <si>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</si>
  <si>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</si>
  <si>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</si>
  <si>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</si>
  <si>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</si>
  <si>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</si>
  <si>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</si>
  <si>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이  월</t>
    <phoneticPr fontId="5" type="noConversion"/>
  </si>
  <si>
    <t>사업비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</si>
  <si>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</si>
  <si>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</si>
  <si>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</si>
  <si>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</si>
  <si>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</si>
  <si>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</si>
  <si>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</si>
  <si>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원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</si>
  <si>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</si>
  <si>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</si>
  <si>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</si>
  <si>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</si>
  <si>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</si>
  <si>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</si>
  <si>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</si>
  <si>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</si>
  <si>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</si>
  <si>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</si>
  <si>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</si>
  <si>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</si>
  <si>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</si>
  <si>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</si>
  <si>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</si>
  <si>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</si>
  <si>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</si>
  <si>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</si>
  <si>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</si>
  <si>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</si>
  <si>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</si>
  <si>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</si>
  <si>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</si>
  <si>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</si>
  <si>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</si>
  <si>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</si>
  <si>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</si>
  <si>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잡지출</t>
    <phoneticPr fontId="5" type="noConversion"/>
  </si>
  <si>
    <t>※ 잡지출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</si>
  <si>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</si>
  <si>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</si>
  <si>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</si>
  <si>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*결연 후원금 지급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</si>
  <si>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</si>
  <si>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</si>
  <si>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</si>
  <si>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잡수입</t>
    <phoneticPr fontId="5" type="noConversion"/>
  </si>
  <si>
    <t>비  용</t>
  </si>
  <si>
    <t>법인
전입금</t>
    <phoneticPr fontId="5" type="noConversion"/>
  </si>
  <si>
    <t>이월금</t>
    <phoneticPr fontId="5" type="noConversion"/>
  </si>
  <si>
    <t xml:space="preserve">총  계 : </t>
    <phoneticPr fontId="5" type="noConversion"/>
  </si>
  <si>
    <t>※ 이월 사업비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</si>
  <si>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</si>
  <si>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</si>
  <si>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</si>
  <si>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</si>
  <si>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</si>
  <si>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</si>
  <si>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</si>
  <si>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</si>
  <si>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</si>
  <si>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</si>
  <si>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</si>
  <si>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부담금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</si>
  <si>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</si>
  <si>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</si>
  <si>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</si>
  <si>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</si>
  <si>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</si>
  <si>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</si>
  <si>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</si>
  <si>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÷</t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</si>
  <si>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</si>
  <si>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</si>
  <si>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</si>
  <si>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</si>
  <si>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</si>
  <si>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</si>
  <si>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</si>
  <si>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</si>
  <si>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</si>
  <si>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</si>
  <si>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</si>
  <si>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</si>
  <si>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</si>
  <si>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</si>
  <si>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</si>
  <si>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</si>
  <si>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</si>
  <si>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</si>
  <si>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</si>
  <si>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</si>
  <si>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</si>
  <si>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</si>
  <si>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</si>
  <si>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</si>
  <si>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</si>
  <si>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</t>
    <phoneticPr fontId="5" type="noConversion"/>
  </si>
  <si>
    <t>※ 2012년 공동생활가정 지원금</t>
    <phoneticPr fontId="5" type="noConversion"/>
  </si>
  <si>
    <t>* 2012년 공동생활가정 지원금</t>
    <phoneticPr fontId="5" type="noConversion"/>
  </si>
  <si>
    <t>원</t>
    <phoneticPr fontId="5" type="noConversion"/>
  </si>
  <si>
    <t>원</t>
    <phoneticPr fontId="5" type="noConversion"/>
  </si>
  <si>
    <t>* 종사자근무수당</t>
    <phoneticPr fontId="5" type="noConversion"/>
  </si>
  <si>
    <t>* 환경개선사업비(7종)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</si>
  <si>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</si>
  <si>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</si>
  <si>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</si>
  <si>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</si>
  <si>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</si>
  <si>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</si>
  <si>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</si>
  <si>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</si>
  <si>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</si>
  <si>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</si>
  <si>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</si>
  <si>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</si>
  <si>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</si>
  <si>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</si>
  <si>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</si>
  <si>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</si>
  <si>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</si>
  <si>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장기용양보험부담금</t>
    <phoneticPr fontId="5" type="noConversion"/>
  </si>
  <si>
    <t>* 고용보험부담금</t>
    <phoneticPr fontId="5" type="noConversion"/>
  </si>
  <si>
    <t>* 산재보험부담금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</si>
  <si>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</si>
  <si>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</si>
  <si>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</si>
  <si>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</si>
  <si>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</si>
  <si>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</si>
  <si>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1. 전화료 인터넷 요금</t>
    <phoneticPr fontId="5" type="noConversion"/>
  </si>
  <si>
    <t>2. 아파트관리비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</si>
  <si>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</si>
  <si>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</si>
  <si>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</si>
  <si>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</si>
  <si>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</si>
  <si>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</si>
  <si>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6. 기타 제세공과금</t>
    <phoneticPr fontId="5" type="noConversion"/>
  </si>
  <si>
    <t>* 차량유류대</t>
    <phoneticPr fontId="5" type="noConversion"/>
  </si>
  <si>
    <t>* 직원 외부교육비</t>
    <phoneticPr fontId="5" type="noConversion"/>
  </si>
  <si>
    <t xml:space="preserve">* </t>
    <phoneticPr fontId="5" type="noConversion"/>
  </si>
  <si>
    <t>* 그룹홈 자산 취득비</t>
    <phoneticPr fontId="5" type="noConversion"/>
  </si>
  <si>
    <t>*</t>
    <phoneticPr fontId="5" type="noConversion"/>
  </si>
  <si>
    <t>* 환경개선 수선비 등</t>
    <phoneticPr fontId="5" type="noConversion"/>
  </si>
  <si>
    <t>*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</si>
  <si>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</si>
  <si>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</si>
  <si>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</si>
  <si>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</si>
  <si>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</si>
  <si>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</si>
  <si>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</si>
  <si>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</si>
  <si>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</si>
  <si>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2. 지역사회 미용실 이용</t>
    <phoneticPr fontId="5" type="noConversion"/>
  </si>
  <si>
    <t>3. 지역사회 식당 이용 외식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</si>
  <si>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</si>
  <si>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</si>
  <si>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</si>
  <si>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</si>
  <si>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</si>
  <si>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</si>
  <si>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</si>
  <si>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</si>
  <si>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 헬스</t>
    <phoneticPr fontId="5" type="noConversion"/>
  </si>
  <si>
    <t>2. 바다의별 사회적응 훈련(A)</t>
    <phoneticPr fontId="5" type="noConversion"/>
  </si>
  <si>
    <t>3. 바다의별 사회적응 훈련(B)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</si>
  <si>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</si>
  <si>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</si>
  <si>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</si>
  <si>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</si>
  <si>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1. 법인잔입금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</si>
  <si>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</si>
  <si>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</si>
  <si>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</si>
  <si>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6호</t>
    <phoneticPr fontId="5" type="noConversion"/>
  </si>
  <si>
    <t>7호</t>
    <phoneticPr fontId="5" type="noConversion"/>
  </si>
  <si>
    <t>&lt;2013년도 세입내역&gt;</t>
    <phoneticPr fontId="5" type="noConversion"/>
  </si>
  <si>
    <t>2013년 예산액(단위:천원)</t>
    <phoneticPr fontId="5" type="noConversion"/>
  </si>
  <si>
    <t>2012년
2차추경
예산액(A)
(단위:천원)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</si>
  <si>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</si>
  <si>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</si>
  <si>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</si>
  <si>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</si>
  <si>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</si>
  <si>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</si>
  <si>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&lt;2013년도 세출내역&gt;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</si>
  <si>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</si>
  <si>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</si>
  <si>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</si>
  <si>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</si>
  <si>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</si>
  <si>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* 가족수당</t>
    <phoneticPr fontId="5" type="noConversion"/>
  </si>
  <si>
    <t>* 가족수당 소급분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</si>
  <si>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</si>
  <si>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</si>
  <si>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</si>
  <si>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</si>
  <si>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</si>
  <si>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</si>
  <si>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</si>
  <si>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영화관람</t>
    <phoneticPr fontId="5" type="noConversion"/>
  </si>
  <si>
    <t>5. 스포츠관람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</si>
  <si>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</si>
  <si>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</si>
  <si>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</si>
  <si>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</si>
  <si>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</si>
  <si>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</si>
  <si>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</si>
  <si>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</si>
  <si>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</si>
  <si>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</si>
  <si>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2012년
2차추가경정 예산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</si>
  <si>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</si>
  <si>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</si>
  <si>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</si>
  <si>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</si>
  <si>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사무비</t>
    <phoneticPr fontId="5" type="noConversion"/>
  </si>
  <si>
    <t>인      건      비</t>
    <phoneticPr fontId="28" type="noConversion"/>
  </si>
  <si>
    <t>보조금  수입</t>
    <phoneticPr fontId="28" type="noConversion"/>
  </si>
  <si>
    <t>경상보조금수입</t>
    <phoneticPr fontId="28" type="noConversion"/>
  </si>
  <si>
    <t>기타후생경비</t>
    <phoneticPr fontId="5" type="noConversion"/>
  </si>
  <si>
    <t>자본보조금수입</t>
    <phoneticPr fontId="28" type="noConversion"/>
  </si>
  <si>
    <t>업 무   추 진 비</t>
    <phoneticPr fontId="28" type="noConversion"/>
  </si>
  <si>
    <t>기타보조금수입</t>
    <phoneticPr fontId="28" type="noConversion"/>
  </si>
  <si>
    <t>운      영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</si>
  <si>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</si>
  <si>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</si>
  <si>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재산조성비</t>
    <phoneticPr fontId="28" type="noConversion"/>
  </si>
  <si>
    <t>시      설      비</t>
    <phoneticPr fontId="28" type="noConversion"/>
  </si>
  <si>
    <t>비지정   후원금</t>
    <phoneticPr fontId="28" type="noConversion"/>
  </si>
  <si>
    <t>자 산   취 득 비</t>
    <phoneticPr fontId="28" type="noConversion"/>
  </si>
  <si>
    <t>전    입    금</t>
    <phoneticPr fontId="28" type="noConversion"/>
  </si>
  <si>
    <t>법인      전입금</t>
    <phoneticPr fontId="28" type="noConversion"/>
  </si>
  <si>
    <t>시설장비유지비</t>
    <phoneticPr fontId="28" type="noConversion"/>
  </si>
  <si>
    <t>이    월    금</t>
    <phoneticPr fontId="28" type="noConversion"/>
  </si>
  <si>
    <t>전년도   이월금</t>
    <phoneticPr fontId="28" type="noConversion"/>
  </si>
  <si>
    <t>사   업   비</t>
    <phoneticPr fontId="28" type="noConversion"/>
  </si>
  <si>
    <t>생      계      비</t>
    <phoneticPr fontId="28" type="noConversion"/>
  </si>
  <si>
    <t>잡    수    입</t>
    <phoneticPr fontId="28" type="noConversion"/>
  </si>
  <si>
    <t>잡      수      입</t>
    <phoneticPr fontId="28" type="noConversion"/>
  </si>
  <si>
    <t>수용기관   경비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</si>
  <si>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</si>
  <si>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</si>
  <si>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</si>
  <si>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</si>
  <si>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보조금반환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</si>
  <si>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</si>
  <si>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</si>
  <si>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</si>
  <si>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</si>
  <si>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</si>
  <si>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2013년
본 예산</t>
    <phoneticPr fontId="28" type="noConversion"/>
  </si>
  <si>
    <t>□ 2013년도 세 입 · 세 출 총  괄  표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</si>
  <si>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</si>
  <si>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</si>
  <si>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</si>
  <si>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</si>
  <si>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2012년
2차 추경 예산</t>
    <phoneticPr fontId="28" type="noConversion"/>
  </si>
  <si>
    <t>2013년
본예산</t>
    <phoneticPr fontId="28" type="noConversion"/>
  </si>
  <si>
    <t>증감</t>
    <phoneticPr fontId="5" type="noConversion"/>
  </si>
  <si>
    <t>증감사유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</si>
  <si>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</si>
  <si>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</si>
  <si>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</si>
  <si>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</si>
  <si>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</si>
  <si>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</si>
  <si>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</si>
  <si>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경상보조금수입</t>
    <phoneticPr fontId="28" type="noConversion"/>
  </si>
  <si>
    <t>업 무   추 진 비</t>
    <phoneticPr fontId="28" type="noConversion"/>
  </si>
  <si>
    <t>자본보조금수입</t>
    <phoneticPr fontId="28" type="noConversion"/>
  </si>
  <si>
    <t>운      영      비</t>
    <phoneticPr fontId="28" type="noConversion"/>
  </si>
  <si>
    <t>기타보조금수입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</si>
  <si>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</si>
  <si>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</si>
  <si>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</si>
  <si>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</si>
  <si>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</si>
  <si>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</si>
  <si>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</si>
  <si>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</si>
  <si>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</si>
  <si>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</si>
  <si>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</si>
  <si>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</si>
  <si>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</si>
  <si>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</si>
  <si>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</si>
  <si>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</si>
  <si>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</si>
  <si>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</si>
  <si>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</si>
  <si>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</si>
  <si>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보조금반환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</si>
  <si>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</si>
  <si>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</si>
  <si>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</si>
  <si>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</si>
  <si>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</si>
  <si>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환경개선사업비 예산감액</t>
    <phoneticPr fontId="5" type="noConversion"/>
  </si>
  <si>
    <t>연장근로수당 증액</t>
    <phoneticPr fontId="5" type="noConversion"/>
  </si>
  <si>
    <t>보조금이월금      6,890
 입소비용         691,700</t>
    <phoneticPr fontId="5" type="noConversion"/>
  </si>
  <si>
    <t>여비/수용비 및 수수료 등 감액</t>
    <phoneticPr fontId="5" type="noConversion"/>
  </si>
  <si>
    <t>프로그램비 증액</t>
    <phoneticPr fontId="5" type="noConversion"/>
  </si>
  <si>
    <t>인건비인상분</t>
    <phoneticPr fontId="5" type="noConversion"/>
  </si>
  <si>
    <t>환경개선비 삭감</t>
    <phoneticPr fontId="5" type="noConversion"/>
  </si>
  <si>
    <t>생계비 삭감</t>
    <phoneticPr fontId="5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</si>
</sst>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4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3" xfId="3" applyNumberFormat="1" applyFont="1" applyFill="1" applyBorder="1" applyAlignment="1">
      <alignment vertical="center"/>
    </xf>
    <xf numFmtId="177" fontId="11" fillId="0" borderId="23" xfId="3" applyNumberFormat="1" applyFont="1" applyFill="1" applyBorder="1" applyAlignment="1">
      <alignment vertical="center"/>
    </xf>
    <xf numFmtId="9" fontId="11" fillId="0" borderId="2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2" xfId="3" applyNumberFormat="1" applyFont="1" applyFill="1" applyBorder="1" applyAlignment="1">
      <alignment vertical="center"/>
    </xf>
    <xf numFmtId="176" fontId="14" fillId="0" borderId="24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76" fontId="14" fillId="0" borderId="3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4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0" fontId="17" fillId="0" borderId="29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9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40" xfId="3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8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left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79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6" xfId="3" applyNumberFormat="1" applyFont="1" applyFill="1" applyBorder="1" applyAlignment="1">
      <alignment vertical="center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4" fillId="0" borderId="42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right" vertical="center"/>
    </xf>
    <xf numFmtId="176" fontId="13" fillId="0" borderId="32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2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3" fillId="0" borderId="37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8" fontId="11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1" fillId="0" borderId="43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2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176" fontId="12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38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38" fontId="11" fillId="0" borderId="31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" fillId="0" borderId="0" xfId="5">
      <alignment vertical="center"/>
    </xf>
    <xf numFmtId="0" fontId="27" fillId="0" borderId="0" xfId="5" applyFont="1">
      <alignment vertical="center"/>
    </xf>
    <xf numFmtId="0" fontId="29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1" fontId="0" fillId="0" borderId="37" xfId="6" applyNumberFormat="1" applyFont="1" applyBorder="1" applyAlignment="1">
      <alignment vertical="center"/>
    </xf>
    <xf numFmtId="181" fontId="0" fillId="0" borderId="12" xfId="6" applyNumberFormat="1" applyFont="1" applyBorder="1" applyAlignment="1">
      <alignment vertical="center"/>
    </xf>
    <xf numFmtId="41" fontId="0" fillId="0" borderId="20" xfId="6" applyFont="1" applyBorder="1">
      <alignment vertical="center"/>
    </xf>
    <xf numFmtId="181" fontId="0" fillId="0" borderId="42" xfId="6" applyNumberFormat="1" applyFont="1" applyBorder="1">
      <alignment vertical="center"/>
    </xf>
    <xf numFmtId="181" fontId="0" fillId="0" borderId="18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31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1" fillId="0" borderId="56" xfId="3" applyNumberFormat="1" applyFont="1" applyFill="1" applyBorder="1" applyAlignment="1">
      <alignment vertical="center"/>
    </xf>
    <xf numFmtId="0" fontId="11" fillId="0" borderId="55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8" fontId="11" fillId="0" borderId="37" xfId="3" applyNumberFormat="1" applyFont="1" applyFill="1" applyBorder="1" applyAlignment="1">
      <alignment vertical="center"/>
    </xf>
    <xf numFmtId="38" fontId="11" fillId="0" borderId="35" xfId="3" applyNumberFormat="1" applyFont="1" applyFill="1" applyBorder="1" applyAlignment="1">
      <alignment vertical="center"/>
    </xf>
    <xf numFmtId="3" fontId="25" fillId="0" borderId="34" xfId="0" applyNumberFormat="1" applyFont="1" applyFill="1" applyBorder="1" applyAlignment="1">
      <alignment vertical="center"/>
    </xf>
    <xf numFmtId="3" fontId="25" fillId="0" borderId="37" xfId="0" applyNumberFormat="1" applyFont="1" applyFill="1" applyBorder="1" applyAlignment="1">
      <alignment vertical="center"/>
    </xf>
    <xf numFmtId="38" fontId="11" fillId="0" borderId="39" xfId="3" applyNumberFormat="1" applyFont="1" applyFill="1" applyBorder="1" applyAlignment="1">
      <alignment vertical="center"/>
    </xf>
    <xf numFmtId="0" fontId="11" fillId="0" borderId="31" xfId="3" applyFont="1" applyFill="1" applyBorder="1" applyAlignment="1">
      <alignment vertical="center"/>
    </xf>
    <xf numFmtId="41" fontId="13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3" fillId="0" borderId="8" xfId="3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vertical="center"/>
    </xf>
    <xf numFmtId="9" fontId="13" fillId="0" borderId="8" xfId="3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0" fontId="13" fillId="0" borderId="45" xfId="3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46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42" xfId="3" applyNumberFormat="1" applyFont="1" applyFill="1" applyBorder="1" applyAlignment="1">
      <alignment vertical="center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0" fontId="13" fillId="0" borderId="55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55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38" fontId="11" fillId="0" borderId="8" xfId="3" applyNumberFormat="1" applyFont="1" applyFill="1" applyBorder="1" applyAlignment="1">
      <alignment vertical="center"/>
    </xf>
    <xf numFmtId="9" fontId="11" fillId="0" borderId="8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5" xfId="3" applyFont="1" applyFill="1" applyBorder="1" applyAlignment="1">
      <alignment vertical="center"/>
    </xf>
    <xf numFmtId="0" fontId="11" fillId="0" borderId="34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center" vertical="center"/>
    </xf>
    <xf numFmtId="42" fontId="11" fillId="0" borderId="31" xfId="3" applyNumberFormat="1" applyFont="1" applyFill="1" applyBorder="1" applyAlignment="1">
      <alignment horizontal="center" vertical="center"/>
    </xf>
    <xf numFmtId="10" fontId="11" fillId="0" borderId="31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5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20" xfId="2" applyFont="1" applyBorder="1">
      <alignment vertical="center"/>
    </xf>
    <xf numFmtId="0" fontId="27" fillId="0" borderId="0" xfId="7" applyFont="1">
      <alignment vertical="center"/>
    </xf>
    <xf numFmtId="0" fontId="1" fillId="0" borderId="0" xfId="7">
      <alignment vertical="center"/>
    </xf>
    <xf numFmtId="0" fontId="29" fillId="0" borderId="0" xfId="7" applyFont="1" applyAlignment="1">
      <alignment horizontal="right"/>
    </xf>
    <xf numFmtId="41" fontId="0" fillId="0" borderId="11" xfId="9" applyFont="1" applyBorder="1" applyAlignment="1">
      <alignment vertical="center"/>
    </xf>
    <xf numFmtId="181" fontId="0" fillId="0" borderId="58" xfId="10" applyNumberFormat="1" applyFont="1" applyBorder="1" applyAlignment="1">
      <alignment vertical="center"/>
    </xf>
    <xf numFmtId="181" fontId="0" fillId="0" borderId="14" xfId="10" applyNumberFormat="1" applyFont="1" applyBorder="1" applyAlignment="1">
      <alignment vertical="center"/>
    </xf>
    <xf numFmtId="181" fontId="0" fillId="0" borderId="38" xfId="10" applyNumberFormat="1" applyFont="1" applyBorder="1" applyAlignment="1">
      <alignment vertical="center"/>
    </xf>
    <xf numFmtId="0" fontId="1" fillId="0" borderId="15" xfId="7" applyBorder="1" applyAlignment="1">
      <alignment horizontal="center" vertical="center"/>
    </xf>
    <xf numFmtId="0" fontId="1" fillId="0" borderId="20" xfId="7" applyBorder="1" applyAlignment="1">
      <alignment horizontal="center" vertical="center"/>
    </xf>
    <xf numFmtId="41" fontId="0" fillId="0" borderId="20" xfId="9" applyFont="1" applyBorder="1">
      <alignment vertical="center"/>
    </xf>
    <xf numFmtId="181" fontId="0" fillId="0" borderId="42" xfId="10" applyNumberFormat="1" applyFont="1" applyBorder="1">
      <alignment vertical="center"/>
    </xf>
    <xf numFmtId="181" fontId="0" fillId="0" borderId="20" xfId="10" applyNumberFormat="1" applyFont="1" applyBorder="1">
      <alignment vertical="center"/>
    </xf>
    <xf numFmtId="181" fontId="0" fillId="0" borderId="56" xfId="10" applyNumberFormat="1" applyFont="1" applyBorder="1" applyAlignment="1">
      <alignment vertical="center" wrapText="1"/>
    </xf>
    <xf numFmtId="181" fontId="0" fillId="0" borderId="42" xfId="10" applyNumberFormat="1" applyFont="1" applyBorder="1" applyAlignment="1">
      <alignment vertical="center" wrapText="1"/>
    </xf>
    <xf numFmtId="181" fontId="0" fillId="0" borderId="56" xfId="10" applyNumberFormat="1" applyFont="1" applyBorder="1">
      <alignment vertical="center"/>
    </xf>
    <xf numFmtId="0" fontId="1" fillId="0" borderId="15" xfId="7" applyFont="1" applyBorder="1" applyAlignment="1">
      <alignment horizontal="center" vertical="center"/>
    </xf>
    <xf numFmtId="0" fontId="1" fillId="0" borderId="16" xfId="7" applyBorder="1" applyAlignment="1">
      <alignment horizontal="center" vertical="center"/>
    </xf>
    <xf numFmtId="0" fontId="1" fillId="0" borderId="3" xfId="7" applyBorder="1" applyAlignment="1">
      <alignment horizontal="center" vertical="center"/>
    </xf>
    <xf numFmtId="41" fontId="0" fillId="0" borderId="3" xfId="9" applyFont="1" applyBorder="1">
      <alignment vertical="center"/>
    </xf>
    <xf numFmtId="41" fontId="0" fillId="0" borderId="3" xfId="10" applyFont="1" applyBorder="1">
      <alignment vertical="center"/>
    </xf>
    <xf numFmtId="181" fontId="0" fillId="0" borderId="36" xfId="10" applyNumberFormat="1" applyFont="1" applyBorder="1">
      <alignment vertical="center"/>
    </xf>
    <xf numFmtId="181" fontId="0" fillId="0" borderId="18" xfId="10" applyNumberFormat="1" applyFont="1" applyBorder="1" applyAlignment="1">
      <alignment horizontal="center" vertical="center"/>
    </xf>
    <xf numFmtId="0" fontId="2" fillId="0" borderId="53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7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40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30" fillId="0" borderId="20" xfId="5" applyFont="1" applyBorder="1" applyAlignment="1">
      <alignment horizontal="center" vertical="center" wrapText="1"/>
    </xf>
    <xf numFmtId="0" fontId="30" fillId="0" borderId="50" xfId="5" applyFont="1" applyBorder="1" applyAlignment="1">
      <alignment horizontal="center" vertical="center" wrapText="1"/>
    </xf>
    <xf numFmtId="0" fontId="30" fillId="0" borderId="44" xfId="5" applyFont="1" applyBorder="1" applyAlignment="1">
      <alignment horizontal="center" vertical="center"/>
    </xf>
    <xf numFmtId="0" fontId="30" fillId="0" borderId="8" xfId="5" applyFont="1" applyBorder="1" applyAlignment="1">
      <alignment horizontal="center" vertical="center"/>
    </xf>
    <xf numFmtId="0" fontId="30" fillId="0" borderId="10" xfId="5" applyFont="1" applyBorder="1" applyAlignment="1">
      <alignment horizontal="center" vertical="center"/>
    </xf>
    <xf numFmtId="0" fontId="30" fillId="0" borderId="9" xfId="5" applyFont="1" applyBorder="1" applyAlignment="1">
      <alignment horizontal="center" vertical="center"/>
    </xf>
    <xf numFmtId="0" fontId="30" fillId="0" borderId="15" xfId="5" applyFont="1" applyBorder="1" applyAlignment="1">
      <alignment horizontal="center" vertical="center"/>
    </xf>
    <xf numFmtId="0" fontId="30" fillId="0" borderId="20" xfId="5" applyFont="1" applyBorder="1" applyAlignment="1">
      <alignment horizontal="center" vertical="center"/>
    </xf>
    <xf numFmtId="0" fontId="30" fillId="0" borderId="49" xfId="5" applyFont="1" applyBorder="1" applyAlignment="1">
      <alignment horizontal="center" vertical="center"/>
    </xf>
    <xf numFmtId="0" fontId="30" fillId="0" borderId="50" xfId="5" applyFont="1" applyBorder="1" applyAlignment="1">
      <alignment horizontal="center" vertical="center"/>
    </xf>
    <xf numFmtId="0" fontId="30" fillId="0" borderId="42" xfId="5" applyFont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30" fillId="0" borderId="18" xfId="5" applyFont="1" applyBorder="1" applyAlignment="1">
      <alignment horizontal="center" vertical="center"/>
    </xf>
    <xf numFmtId="0" fontId="30" fillId="0" borderId="52" xfId="5" applyFont="1" applyBorder="1" applyAlignment="1">
      <alignment horizontal="center" vertical="center"/>
    </xf>
    <xf numFmtId="0" fontId="11" fillId="0" borderId="35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4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8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5" xfId="3" applyNumberFormat="1" applyFont="1" applyFill="1" applyBorder="1" applyAlignment="1">
      <alignment horizontal="center" vertical="center" wrapText="1"/>
    </xf>
    <xf numFmtId="178" fontId="12" fillId="0" borderId="54" xfId="3" applyNumberFormat="1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54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41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4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" fillId="0" borderId="2" xfId="7" applyBorder="1" applyAlignment="1">
      <alignment horizontal="center" vertical="center"/>
    </xf>
    <xf numFmtId="0" fontId="1" fillId="0" borderId="33" xfId="7" applyBorder="1" applyAlignment="1">
      <alignment horizontal="center" vertical="center"/>
    </xf>
    <xf numFmtId="0" fontId="1" fillId="0" borderId="17" xfId="7" applyBorder="1" applyAlignment="1">
      <alignment horizontal="center" vertical="center"/>
    </xf>
    <xf numFmtId="0" fontId="1" fillId="0" borderId="53" xfId="7" applyBorder="1" applyAlignment="1">
      <alignment horizontal="center" vertical="center"/>
    </xf>
    <xf numFmtId="0" fontId="1" fillId="0" borderId="31" xfId="7" applyBorder="1" applyAlignment="1">
      <alignment horizontal="center" vertical="center"/>
    </xf>
    <xf numFmtId="0" fontId="1" fillId="0" borderId="25" xfId="7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0" fontId="1" fillId="0" borderId="47" xfId="7" applyBorder="1" applyAlignment="1">
      <alignment horizontal="center" vertical="center"/>
    </xf>
    <xf numFmtId="0" fontId="1" fillId="0" borderId="13" xfId="7" applyBorder="1" applyAlignment="1">
      <alignment horizontal="center"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57" xfId="7" applyFont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/>
    </xf>
    <xf numFmtId="0" fontId="30" fillId="0" borderId="52" xfId="7" applyFont="1" applyBorder="1" applyAlignment="1">
      <alignment horizontal="center" vertical="center"/>
    </xf>
    <xf numFmtId="0" fontId="1" fillId="0" borderId="11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20" xfId="8" applyFont="1" applyBorder="1" applyAlignment="1">
      <alignment horizontal="center" vertical="center" wrapText="1"/>
    </xf>
    <xf numFmtId="0" fontId="30" fillId="0" borderId="50" xfId="8" applyFont="1" applyBorder="1" applyAlignment="1">
      <alignment horizontal="center" vertical="center" wrapText="1"/>
    </xf>
    <xf numFmtId="0" fontId="30" fillId="0" borderId="42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abSelected="1" workbookViewId="0"/>
  </sheetViews>
  <sheetFormatPr defaultRowHeight="16.5"/>
  <cols>
    <col min="1" max="1" width="1.33203125" style="200" customWidth="1"/>
    <col min="2" max="2" width="11.5546875" style="200" hidden="1" customWidth="1"/>
    <col min="3" max="3" width="13.33203125" style="200" bestFit="1" customWidth="1"/>
    <col min="4" max="5" width="15.44140625" style="200" bestFit="1" customWidth="1"/>
    <col min="6" max="6" width="14.21875" style="200" bestFit="1" customWidth="1"/>
    <col min="7" max="7" width="12.5546875" style="200" customWidth="1"/>
    <col min="8" max="8" width="12.21875" style="200" customWidth="1"/>
    <col min="9" max="9" width="15.44140625" style="200" bestFit="1" customWidth="1"/>
    <col min="10" max="10" width="14.77734375" style="200" customWidth="1"/>
    <col min="11" max="11" width="12.44140625" style="200" customWidth="1"/>
    <col min="12" max="12" width="11.5546875" style="200" customWidth="1"/>
    <col min="13" max="16384" width="8.88671875" style="200"/>
  </cols>
  <sheetData>
    <row r="1" spans="2:13" ht="9.9499999999999993" customHeight="1"/>
    <row r="2" spans="2:13" ht="26.25">
      <c r="B2" s="350"/>
      <c r="C2" s="201" t="s">
        <v>295</v>
      </c>
      <c r="D2" s="350"/>
      <c r="E2" s="350"/>
      <c r="F2" s="350"/>
      <c r="G2" s="350"/>
      <c r="H2" s="350"/>
      <c r="I2" s="350"/>
      <c r="J2" s="350"/>
      <c r="K2" s="350"/>
      <c r="L2" s="202" t="s">
        <v>296</v>
      </c>
      <c r="M2" s="350"/>
    </row>
    <row r="3" spans="2:13" ht="9.9499999999999993" customHeight="1" thickBot="1"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2:13" ht="30" customHeight="1">
      <c r="B4" s="350"/>
      <c r="C4" s="394" t="s">
        <v>297</v>
      </c>
      <c r="D4" s="395"/>
      <c r="E4" s="395"/>
      <c r="F4" s="395"/>
      <c r="G4" s="396"/>
      <c r="H4" s="394" t="s">
        <v>298</v>
      </c>
      <c r="I4" s="395"/>
      <c r="J4" s="395"/>
      <c r="K4" s="395"/>
      <c r="L4" s="397"/>
      <c r="M4" s="350"/>
    </row>
    <row r="5" spans="2:13" ht="16.5" customHeight="1">
      <c r="B5" s="350"/>
      <c r="C5" s="398" t="s">
        <v>299</v>
      </c>
      <c r="D5" s="399"/>
      <c r="E5" s="392" t="s">
        <v>300</v>
      </c>
      <c r="F5" s="392" t="s">
        <v>340</v>
      </c>
      <c r="G5" s="402" t="s">
        <v>301</v>
      </c>
      <c r="H5" s="398" t="s">
        <v>299</v>
      </c>
      <c r="I5" s="399"/>
      <c r="J5" s="392" t="s">
        <v>300</v>
      </c>
      <c r="K5" s="392" t="s">
        <v>340</v>
      </c>
      <c r="L5" s="404" t="s">
        <v>301</v>
      </c>
      <c r="M5" s="350"/>
    </row>
    <row r="6" spans="2:13" ht="22.5" customHeight="1" thickBot="1">
      <c r="B6" s="350"/>
      <c r="C6" s="400"/>
      <c r="D6" s="401"/>
      <c r="E6" s="393"/>
      <c r="F6" s="393"/>
      <c r="G6" s="403"/>
      <c r="H6" s="400"/>
      <c r="I6" s="401"/>
      <c r="J6" s="393"/>
      <c r="K6" s="393"/>
      <c r="L6" s="405"/>
      <c r="M6" s="350"/>
    </row>
    <row r="7" spans="2:13" ht="24.95" customHeight="1" thickTop="1">
      <c r="B7" s="350"/>
      <c r="C7" s="387" t="s">
        <v>302</v>
      </c>
      <c r="D7" s="388"/>
      <c r="E7" s="203">
        <f>SUM(E8:E16)</f>
        <v>64669297</v>
      </c>
      <c r="F7" s="203">
        <f>SUM(F8:F16)</f>
        <v>61753280</v>
      </c>
      <c r="G7" s="204">
        <f>SUM(G8:G16)</f>
        <v>-2916017</v>
      </c>
      <c r="H7" s="387" t="s">
        <v>302</v>
      </c>
      <c r="I7" s="388"/>
      <c r="J7" s="203">
        <f>SUM(J8:J23)</f>
        <v>64669297</v>
      </c>
      <c r="K7" s="203">
        <f>SUM(K8:K23)</f>
        <v>61753280</v>
      </c>
      <c r="L7" s="205">
        <f>SUM(L8:L23)</f>
        <v>-2916017</v>
      </c>
      <c r="M7" s="350"/>
    </row>
    <row r="8" spans="2:13" ht="24.95" customHeight="1">
      <c r="B8" s="350"/>
      <c r="C8" s="351" t="s">
        <v>303</v>
      </c>
      <c r="D8" s="352" t="s">
        <v>304</v>
      </c>
      <c r="E8" s="206">
        <v>9000000</v>
      </c>
      <c r="F8" s="206">
        <v>9000000</v>
      </c>
      <c r="G8" s="207">
        <f t="shared" ref="G8:G16" si="0">F8-E8</f>
        <v>0</v>
      </c>
      <c r="H8" s="389" t="s">
        <v>305</v>
      </c>
      <c r="I8" s="352" t="s">
        <v>306</v>
      </c>
      <c r="J8" s="206">
        <v>34302700</v>
      </c>
      <c r="K8" s="206">
        <v>36486390</v>
      </c>
      <c r="L8" s="208">
        <f>K8-J8</f>
        <v>2183690</v>
      </c>
      <c r="M8" s="350"/>
    </row>
    <row r="9" spans="2:13" ht="24.95" customHeight="1">
      <c r="B9" s="350"/>
      <c r="C9" s="391" t="s">
        <v>307</v>
      </c>
      <c r="D9" s="352" t="s">
        <v>308</v>
      </c>
      <c r="E9" s="206">
        <v>50683000</v>
      </c>
      <c r="F9" s="206">
        <v>47633000</v>
      </c>
      <c r="G9" s="207">
        <f t="shared" si="0"/>
        <v>-3050000</v>
      </c>
      <c r="H9" s="390"/>
      <c r="I9" s="352" t="s">
        <v>309</v>
      </c>
      <c r="J9" s="206">
        <v>200000</v>
      </c>
      <c r="K9" s="206">
        <v>0</v>
      </c>
      <c r="L9" s="208">
        <f>K9-J9</f>
        <v>-200000</v>
      </c>
      <c r="M9" s="350"/>
    </row>
    <row r="10" spans="2:13" ht="24.95" customHeight="1">
      <c r="B10" s="350"/>
      <c r="C10" s="391"/>
      <c r="D10" s="352" t="s">
        <v>310</v>
      </c>
      <c r="E10" s="206">
        <v>0</v>
      </c>
      <c r="F10" s="206">
        <v>0</v>
      </c>
      <c r="G10" s="207">
        <f t="shared" si="0"/>
        <v>0</v>
      </c>
      <c r="H10" s="390"/>
      <c r="I10" s="352" t="s">
        <v>311</v>
      </c>
      <c r="J10" s="206">
        <v>118300</v>
      </c>
      <c r="K10" s="206">
        <v>60000</v>
      </c>
      <c r="L10" s="208">
        <f t="shared" ref="L10:L22" si="1">K10-J10</f>
        <v>-58300</v>
      </c>
      <c r="M10" s="350"/>
    </row>
    <row r="11" spans="2:13" ht="24.95" customHeight="1">
      <c r="B11" s="350"/>
      <c r="C11" s="391"/>
      <c r="D11" s="352" t="s">
        <v>312</v>
      </c>
      <c r="E11" s="206">
        <v>0</v>
      </c>
      <c r="F11" s="206">
        <v>0</v>
      </c>
      <c r="G11" s="207">
        <f t="shared" si="0"/>
        <v>0</v>
      </c>
      <c r="H11" s="387"/>
      <c r="I11" s="352" t="s">
        <v>313</v>
      </c>
      <c r="J11" s="206">
        <v>6881850</v>
      </c>
      <c r="K11" s="206">
        <v>4875000</v>
      </c>
      <c r="L11" s="208">
        <f t="shared" si="1"/>
        <v>-2006850</v>
      </c>
      <c r="M11" s="350"/>
    </row>
    <row r="12" spans="2:13" ht="24.95" customHeight="1">
      <c r="B12" s="350"/>
      <c r="C12" s="391" t="s">
        <v>314</v>
      </c>
      <c r="D12" s="352" t="s">
        <v>315</v>
      </c>
      <c r="E12" s="206">
        <v>100000</v>
      </c>
      <c r="F12" s="206">
        <v>0</v>
      </c>
      <c r="G12" s="207">
        <f t="shared" si="0"/>
        <v>-100000</v>
      </c>
      <c r="H12" s="389" t="s">
        <v>316</v>
      </c>
      <c r="I12" s="352" t="s">
        <v>317</v>
      </c>
      <c r="J12" s="206">
        <v>0</v>
      </c>
      <c r="K12" s="206">
        <v>0</v>
      </c>
      <c r="L12" s="208">
        <f t="shared" si="1"/>
        <v>0</v>
      </c>
      <c r="M12" s="350"/>
    </row>
    <row r="13" spans="2:13" ht="24.95" customHeight="1">
      <c r="B13" s="350"/>
      <c r="C13" s="391"/>
      <c r="D13" s="352" t="s">
        <v>318</v>
      </c>
      <c r="E13" s="206">
        <v>0</v>
      </c>
      <c r="F13" s="206">
        <v>0</v>
      </c>
      <c r="G13" s="207">
        <f t="shared" si="0"/>
        <v>0</v>
      </c>
      <c r="H13" s="390"/>
      <c r="I13" s="352" t="s">
        <v>319</v>
      </c>
      <c r="J13" s="206">
        <v>3300000</v>
      </c>
      <c r="K13" s="206">
        <v>0</v>
      </c>
      <c r="L13" s="208">
        <f t="shared" si="1"/>
        <v>-3300000</v>
      </c>
      <c r="M13" s="350"/>
    </row>
    <row r="14" spans="2:13" ht="24.95" customHeight="1">
      <c r="B14" s="350"/>
      <c r="C14" s="351" t="s">
        <v>320</v>
      </c>
      <c r="D14" s="352" t="s">
        <v>321</v>
      </c>
      <c r="E14" s="355">
        <v>4182628</v>
      </c>
      <c r="F14" s="355">
        <v>4413690</v>
      </c>
      <c r="G14" s="207">
        <f t="shared" si="0"/>
        <v>231062</v>
      </c>
      <c r="H14" s="387"/>
      <c r="I14" s="352" t="s">
        <v>322</v>
      </c>
      <c r="J14" s="206">
        <v>0</v>
      </c>
      <c r="K14" s="206">
        <v>0</v>
      </c>
      <c r="L14" s="208">
        <f t="shared" si="1"/>
        <v>0</v>
      </c>
      <c r="M14" s="350"/>
    </row>
    <row r="15" spans="2:13" ht="24.95" customHeight="1">
      <c r="B15" s="350"/>
      <c r="C15" s="351" t="s">
        <v>323</v>
      </c>
      <c r="D15" s="352" t="s">
        <v>324</v>
      </c>
      <c r="E15" s="206">
        <v>695669</v>
      </c>
      <c r="F15" s="206">
        <v>698590</v>
      </c>
      <c r="G15" s="207">
        <f t="shared" si="0"/>
        <v>2921</v>
      </c>
      <c r="H15" s="389" t="s">
        <v>325</v>
      </c>
      <c r="I15" s="352" t="s">
        <v>326</v>
      </c>
      <c r="J15" s="206">
        <v>12633360</v>
      </c>
      <c r="K15" s="206">
        <v>11427800</v>
      </c>
      <c r="L15" s="208">
        <f t="shared" si="1"/>
        <v>-1205560</v>
      </c>
      <c r="M15" s="350"/>
    </row>
    <row r="16" spans="2:13" ht="24.95" customHeight="1">
      <c r="B16" s="350"/>
      <c r="C16" s="351" t="s">
        <v>327</v>
      </c>
      <c r="D16" s="352" t="s">
        <v>328</v>
      </c>
      <c r="E16" s="206">
        <v>8000</v>
      </c>
      <c r="F16" s="206">
        <v>8000</v>
      </c>
      <c r="G16" s="207">
        <f t="shared" si="0"/>
        <v>0</v>
      </c>
      <c r="H16" s="390"/>
      <c r="I16" s="352" t="s">
        <v>329</v>
      </c>
      <c r="J16" s="206">
        <v>1082550</v>
      </c>
      <c r="K16" s="206">
        <v>609200</v>
      </c>
      <c r="L16" s="208">
        <f t="shared" si="1"/>
        <v>-473350</v>
      </c>
      <c r="M16" s="350"/>
    </row>
    <row r="17" spans="2:13" ht="24.95" customHeight="1">
      <c r="B17" s="350"/>
      <c r="C17" s="378"/>
      <c r="D17" s="379"/>
      <c r="E17" s="379"/>
      <c r="F17" s="379"/>
      <c r="G17" s="380"/>
      <c r="H17" s="390"/>
      <c r="I17" s="352" t="s">
        <v>330</v>
      </c>
      <c r="J17" s="206">
        <v>500000</v>
      </c>
      <c r="K17" s="206">
        <v>500000</v>
      </c>
      <c r="L17" s="208">
        <f t="shared" si="1"/>
        <v>0</v>
      </c>
      <c r="M17" s="350"/>
    </row>
    <row r="18" spans="2:13" ht="24.95" customHeight="1">
      <c r="B18" s="350"/>
      <c r="C18" s="381"/>
      <c r="D18" s="382"/>
      <c r="E18" s="382"/>
      <c r="F18" s="382"/>
      <c r="G18" s="383"/>
      <c r="H18" s="390"/>
      <c r="I18" s="352" t="s">
        <v>331</v>
      </c>
      <c r="J18" s="206">
        <v>469730</v>
      </c>
      <c r="K18" s="206">
        <v>500000</v>
      </c>
      <c r="L18" s="208">
        <f t="shared" si="1"/>
        <v>30270</v>
      </c>
      <c r="M18" s="350"/>
    </row>
    <row r="19" spans="2:13" ht="24.95" customHeight="1">
      <c r="B19" s="350"/>
      <c r="C19" s="381"/>
      <c r="D19" s="382"/>
      <c r="E19" s="382"/>
      <c r="F19" s="382"/>
      <c r="G19" s="383"/>
      <c r="H19" s="390"/>
      <c r="I19" s="352" t="s">
        <v>332</v>
      </c>
      <c r="J19" s="206">
        <v>84620</v>
      </c>
      <c r="K19" s="206">
        <v>84000</v>
      </c>
      <c r="L19" s="208">
        <f t="shared" si="1"/>
        <v>-620</v>
      </c>
      <c r="M19" s="350"/>
    </row>
    <row r="20" spans="2:13" ht="24.95" customHeight="1">
      <c r="B20" s="350"/>
      <c r="C20" s="381"/>
      <c r="D20" s="382"/>
      <c r="E20" s="382"/>
      <c r="F20" s="382"/>
      <c r="G20" s="383"/>
      <c r="H20" s="387"/>
      <c r="I20" s="352" t="s">
        <v>333</v>
      </c>
      <c r="J20" s="206">
        <v>5092220</v>
      </c>
      <c r="K20" s="206">
        <v>7204000</v>
      </c>
      <c r="L20" s="208">
        <f t="shared" si="1"/>
        <v>2111780</v>
      </c>
      <c r="M20" s="350"/>
    </row>
    <row r="21" spans="2:13" ht="24.95" customHeight="1">
      <c r="B21" s="350"/>
      <c r="C21" s="381"/>
      <c r="D21" s="382"/>
      <c r="E21" s="382"/>
      <c r="F21" s="382"/>
      <c r="G21" s="383"/>
      <c r="H21" s="351" t="s">
        <v>334</v>
      </c>
      <c r="I21" s="352" t="s">
        <v>335</v>
      </c>
      <c r="J21" s="206">
        <v>3967</v>
      </c>
      <c r="K21" s="206">
        <v>6890</v>
      </c>
      <c r="L21" s="208">
        <f t="shared" si="1"/>
        <v>2923</v>
      </c>
      <c r="M21" s="350"/>
    </row>
    <row r="22" spans="2:13" ht="24.95" customHeight="1">
      <c r="B22" s="350"/>
      <c r="C22" s="381"/>
      <c r="D22" s="382"/>
      <c r="E22" s="382"/>
      <c r="F22" s="382"/>
      <c r="G22" s="383"/>
      <c r="H22" s="351" t="s">
        <v>336</v>
      </c>
      <c r="I22" s="352" t="s">
        <v>337</v>
      </c>
      <c r="J22" s="206">
        <v>0</v>
      </c>
      <c r="K22" s="206">
        <v>0</v>
      </c>
      <c r="L22" s="208">
        <f t="shared" si="1"/>
        <v>0</v>
      </c>
      <c r="M22" s="350"/>
    </row>
    <row r="23" spans="2:13" ht="17.25" thickBot="1">
      <c r="B23" s="350"/>
      <c r="C23" s="384"/>
      <c r="D23" s="385"/>
      <c r="E23" s="385"/>
      <c r="F23" s="385"/>
      <c r="G23" s="386"/>
      <c r="H23" s="353" t="s">
        <v>338</v>
      </c>
      <c r="I23" s="354" t="s">
        <v>339</v>
      </c>
      <c r="J23" s="209">
        <v>0</v>
      </c>
      <c r="K23" s="209">
        <v>0</v>
      </c>
      <c r="L23" s="210">
        <f>K23-J23</f>
        <v>0</v>
      </c>
      <c r="M23" s="350"/>
    </row>
    <row r="24" spans="2:13"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</row>
  </sheetData>
  <mergeCells count="18"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  <mergeCell ref="C17:G23"/>
    <mergeCell ref="C7:D7"/>
    <mergeCell ref="H7:I7"/>
    <mergeCell ref="H8:H11"/>
    <mergeCell ref="C9:C11"/>
    <mergeCell ref="C12:C13"/>
    <mergeCell ref="H12:H14"/>
    <mergeCell ref="H15:H20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6"/>
  <sheetViews>
    <sheetView topLeftCell="A13" zoomScale="85" zoomScaleNormal="85" zoomScaleSheetLayoutView="85" workbookViewId="0">
      <selection activeCell="F30" sqref="F30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88671875" style="10" bestFit="1" customWidth="1"/>
    <col min="10" max="10" width="6.109375" style="10" bestFit="1" customWidth="1"/>
    <col min="11" max="11" width="7.44140625" style="11" customWidth="1"/>
    <col min="12" max="12" width="6" style="13" customWidth="1"/>
    <col min="13" max="13" width="16.109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413" t="s">
        <v>264</v>
      </c>
      <c r="B1" s="413"/>
      <c r="C1" s="413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414" t="s">
        <v>71</v>
      </c>
      <c r="B2" s="415"/>
      <c r="C2" s="415"/>
      <c r="D2" s="416" t="s">
        <v>266</v>
      </c>
      <c r="E2" s="418" t="s">
        <v>265</v>
      </c>
      <c r="F2" s="419"/>
      <c r="G2" s="419"/>
      <c r="H2" s="419"/>
      <c r="I2" s="419"/>
      <c r="J2" s="420"/>
      <c r="K2" s="409" t="s">
        <v>24</v>
      </c>
      <c r="L2" s="409"/>
      <c r="M2" s="409" t="s">
        <v>58</v>
      </c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10"/>
      <c r="AD2" s="9"/>
    </row>
    <row r="3" spans="1:31" s="3" customFormat="1" ht="32.25" customHeight="1" thickBot="1">
      <c r="A3" s="25" t="s">
        <v>1</v>
      </c>
      <c r="B3" s="26" t="s">
        <v>2</v>
      </c>
      <c r="C3" s="26" t="s">
        <v>3</v>
      </c>
      <c r="D3" s="417"/>
      <c r="E3" s="222" t="s">
        <v>146</v>
      </c>
      <c r="F3" s="300" t="s">
        <v>183</v>
      </c>
      <c r="G3" s="303" t="s">
        <v>198</v>
      </c>
      <c r="H3" s="222" t="s">
        <v>131</v>
      </c>
      <c r="I3" s="222" t="s">
        <v>134</v>
      </c>
      <c r="J3" s="222" t="s">
        <v>132</v>
      </c>
      <c r="K3" s="234" t="s">
        <v>147</v>
      </c>
      <c r="L3" s="27" t="s">
        <v>4</v>
      </c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2"/>
      <c r="AD3" s="9"/>
    </row>
    <row r="4" spans="1:31" s="3" customFormat="1" ht="19.5" customHeight="1">
      <c r="A4" s="421" t="s">
        <v>25</v>
      </c>
      <c r="B4" s="422"/>
      <c r="C4" s="423"/>
      <c r="D4" s="28">
        <f t="shared" ref="D4:J4" si="0">D5+D7+D14+D19+D27</f>
        <v>64569</v>
      </c>
      <c r="E4" s="28">
        <f t="shared" si="0"/>
        <v>61753.39</v>
      </c>
      <c r="F4" s="28">
        <f t="shared" si="0"/>
        <v>45846</v>
      </c>
      <c r="G4" s="28">
        <f t="shared" si="0"/>
        <v>1800</v>
      </c>
      <c r="H4" s="28">
        <f t="shared" si="0"/>
        <v>9693.7000000000007</v>
      </c>
      <c r="I4" s="28">
        <f t="shared" si="0"/>
        <v>4413.6899999999996</v>
      </c>
      <c r="J4" s="28">
        <f t="shared" si="0"/>
        <v>0</v>
      </c>
      <c r="K4" s="29">
        <f>E4-D4</f>
        <v>-2815.6100000000006</v>
      </c>
      <c r="L4" s="30"/>
      <c r="M4" s="31" t="s">
        <v>259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>
        <f>SUM(AB5,AB7,AB14,AB19,AB27)</f>
        <v>61753280</v>
      </c>
      <c r="AC4" s="34" t="s">
        <v>257</v>
      </c>
      <c r="AD4" s="9"/>
    </row>
    <row r="5" spans="1:31" ht="21" customHeight="1" thickBot="1">
      <c r="A5" s="44" t="s">
        <v>63</v>
      </c>
      <c r="B5" s="45" t="s">
        <v>63</v>
      </c>
      <c r="C5" s="223" t="s">
        <v>145</v>
      </c>
      <c r="D5" s="46">
        <v>9000</v>
      </c>
      <c r="E5" s="46">
        <f>SUM(F5:J5)</f>
        <v>9000</v>
      </c>
      <c r="F5" s="46">
        <v>0</v>
      </c>
      <c r="G5" s="46">
        <v>0</v>
      </c>
      <c r="H5" s="46">
        <f>AB5/1000</f>
        <v>9000</v>
      </c>
      <c r="I5" s="46">
        <v>0</v>
      </c>
      <c r="J5" s="46">
        <v>0</v>
      </c>
      <c r="K5" s="47">
        <f>E5-D5</f>
        <v>0</v>
      </c>
      <c r="L5" s="48">
        <f>IF(D5=0,0,K5/D5)</f>
        <v>0</v>
      </c>
      <c r="M5" s="49" t="s">
        <v>66</v>
      </c>
      <c r="N5" s="220"/>
      <c r="O5" s="50"/>
      <c r="P5" s="50"/>
      <c r="Q5" s="50"/>
      <c r="R5" s="50"/>
      <c r="S5" s="50"/>
      <c r="T5" s="51"/>
      <c r="U5" s="51" t="s">
        <v>67</v>
      </c>
      <c r="V5" s="51"/>
      <c r="W5" s="51"/>
      <c r="X5" s="51"/>
      <c r="Y5" s="51"/>
      <c r="Z5" s="51"/>
      <c r="AA5" s="52"/>
      <c r="AB5" s="52">
        <f>AB6</f>
        <v>9000000</v>
      </c>
      <c r="AC5" s="53" t="s">
        <v>26</v>
      </c>
    </row>
    <row r="6" spans="1:31" ht="21" customHeight="1">
      <c r="A6" s="54" t="s">
        <v>64</v>
      </c>
      <c r="B6" s="55" t="s">
        <v>133</v>
      </c>
      <c r="C6" s="56" t="s">
        <v>133</v>
      </c>
      <c r="D6" s="57"/>
      <c r="E6" s="57"/>
      <c r="F6" s="57"/>
      <c r="G6" s="57"/>
      <c r="H6" s="57"/>
      <c r="I6" s="57"/>
      <c r="J6" s="57"/>
      <c r="K6" s="58"/>
      <c r="L6" s="40"/>
      <c r="M6" s="63" t="s">
        <v>69</v>
      </c>
      <c r="N6" s="64"/>
      <c r="O6" s="65"/>
      <c r="P6" s="65"/>
      <c r="Q6" s="225">
        <v>150000</v>
      </c>
      <c r="R6" s="225" t="s">
        <v>60</v>
      </c>
      <c r="S6" s="226" t="s">
        <v>61</v>
      </c>
      <c r="T6" s="225">
        <v>5</v>
      </c>
      <c r="U6" s="225" t="s">
        <v>59</v>
      </c>
      <c r="V6" s="226" t="s">
        <v>61</v>
      </c>
      <c r="W6" s="66">
        <v>12</v>
      </c>
      <c r="X6" s="221" t="s">
        <v>0</v>
      </c>
      <c r="Y6" s="221" t="s">
        <v>56</v>
      </c>
      <c r="Z6" s="221"/>
      <c r="AA6" s="225"/>
      <c r="AB6" s="225">
        <f>Q6*T6*W6</f>
        <v>9000000</v>
      </c>
      <c r="AC6" s="68" t="s">
        <v>60</v>
      </c>
    </row>
    <row r="7" spans="1:31" s="12" customFormat="1" ht="19.5" customHeight="1">
      <c r="A7" s="44" t="s">
        <v>31</v>
      </c>
      <c r="B7" s="406" t="s">
        <v>17</v>
      </c>
      <c r="C7" s="407"/>
      <c r="D7" s="277">
        <f>D8</f>
        <v>50683</v>
      </c>
      <c r="E7" s="277">
        <f t="shared" ref="E7:J7" si="1">E8</f>
        <v>47633</v>
      </c>
      <c r="F7" s="277">
        <f t="shared" si="1"/>
        <v>45833</v>
      </c>
      <c r="G7" s="277">
        <f t="shared" si="1"/>
        <v>1800</v>
      </c>
      <c r="H7" s="277">
        <f t="shared" si="1"/>
        <v>0</v>
      </c>
      <c r="I7" s="277">
        <f t="shared" si="1"/>
        <v>0</v>
      </c>
      <c r="J7" s="277">
        <f t="shared" si="1"/>
        <v>0</v>
      </c>
      <c r="K7" s="278">
        <f>E7-D7</f>
        <v>-3050</v>
      </c>
      <c r="L7" s="279">
        <f>IF(D7=0,0,K7/D7)</f>
        <v>-6.0177968944221928E-2</v>
      </c>
      <c r="M7" s="71" t="s">
        <v>72</v>
      </c>
      <c r="N7" s="51"/>
      <c r="O7" s="72"/>
      <c r="P7" s="72"/>
      <c r="Q7" s="51"/>
      <c r="R7" s="51"/>
      <c r="S7" s="51"/>
      <c r="T7" s="51"/>
      <c r="U7" s="51"/>
      <c r="V7" s="73"/>
      <c r="W7" s="73"/>
      <c r="X7" s="73"/>
      <c r="Y7" s="73"/>
      <c r="Z7" s="73"/>
      <c r="AA7" s="73"/>
      <c r="AB7" s="51">
        <f>AB8</f>
        <v>47633000</v>
      </c>
      <c r="AC7" s="53" t="s">
        <v>26</v>
      </c>
      <c r="AD7" s="6"/>
    </row>
    <row r="8" spans="1:31" ht="21" customHeight="1" thickBot="1">
      <c r="A8" s="54"/>
      <c r="B8" s="45" t="s">
        <v>74</v>
      </c>
      <c r="C8" s="45" t="s">
        <v>75</v>
      </c>
      <c r="D8" s="46">
        <f>D9</f>
        <v>50683</v>
      </c>
      <c r="E8" s="46">
        <f t="shared" ref="E8:J8" si="2">E9</f>
        <v>47633</v>
      </c>
      <c r="F8" s="46">
        <f t="shared" si="2"/>
        <v>45833</v>
      </c>
      <c r="G8" s="46">
        <f t="shared" si="2"/>
        <v>1800</v>
      </c>
      <c r="H8" s="46">
        <f t="shared" si="2"/>
        <v>0</v>
      </c>
      <c r="I8" s="46">
        <f t="shared" si="2"/>
        <v>0</v>
      </c>
      <c r="J8" s="46">
        <f t="shared" si="2"/>
        <v>0</v>
      </c>
      <c r="K8" s="47">
        <f>E8-D8</f>
        <v>-3050</v>
      </c>
      <c r="L8" s="48">
        <f>IF(D8=0,0,K8/D8)</f>
        <v>-6.0177968944221928E-2</v>
      </c>
      <c r="M8" s="75" t="s">
        <v>76</v>
      </c>
      <c r="N8" s="76"/>
      <c r="O8" s="77"/>
      <c r="P8" s="77"/>
      <c r="Q8" s="77"/>
      <c r="R8" s="77"/>
      <c r="S8" s="77"/>
      <c r="T8" s="78"/>
      <c r="U8" s="79" t="s">
        <v>77</v>
      </c>
      <c r="V8" s="79"/>
      <c r="W8" s="79"/>
      <c r="X8" s="79"/>
      <c r="Y8" s="79"/>
      <c r="Z8" s="79"/>
      <c r="AA8" s="80"/>
      <c r="AB8" s="80">
        <f>AB9</f>
        <v>47633000</v>
      </c>
      <c r="AC8" s="81" t="s">
        <v>73</v>
      </c>
    </row>
    <row r="9" spans="1:31" ht="21" customHeight="1" thickBot="1">
      <c r="A9" s="54"/>
      <c r="B9" s="55" t="s">
        <v>78</v>
      </c>
      <c r="C9" s="45" t="s">
        <v>183</v>
      </c>
      <c r="D9" s="46">
        <v>50683</v>
      </c>
      <c r="E9" s="46">
        <f>AB9/1000</f>
        <v>47633</v>
      </c>
      <c r="F9" s="46">
        <f>AB10/1000</f>
        <v>45833</v>
      </c>
      <c r="G9" s="46">
        <f>SUM(AB11:AB11)/1000</f>
        <v>1800</v>
      </c>
      <c r="H9" s="46">
        <v>0</v>
      </c>
      <c r="I9" s="46">
        <v>0</v>
      </c>
      <c r="J9" s="46">
        <v>0</v>
      </c>
      <c r="K9" s="47">
        <f>E9-D9</f>
        <v>-3050</v>
      </c>
      <c r="L9" s="48">
        <f>IF(D9=0,0,K9/D9)</f>
        <v>-6.0177968944221928E-2</v>
      </c>
      <c r="M9" s="228" t="s">
        <v>184</v>
      </c>
      <c r="N9" s="109"/>
      <c r="O9" s="229"/>
      <c r="P9" s="229"/>
      <c r="Q9" s="110"/>
      <c r="R9" s="110"/>
      <c r="S9" s="110"/>
      <c r="T9" s="111"/>
      <c r="U9" s="112" t="s">
        <v>79</v>
      </c>
      <c r="V9" s="112"/>
      <c r="W9" s="112"/>
      <c r="X9" s="112"/>
      <c r="Y9" s="112"/>
      <c r="Z9" s="112"/>
      <c r="AA9" s="113"/>
      <c r="AB9" s="113">
        <f>SUM(AB10:AB12)</f>
        <v>47633000</v>
      </c>
      <c r="AC9" s="114" t="s">
        <v>26</v>
      </c>
    </row>
    <row r="10" spans="1:31" ht="21" customHeight="1">
      <c r="A10" s="54"/>
      <c r="B10" s="55"/>
      <c r="C10" s="55"/>
      <c r="D10" s="57"/>
      <c r="E10" s="57"/>
      <c r="F10" s="57"/>
      <c r="G10" s="57"/>
      <c r="H10" s="57"/>
      <c r="I10" s="57"/>
      <c r="J10" s="57"/>
      <c r="K10" s="58"/>
      <c r="L10" s="40"/>
      <c r="M10" s="311" t="s">
        <v>185</v>
      </c>
      <c r="N10" s="309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2"/>
      <c r="AB10" s="313">
        <v>45833000</v>
      </c>
      <c r="AC10" s="314" t="s">
        <v>187</v>
      </c>
    </row>
    <row r="11" spans="1:31" ht="21" customHeight="1">
      <c r="A11" s="54"/>
      <c r="B11" s="55"/>
      <c r="C11" s="55"/>
      <c r="D11" s="57"/>
      <c r="E11" s="57"/>
      <c r="F11" s="57"/>
      <c r="G11" s="57"/>
      <c r="H11" s="57"/>
      <c r="I11" s="57"/>
      <c r="J11" s="57"/>
      <c r="K11" s="58"/>
      <c r="L11" s="40"/>
      <c r="M11" s="311" t="s">
        <v>188</v>
      </c>
      <c r="N11" s="309"/>
      <c r="O11" s="310"/>
      <c r="P11" s="310"/>
      <c r="Q11" s="301">
        <v>150000</v>
      </c>
      <c r="R11" s="301" t="s">
        <v>60</v>
      </c>
      <c r="S11" s="302" t="s">
        <v>61</v>
      </c>
      <c r="T11" s="301">
        <v>1</v>
      </c>
      <c r="U11" s="301" t="s">
        <v>59</v>
      </c>
      <c r="V11" s="302" t="s">
        <v>61</v>
      </c>
      <c r="W11" s="301">
        <v>12</v>
      </c>
      <c r="X11" s="301" t="s">
        <v>0</v>
      </c>
      <c r="Y11" s="301" t="s">
        <v>56</v>
      </c>
      <c r="Z11" s="301"/>
      <c r="AA11" s="89"/>
      <c r="AB11" s="89">
        <f>ROUNDUP(Q11*T11*W11,-3)</f>
        <v>1800000</v>
      </c>
      <c r="AC11" s="68" t="s">
        <v>60</v>
      </c>
    </row>
    <row r="12" spans="1:31" ht="21" customHeight="1">
      <c r="A12" s="54"/>
      <c r="B12" s="55"/>
      <c r="C12" s="55"/>
      <c r="D12" s="57"/>
      <c r="E12" s="57"/>
      <c r="F12" s="57"/>
      <c r="G12" s="57"/>
      <c r="H12" s="57"/>
      <c r="I12" s="57"/>
      <c r="J12" s="57"/>
      <c r="K12" s="58"/>
      <c r="L12" s="40"/>
      <c r="M12" s="311" t="s">
        <v>189</v>
      </c>
      <c r="N12" s="315"/>
      <c r="O12" s="316"/>
      <c r="P12" s="316"/>
      <c r="Q12" s="301"/>
      <c r="R12" s="301"/>
      <c r="S12" s="302"/>
      <c r="T12" s="301"/>
      <c r="U12" s="301"/>
      <c r="V12" s="302"/>
      <c r="W12" s="301"/>
      <c r="X12" s="301"/>
      <c r="Y12" s="301"/>
      <c r="Z12" s="301"/>
      <c r="AA12" s="89"/>
      <c r="AB12" s="89">
        <v>0</v>
      </c>
      <c r="AC12" s="68" t="s">
        <v>186</v>
      </c>
    </row>
    <row r="13" spans="1:31" s="12" customFormat="1" ht="19.5" customHeight="1">
      <c r="A13" s="69"/>
      <c r="B13" s="70"/>
      <c r="C13" s="55"/>
      <c r="D13" s="57"/>
      <c r="E13" s="57"/>
      <c r="F13" s="57"/>
      <c r="G13" s="57"/>
      <c r="H13" s="57"/>
      <c r="I13" s="57"/>
      <c r="J13" s="57"/>
      <c r="K13" s="58"/>
      <c r="L13" s="92"/>
      <c r="M13" s="93"/>
      <c r="N13" s="107"/>
      <c r="O13" s="116"/>
      <c r="P13" s="116"/>
      <c r="Q13" s="107"/>
      <c r="R13" s="107"/>
      <c r="S13" s="107"/>
      <c r="T13" s="107"/>
      <c r="U13" s="107"/>
      <c r="V13" s="108"/>
      <c r="W13" s="108"/>
      <c r="X13" s="108"/>
      <c r="Y13" s="108"/>
      <c r="Z13" s="108"/>
      <c r="AA13" s="108"/>
      <c r="AB13" s="107"/>
      <c r="AC13" s="95"/>
      <c r="AD13" s="6"/>
    </row>
    <row r="14" spans="1:31" ht="21" customHeight="1" thickBot="1">
      <c r="A14" s="44" t="s">
        <v>84</v>
      </c>
      <c r="B14" s="45" t="s">
        <v>13</v>
      </c>
      <c r="C14" s="45" t="s">
        <v>139</v>
      </c>
      <c r="D14" s="46">
        <v>4183</v>
      </c>
      <c r="E14" s="46">
        <f>SUM(F14:J14)</f>
        <v>4413.6899999999996</v>
      </c>
      <c r="F14" s="46">
        <v>0</v>
      </c>
      <c r="G14" s="46">
        <v>0</v>
      </c>
      <c r="H14" s="46">
        <v>0</v>
      </c>
      <c r="I14" s="46">
        <f>AB14/1000</f>
        <v>4413.6899999999996</v>
      </c>
      <c r="J14" s="46">
        <v>0</v>
      </c>
      <c r="K14" s="47">
        <f>E14-D14</f>
        <v>230.6899999999996</v>
      </c>
      <c r="L14" s="48">
        <f>IF(D14=0,0,K14/D14)</f>
        <v>5.5149414295959744E-2</v>
      </c>
      <c r="M14" s="49" t="s">
        <v>32</v>
      </c>
      <c r="N14" s="123"/>
      <c r="O14" s="38"/>
      <c r="P14" s="38"/>
      <c r="Q14" s="38"/>
      <c r="R14" s="38"/>
      <c r="S14" s="38"/>
      <c r="T14" s="38"/>
      <c r="U14" s="124" t="s">
        <v>79</v>
      </c>
      <c r="V14" s="124"/>
      <c r="W14" s="124"/>
      <c r="X14" s="124"/>
      <c r="Y14" s="124"/>
      <c r="Z14" s="124"/>
      <c r="AA14" s="125"/>
      <c r="AB14" s="125">
        <f>SUM(AB15:AB17)</f>
        <v>4413690</v>
      </c>
      <c r="AC14" s="126" t="s">
        <v>26</v>
      </c>
      <c r="AD14" s="23"/>
      <c r="AE14" s="24"/>
    </row>
    <row r="15" spans="1:31" ht="21" customHeight="1">
      <c r="A15" s="54"/>
      <c r="B15" s="55"/>
      <c r="C15" s="55" t="s">
        <v>140</v>
      </c>
      <c r="D15" s="57"/>
      <c r="E15" s="57"/>
      <c r="F15" s="57"/>
      <c r="G15" s="57"/>
      <c r="H15" s="57"/>
      <c r="I15" s="57"/>
      <c r="J15" s="57"/>
      <c r="K15" s="58"/>
      <c r="L15" s="36"/>
      <c r="M15" s="302" t="s">
        <v>190</v>
      </c>
      <c r="N15" s="340" t="s">
        <v>262</v>
      </c>
      <c r="O15" s="301"/>
      <c r="P15" s="301"/>
      <c r="Q15" s="90">
        <v>1842000</v>
      </c>
      <c r="R15" s="91" t="s">
        <v>191</v>
      </c>
      <c r="S15" s="317">
        <v>25</v>
      </c>
      <c r="T15" s="96" t="s">
        <v>191</v>
      </c>
      <c r="U15" s="318">
        <v>3</v>
      </c>
      <c r="V15" s="319">
        <v>1.5</v>
      </c>
      <c r="W15" s="299" t="s">
        <v>192</v>
      </c>
      <c r="X15" s="299">
        <v>209</v>
      </c>
      <c r="Y15" s="299" t="s">
        <v>193</v>
      </c>
      <c r="Z15" s="301"/>
      <c r="AA15" s="89"/>
      <c r="AB15" s="89">
        <f>ROUNDDOWN(Q15*S15*V15/X15,-1)*U15</f>
        <v>991500</v>
      </c>
      <c r="AC15" s="68" t="s">
        <v>194</v>
      </c>
      <c r="AD15" s="23"/>
      <c r="AE15" s="24"/>
    </row>
    <row r="16" spans="1:31" ht="21" customHeight="1">
      <c r="A16" s="54"/>
      <c r="B16" s="55"/>
      <c r="C16" s="55"/>
      <c r="D16" s="57"/>
      <c r="E16" s="57"/>
      <c r="F16" s="57"/>
      <c r="G16" s="57"/>
      <c r="H16" s="57"/>
      <c r="I16" s="57"/>
      <c r="J16" s="57"/>
      <c r="K16" s="58"/>
      <c r="L16" s="36"/>
      <c r="M16" s="283"/>
      <c r="N16" s="340" t="s">
        <v>263</v>
      </c>
      <c r="O16" s="282"/>
      <c r="P16" s="282"/>
      <c r="Q16" s="90">
        <v>1909000</v>
      </c>
      <c r="R16" s="91" t="s">
        <v>191</v>
      </c>
      <c r="S16" s="317">
        <v>25</v>
      </c>
      <c r="T16" s="96" t="s">
        <v>191</v>
      </c>
      <c r="U16" s="318">
        <v>9</v>
      </c>
      <c r="V16" s="319">
        <v>1.5</v>
      </c>
      <c r="W16" s="299" t="s">
        <v>192</v>
      </c>
      <c r="X16" s="299">
        <v>209</v>
      </c>
      <c r="Y16" s="299" t="s">
        <v>193</v>
      </c>
      <c r="Z16" s="301"/>
      <c r="AA16" s="89"/>
      <c r="AB16" s="89">
        <f>ROUNDDOWN(Q16*S16*V16/X16,-1)*U16</f>
        <v>3082680</v>
      </c>
      <c r="AC16" s="68" t="s">
        <v>194</v>
      </c>
      <c r="AD16" s="23"/>
      <c r="AE16" s="24"/>
    </row>
    <row r="17" spans="1:31" ht="21" customHeight="1">
      <c r="A17" s="54"/>
      <c r="B17" s="55"/>
      <c r="C17" s="55"/>
      <c r="D17" s="57"/>
      <c r="E17" s="57"/>
      <c r="F17" s="57"/>
      <c r="G17" s="57"/>
      <c r="H17" s="57"/>
      <c r="I17" s="57"/>
      <c r="J17" s="57"/>
      <c r="K17" s="58"/>
      <c r="L17" s="36"/>
      <c r="M17" s="340" t="s">
        <v>261</v>
      </c>
      <c r="N17" s="283"/>
      <c r="O17" s="282"/>
      <c r="P17" s="282"/>
      <c r="Q17" s="90">
        <v>4074180</v>
      </c>
      <c r="R17" s="91" t="s">
        <v>61</v>
      </c>
      <c r="S17" s="317">
        <v>1</v>
      </c>
      <c r="T17" s="96" t="s">
        <v>61</v>
      </c>
      <c r="U17" s="318">
        <v>1</v>
      </c>
      <c r="V17" s="319">
        <v>1</v>
      </c>
      <c r="W17" s="299" t="s">
        <v>81</v>
      </c>
      <c r="X17" s="299">
        <v>12</v>
      </c>
      <c r="Y17" s="299" t="s">
        <v>260</v>
      </c>
      <c r="Z17" s="339"/>
      <c r="AA17" s="89"/>
      <c r="AB17" s="89">
        <f>ROUNDDOWN(Q17*S17*V17/X17,-1)*U17</f>
        <v>339510</v>
      </c>
      <c r="AC17" s="68" t="s">
        <v>60</v>
      </c>
      <c r="AD17" s="23"/>
      <c r="AE17" s="24"/>
    </row>
    <row r="18" spans="1:31" s="4" customFormat="1" ht="21" customHeight="1">
      <c r="A18" s="54"/>
      <c r="B18" s="55"/>
      <c r="C18" s="55"/>
      <c r="D18" s="57"/>
      <c r="E18" s="57"/>
      <c r="F18" s="57"/>
      <c r="G18" s="57"/>
      <c r="H18" s="57"/>
      <c r="I18" s="57"/>
      <c r="J18" s="57"/>
      <c r="K18" s="58"/>
      <c r="L18" s="92"/>
      <c r="M18" s="288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288"/>
      <c r="AA18" s="60"/>
      <c r="AB18" s="127"/>
      <c r="AC18" s="68"/>
      <c r="AD18" s="7"/>
    </row>
    <row r="19" spans="1:31" ht="21" customHeight="1" thickBot="1">
      <c r="A19" s="44" t="s">
        <v>14</v>
      </c>
      <c r="B19" s="45" t="s">
        <v>14</v>
      </c>
      <c r="C19" s="45" t="s">
        <v>85</v>
      </c>
      <c r="D19" s="46">
        <v>695</v>
      </c>
      <c r="E19" s="46">
        <f>SUM(F19:J19)</f>
        <v>698.7</v>
      </c>
      <c r="F19" s="46">
        <f>ROUND(SUM(AB21),-3)/1000</f>
        <v>7</v>
      </c>
      <c r="G19" s="46">
        <v>0</v>
      </c>
      <c r="H19" s="46">
        <f>AB22/1000</f>
        <v>691.7</v>
      </c>
      <c r="I19" s="46">
        <v>0</v>
      </c>
      <c r="J19" s="46">
        <f>ROUND(SUM(AB24:AB24),-3)/1000</f>
        <v>0</v>
      </c>
      <c r="K19" s="47">
        <f>E19-D19</f>
        <v>3.7000000000000455</v>
      </c>
      <c r="L19" s="48">
        <f>IF(D19=0,0,K19/D19)</f>
        <v>5.3237410071943101E-3</v>
      </c>
      <c r="M19" s="49" t="s">
        <v>32</v>
      </c>
      <c r="N19" s="123"/>
      <c r="O19" s="51"/>
      <c r="P19" s="51"/>
      <c r="Q19" s="51"/>
      <c r="R19" s="51"/>
      <c r="S19" s="51"/>
      <c r="T19" s="51"/>
      <c r="U19" s="124" t="s">
        <v>77</v>
      </c>
      <c r="V19" s="124"/>
      <c r="W19" s="124"/>
      <c r="X19" s="124"/>
      <c r="Y19" s="124"/>
      <c r="Z19" s="124"/>
      <c r="AA19" s="125"/>
      <c r="AB19" s="125">
        <f>SUM(AB21:AB23)</f>
        <v>698590</v>
      </c>
      <c r="AC19" s="126" t="s">
        <v>26</v>
      </c>
    </row>
    <row r="20" spans="1:31" ht="21" customHeight="1">
      <c r="A20" s="54"/>
      <c r="B20" s="55"/>
      <c r="C20" s="55" t="s">
        <v>135</v>
      </c>
      <c r="D20" s="57"/>
      <c r="E20" s="57"/>
      <c r="F20" s="57"/>
      <c r="G20" s="57"/>
      <c r="H20" s="57"/>
      <c r="I20" s="57"/>
      <c r="J20" s="57"/>
      <c r="K20" s="58"/>
      <c r="L20" s="40"/>
      <c r="M20" s="232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233"/>
      <c r="AB20" s="233"/>
      <c r="AC20" s="39"/>
    </row>
    <row r="21" spans="1:31" ht="21" customHeight="1">
      <c r="A21" s="54"/>
      <c r="B21" s="55"/>
      <c r="C21" s="55"/>
      <c r="D21" s="57"/>
      <c r="E21" s="57"/>
      <c r="F21" s="57"/>
      <c r="G21" s="57"/>
      <c r="H21" s="57"/>
      <c r="I21" s="57"/>
      <c r="J21" s="57"/>
      <c r="K21" s="58"/>
      <c r="L21" s="92"/>
      <c r="M21" s="88" t="s">
        <v>197</v>
      </c>
      <c r="N21" s="198"/>
      <c r="O21" s="197"/>
      <c r="P21" s="197"/>
      <c r="Q21" s="197"/>
      <c r="R21" s="197"/>
      <c r="S21" s="197"/>
      <c r="T21" s="197"/>
      <c r="U21" s="64"/>
      <c r="V21" s="64"/>
      <c r="W21" s="64"/>
      <c r="X21" s="197"/>
      <c r="Y21" s="197"/>
      <c r="Z21" s="197"/>
      <c r="AA21" s="89"/>
      <c r="AB21" s="89">
        <v>6890</v>
      </c>
      <c r="AC21" s="68" t="s">
        <v>186</v>
      </c>
    </row>
    <row r="22" spans="1:31" ht="21" customHeight="1">
      <c r="A22" s="54"/>
      <c r="B22" s="55"/>
      <c r="C22" s="55"/>
      <c r="D22" s="57"/>
      <c r="E22" s="57"/>
      <c r="F22" s="57"/>
      <c r="G22" s="57"/>
      <c r="H22" s="57"/>
      <c r="I22" s="57"/>
      <c r="J22" s="57"/>
      <c r="K22" s="58"/>
      <c r="L22" s="92"/>
      <c r="M22" s="88" t="s">
        <v>195</v>
      </c>
      <c r="N22" s="198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>
        <v>691700</v>
      </c>
      <c r="AC22" s="68" t="s">
        <v>186</v>
      </c>
    </row>
    <row r="23" spans="1:31" ht="21" customHeight="1">
      <c r="A23" s="54"/>
      <c r="B23" s="55"/>
      <c r="C23" s="55"/>
      <c r="D23" s="57"/>
      <c r="E23" s="57"/>
      <c r="F23" s="57"/>
      <c r="G23" s="57"/>
      <c r="H23" s="57"/>
      <c r="I23" s="57"/>
      <c r="J23" s="57"/>
      <c r="K23" s="58"/>
      <c r="L23" s="92"/>
      <c r="M23" s="88" t="s">
        <v>196</v>
      </c>
      <c r="N23" s="198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>
        <v>0</v>
      </c>
      <c r="AC23" s="68" t="s">
        <v>186</v>
      </c>
    </row>
    <row r="24" spans="1:31" ht="21" customHeight="1">
      <c r="A24" s="54"/>
      <c r="B24" s="55"/>
      <c r="C24" s="55"/>
      <c r="D24" s="57"/>
      <c r="E24" s="57"/>
      <c r="F24" s="57"/>
      <c r="G24" s="57"/>
      <c r="H24" s="57"/>
      <c r="I24" s="57"/>
      <c r="J24" s="57"/>
      <c r="K24" s="58"/>
      <c r="L24" s="92"/>
      <c r="M24" s="88"/>
      <c r="N24" s="198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68"/>
    </row>
    <row r="25" spans="1:31" ht="21" customHeight="1">
      <c r="A25" s="54"/>
      <c r="B25" s="55"/>
      <c r="C25" s="45" t="s">
        <v>86</v>
      </c>
      <c r="D25" s="46">
        <v>0</v>
      </c>
      <c r="E25" s="46">
        <f>SUM(F25:J25)</f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7">
        <f>E25-D25</f>
        <v>0</v>
      </c>
      <c r="L25" s="48">
        <f>IF(D25=0,0,K25/D25)</f>
        <v>0</v>
      </c>
      <c r="M25" s="128" t="s">
        <v>137</v>
      </c>
      <c r="N25" s="73"/>
      <c r="O25" s="51"/>
      <c r="P25" s="51"/>
      <c r="Q25" s="51"/>
      <c r="R25" s="51"/>
      <c r="S25" s="51"/>
      <c r="T25" s="51"/>
      <c r="U25" s="51" t="s">
        <v>136</v>
      </c>
      <c r="V25" s="51"/>
      <c r="W25" s="51"/>
      <c r="X25" s="51"/>
      <c r="Y25" s="51"/>
      <c r="Z25" s="51"/>
      <c r="AA25" s="52"/>
      <c r="AB25" s="52">
        <v>0</v>
      </c>
      <c r="AC25" s="53" t="s">
        <v>26</v>
      </c>
    </row>
    <row r="26" spans="1:31" ht="21" customHeight="1">
      <c r="A26" s="69"/>
      <c r="B26" s="55"/>
      <c r="C26" s="55" t="s">
        <v>87</v>
      </c>
      <c r="D26" s="57"/>
      <c r="E26" s="57"/>
      <c r="F26" s="57"/>
      <c r="G26" s="57"/>
      <c r="H26" s="57"/>
      <c r="I26" s="57"/>
      <c r="J26" s="57"/>
      <c r="K26" s="58"/>
      <c r="L26" s="92"/>
      <c r="M26" s="59"/>
      <c r="N26" s="41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62"/>
      <c r="AB26" s="62"/>
      <c r="AC26" s="43"/>
    </row>
    <row r="27" spans="1:31" ht="21" customHeight="1">
      <c r="A27" s="54" t="s">
        <v>88</v>
      </c>
      <c r="B27" s="118" t="s">
        <v>16</v>
      </c>
      <c r="C27" s="118" t="s">
        <v>89</v>
      </c>
      <c r="D27" s="46">
        <f>SUM(D28,D30,D32)</f>
        <v>8</v>
      </c>
      <c r="E27" s="46">
        <f>SUM(E28,E30,E32)</f>
        <v>8</v>
      </c>
      <c r="F27" s="46">
        <f>SUM(F28,F30,F32)</f>
        <v>6</v>
      </c>
      <c r="G27" s="46">
        <f t="shared" ref="G27:J27" si="3">SUM(G28,G30,G32)</f>
        <v>0</v>
      </c>
      <c r="H27" s="46">
        <f t="shared" si="3"/>
        <v>2</v>
      </c>
      <c r="I27" s="46">
        <f t="shared" si="3"/>
        <v>0</v>
      </c>
      <c r="J27" s="46">
        <f t="shared" si="3"/>
        <v>0</v>
      </c>
      <c r="K27" s="47">
        <f>E27-D27</f>
        <v>0</v>
      </c>
      <c r="L27" s="48">
        <f>IF(D27=0,0,K27/D27)</f>
        <v>0</v>
      </c>
      <c r="M27" s="71" t="s">
        <v>90</v>
      </c>
      <c r="N27" s="73"/>
      <c r="O27" s="51"/>
      <c r="P27" s="51"/>
      <c r="Q27" s="51"/>
      <c r="R27" s="51"/>
      <c r="S27" s="51"/>
      <c r="T27" s="51"/>
      <c r="U27" s="51" t="s">
        <v>136</v>
      </c>
      <c r="V27" s="51"/>
      <c r="W27" s="51"/>
      <c r="X27" s="51"/>
      <c r="Y27" s="51"/>
      <c r="Z27" s="51"/>
      <c r="AA27" s="52"/>
      <c r="AB27" s="52">
        <f>AB28+AB30+AB32</f>
        <v>8000</v>
      </c>
      <c r="AC27" s="53" t="s">
        <v>26</v>
      </c>
    </row>
    <row r="28" spans="1:31" ht="21" customHeight="1">
      <c r="A28" s="54"/>
      <c r="B28" s="132"/>
      <c r="C28" s="118" t="s">
        <v>144</v>
      </c>
      <c r="D28" s="46">
        <v>0</v>
      </c>
      <c r="E28" s="46">
        <f>SUM(F28:J28)</f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7">
        <f>E28-D28</f>
        <v>0</v>
      </c>
      <c r="L28" s="48"/>
      <c r="M28" s="133" t="s">
        <v>92</v>
      </c>
      <c r="N28" s="129"/>
      <c r="O28" s="120"/>
      <c r="P28" s="120"/>
      <c r="Q28" s="120"/>
      <c r="R28" s="120"/>
      <c r="S28" s="120"/>
      <c r="T28" s="120"/>
      <c r="U28" s="224" t="s">
        <v>138</v>
      </c>
      <c r="V28" s="120"/>
      <c r="W28" s="120"/>
      <c r="X28" s="120"/>
      <c r="Y28" s="120"/>
      <c r="Z28" s="120"/>
      <c r="AA28" s="130"/>
      <c r="AB28" s="130">
        <v>0</v>
      </c>
      <c r="AC28" s="131" t="s">
        <v>91</v>
      </c>
    </row>
    <row r="29" spans="1:31" s="12" customFormat="1" ht="19.5" customHeight="1">
      <c r="A29" s="74"/>
      <c r="B29" s="134"/>
      <c r="C29" s="70" t="s">
        <v>93</v>
      </c>
      <c r="D29" s="82"/>
      <c r="E29" s="82"/>
      <c r="F29" s="82"/>
      <c r="G29" s="82"/>
      <c r="H29" s="82"/>
      <c r="I29" s="82"/>
      <c r="J29" s="82"/>
      <c r="K29" s="83"/>
      <c r="L29" s="115"/>
      <c r="M29" s="93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95"/>
      <c r="AD29" s="6"/>
    </row>
    <row r="30" spans="1:31" ht="21" customHeight="1">
      <c r="A30" s="54"/>
      <c r="B30" s="55"/>
      <c r="C30" s="55" t="s">
        <v>142</v>
      </c>
      <c r="D30" s="57">
        <v>8</v>
      </c>
      <c r="E30" s="46">
        <f>SUM(F30:J30)</f>
        <v>8</v>
      </c>
      <c r="F30" s="46">
        <v>6</v>
      </c>
      <c r="G30" s="46">
        <v>0</v>
      </c>
      <c r="H30" s="46">
        <v>2</v>
      </c>
      <c r="I30" s="46">
        <v>0</v>
      </c>
      <c r="J30" s="46">
        <v>0</v>
      </c>
      <c r="K30" s="58">
        <f>E30-D30</f>
        <v>0</v>
      </c>
      <c r="L30" s="48">
        <f>IF(D30=0,0,K30/D30)</f>
        <v>0</v>
      </c>
      <c r="M30" s="135" t="s">
        <v>94</v>
      </c>
      <c r="N30" s="41"/>
      <c r="O30" s="42"/>
      <c r="P30" s="42"/>
      <c r="Q30" s="42"/>
      <c r="R30" s="42"/>
      <c r="S30" s="42"/>
      <c r="T30" s="42"/>
      <c r="U30" s="227" t="s">
        <v>138</v>
      </c>
      <c r="V30" s="42"/>
      <c r="W30" s="42"/>
      <c r="X30" s="42"/>
      <c r="Y30" s="42"/>
      <c r="Z30" s="42"/>
      <c r="AA30" s="62"/>
      <c r="AB30" s="62">
        <v>8000</v>
      </c>
      <c r="AC30" s="43" t="s">
        <v>26</v>
      </c>
    </row>
    <row r="31" spans="1:31" s="12" customFormat="1" ht="19.5" customHeight="1">
      <c r="A31" s="74"/>
      <c r="B31" s="121"/>
      <c r="C31" s="55" t="s">
        <v>143</v>
      </c>
      <c r="D31" s="57"/>
      <c r="E31" s="57"/>
      <c r="F31" s="57"/>
      <c r="G31" s="57"/>
      <c r="H31" s="57"/>
      <c r="I31" s="57"/>
      <c r="J31" s="57"/>
      <c r="K31" s="58"/>
      <c r="L31" s="40"/>
      <c r="M31" s="93"/>
      <c r="N31" s="107"/>
      <c r="O31" s="107"/>
      <c r="P31" s="107"/>
      <c r="Q31" s="107"/>
      <c r="R31" s="107"/>
      <c r="S31" s="107"/>
      <c r="T31" s="107"/>
      <c r="U31" s="408"/>
      <c r="V31" s="408"/>
      <c r="W31" s="107"/>
      <c r="X31" s="107"/>
      <c r="Y31" s="107"/>
      <c r="Z31" s="107"/>
      <c r="AA31" s="107"/>
      <c r="AB31" s="136"/>
      <c r="AC31" s="43" t="s">
        <v>26</v>
      </c>
      <c r="AD31" s="6"/>
    </row>
    <row r="32" spans="1:31" ht="21" customHeight="1">
      <c r="A32" s="54"/>
      <c r="B32" s="55"/>
      <c r="C32" s="45" t="s">
        <v>141</v>
      </c>
      <c r="D32" s="46">
        <v>0</v>
      </c>
      <c r="E32" s="46">
        <f>SUM(F32:J32)</f>
        <v>0</v>
      </c>
      <c r="F32" s="46">
        <v>0</v>
      </c>
      <c r="G32" s="46">
        <v>0</v>
      </c>
      <c r="H32" s="46">
        <v>0</v>
      </c>
      <c r="I32" s="46">
        <v>0</v>
      </c>
      <c r="J32" s="46">
        <f>AB32/1000</f>
        <v>0</v>
      </c>
      <c r="K32" s="47">
        <f>E32-D32</f>
        <v>0</v>
      </c>
      <c r="L32" s="48">
        <f>IF(D32=0,0,K32/D32)</f>
        <v>0</v>
      </c>
      <c r="M32" s="135" t="s">
        <v>33</v>
      </c>
      <c r="N32" s="129"/>
      <c r="O32" s="42"/>
      <c r="P32" s="42"/>
      <c r="Q32" s="42"/>
      <c r="R32" s="42"/>
      <c r="S32" s="42"/>
      <c r="T32" s="42"/>
      <c r="U32" s="224" t="s">
        <v>138</v>
      </c>
      <c r="V32" s="120"/>
      <c r="W32" s="120"/>
      <c r="X32" s="120"/>
      <c r="Y32" s="120"/>
      <c r="Z32" s="120"/>
      <c r="AA32" s="130"/>
      <c r="AB32" s="130">
        <f>SUM(AB33:AB34)</f>
        <v>0</v>
      </c>
      <c r="AC32" s="131" t="s">
        <v>26</v>
      </c>
    </row>
    <row r="33" spans="1:30" s="12" customFormat="1" ht="19.5" customHeight="1">
      <c r="A33" s="74"/>
      <c r="B33" s="121"/>
      <c r="C33" s="55" t="s">
        <v>16</v>
      </c>
      <c r="D33" s="57"/>
      <c r="E33" s="57"/>
      <c r="F33" s="57"/>
      <c r="G33" s="57"/>
      <c r="H33" s="57"/>
      <c r="I33" s="57"/>
      <c r="J33" s="57"/>
      <c r="K33" s="58"/>
      <c r="L33" s="40"/>
      <c r="M33" s="88"/>
      <c r="N33" s="61"/>
      <c r="O33" s="61"/>
      <c r="P33" s="61"/>
      <c r="Q33" s="61"/>
      <c r="R33" s="61"/>
      <c r="S33" s="60"/>
      <c r="T33" s="61"/>
      <c r="U33" s="60"/>
      <c r="V33" s="60"/>
      <c r="W33" s="61"/>
      <c r="X33" s="61"/>
      <c r="Y33" s="67"/>
      <c r="Z33" s="67"/>
      <c r="AA33" s="60"/>
      <c r="AB33" s="61">
        <v>0</v>
      </c>
      <c r="AC33" s="68" t="s">
        <v>95</v>
      </c>
      <c r="AD33" s="6"/>
    </row>
    <row r="34" spans="1:30" s="12" customFormat="1" ht="19.5" customHeight="1">
      <c r="A34" s="74"/>
      <c r="B34" s="121"/>
      <c r="C34" s="55"/>
      <c r="D34" s="57"/>
      <c r="E34" s="57"/>
      <c r="F34" s="57"/>
      <c r="G34" s="57"/>
      <c r="H34" s="57"/>
      <c r="I34" s="57"/>
      <c r="J34" s="57"/>
      <c r="K34" s="58"/>
      <c r="L34" s="40"/>
      <c r="M34" s="88"/>
      <c r="N34" s="218"/>
      <c r="O34" s="218"/>
      <c r="P34" s="218"/>
      <c r="Q34" s="218"/>
      <c r="R34" s="218"/>
      <c r="S34" s="219"/>
      <c r="T34" s="218"/>
      <c r="U34" s="219"/>
      <c r="V34" s="219"/>
      <c r="W34" s="218"/>
      <c r="X34" s="218"/>
      <c r="Y34" s="217"/>
      <c r="Z34" s="217"/>
      <c r="AA34" s="219"/>
      <c r="AB34" s="218">
        <v>0</v>
      </c>
      <c r="AC34" s="68" t="s">
        <v>130</v>
      </c>
      <c r="AD34" s="6"/>
    </row>
    <row r="35" spans="1:30" s="12" customFormat="1" ht="19.5" customHeight="1" thickBot="1">
      <c r="A35" s="137"/>
      <c r="B35" s="138"/>
      <c r="C35" s="139"/>
      <c r="D35" s="140"/>
      <c r="E35" s="140"/>
      <c r="F35" s="140"/>
      <c r="G35" s="140"/>
      <c r="H35" s="140"/>
      <c r="I35" s="140"/>
      <c r="J35" s="140"/>
      <c r="K35" s="141"/>
      <c r="L35" s="142"/>
      <c r="M35" s="84"/>
      <c r="N35" s="86"/>
      <c r="O35" s="86"/>
      <c r="P35" s="86"/>
      <c r="Q35" s="86"/>
      <c r="R35" s="86"/>
      <c r="S35" s="85"/>
      <c r="T35" s="86"/>
      <c r="U35" s="85"/>
      <c r="V35" s="85"/>
      <c r="W35" s="86"/>
      <c r="X35" s="86"/>
      <c r="Y35" s="143"/>
      <c r="Z35" s="143"/>
      <c r="AA35" s="85"/>
      <c r="AB35" s="86"/>
      <c r="AC35" s="87"/>
      <c r="AD35" s="6"/>
    </row>
    <row r="46" spans="1:30" ht="19.5" customHeight="1">
      <c r="AD46" s="6" t="s">
        <v>70</v>
      </c>
    </row>
  </sheetData>
  <mergeCells count="9">
    <mergeCell ref="B7:C7"/>
    <mergeCell ref="U31:V31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45"/>
  <sheetViews>
    <sheetView topLeftCell="H1" zoomScaleNormal="100" zoomScaleSheetLayoutView="100" workbookViewId="0">
      <selection activeCell="Q9" sqref="Q9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5" width="9.33203125" style="19" bestFit="1" customWidth="1"/>
    <col min="6" max="6" width="9.33203125" style="19" customWidth="1"/>
    <col min="7" max="7" width="8.109375" style="19" customWidth="1"/>
    <col min="8" max="8" width="8.21875" style="19" customWidth="1"/>
    <col min="9" max="9" width="8.109375" style="19" customWidth="1"/>
    <col min="10" max="10" width="7.21875" style="19" customWidth="1"/>
    <col min="11" max="11" width="7.5546875" style="19" customWidth="1"/>
    <col min="12" max="12" width="6.33203125" style="276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5.44140625" style="5" customWidth="1"/>
    <col min="22" max="22" width="3.88671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1.33203125" style="5" bestFit="1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13" t="s">
        <v>273</v>
      </c>
      <c r="B1" s="413"/>
      <c r="C1" s="413"/>
      <c r="D1" s="144"/>
      <c r="E1" s="144"/>
      <c r="F1" s="144"/>
      <c r="G1" s="144"/>
      <c r="H1" s="144"/>
      <c r="I1" s="144"/>
      <c r="J1" s="144"/>
      <c r="K1" s="144"/>
      <c r="L1" s="258"/>
      <c r="M1" s="85"/>
      <c r="N1" s="85"/>
      <c r="O1" s="85"/>
      <c r="P1" s="85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1"/>
    </row>
    <row r="2" spans="1:31" s="3" customFormat="1" ht="21" customHeight="1">
      <c r="A2" s="414" t="s">
        <v>23</v>
      </c>
      <c r="B2" s="415"/>
      <c r="C2" s="415"/>
      <c r="D2" s="416" t="s">
        <v>266</v>
      </c>
      <c r="E2" s="418" t="s">
        <v>265</v>
      </c>
      <c r="F2" s="419"/>
      <c r="G2" s="419"/>
      <c r="H2" s="419"/>
      <c r="I2" s="419"/>
      <c r="J2" s="420"/>
      <c r="K2" s="409" t="s">
        <v>24</v>
      </c>
      <c r="L2" s="409"/>
      <c r="M2" s="437" t="s">
        <v>57</v>
      </c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9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17"/>
      <c r="E3" s="235" t="s">
        <v>146</v>
      </c>
      <c r="F3" s="300" t="s">
        <v>183</v>
      </c>
      <c r="G3" s="303" t="s">
        <v>198</v>
      </c>
      <c r="H3" s="235" t="s">
        <v>131</v>
      </c>
      <c r="I3" s="235" t="s">
        <v>134</v>
      </c>
      <c r="J3" s="235" t="s">
        <v>68</v>
      </c>
      <c r="K3" s="234" t="s">
        <v>147</v>
      </c>
      <c r="L3" s="145" t="s">
        <v>4</v>
      </c>
      <c r="M3" s="440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2"/>
    </row>
    <row r="4" spans="1:31" s="12" customFormat="1" ht="21" customHeight="1">
      <c r="A4" s="445" t="s">
        <v>34</v>
      </c>
      <c r="B4" s="446"/>
      <c r="C4" s="446"/>
      <c r="D4" s="251">
        <f>SUM(D5,D75,D88,D133,D137,D141)</f>
        <v>64569</v>
      </c>
      <c r="E4" s="251">
        <f>SUM(F4,G4,H4,I4,J4)</f>
        <v>61753.279600000002</v>
      </c>
      <c r="F4" s="251">
        <f>SUM(F5,F75,F88,F133,F137,F141)</f>
        <v>45845.89</v>
      </c>
      <c r="G4" s="251">
        <f>SUM(G5,G75,G88,G133,G137,G141)</f>
        <v>1800</v>
      </c>
      <c r="H4" s="251">
        <f>SUM(H5,H75,H88,H133,H137,H141)</f>
        <v>9693.6995999999999</v>
      </c>
      <c r="I4" s="251">
        <f>SUM(I5,I75,I88,I133,I137,I141)</f>
        <v>4413.6899999999996</v>
      </c>
      <c r="J4" s="251">
        <f>SUM(J5,J75,J88,J133,J137,J141)</f>
        <v>0</v>
      </c>
      <c r="K4" s="250">
        <f>E4-D4</f>
        <v>-2815.7203999999983</v>
      </c>
      <c r="L4" s="252">
        <f>IF(D4=0,0,K4/D4)</f>
        <v>-4.3607929501773272E-2</v>
      </c>
      <c r="M4" s="253" t="s">
        <v>164</v>
      </c>
      <c r="N4" s="254"/>
      <c r="O4" s="254"/>
      <c r="P4" s="254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>
        <f>SUM(AC5,AC75,AC88,AC133,AC137,AC141)</f>
        <v>61753279.600000001</v>
      </c>
      <c r="AD4" s="256" t="s">
        <v>26</v>
      </c>
      <c r="AE4" s="2"/>
    </row>
    <row r="5" spans="1:31" s="12" customFormat="1" ht="21" customHeight="1">
      <c r="A5" s="151" t="s">
        <v>6</v>
      </c>
      <c r="B5" s="443" t="s">
        <v>7</v>
      </c>
      <c r="C5" s="444"/>
      <c r="D5" s="248">
        <f t="shared" ref="D5:J5" si="0">SUM(D6,D41,D49)</f>
        <v>41503</v>
      </c>
      <c r="E5" s="248">
        <f t="shared" si="0"/>
        <v>41421.39</v>
      </c>
      <c r="F5" s="248">
        <f t="shared" si="0"/>
        <v>34803.699999999997</v>
      </c>
      <c r="G5" s="248">
        <f t="shared" si="0"/>
        <v>1800</v>
      </c>
      <c r="H5" s="248">
        <f t="shared" si="0"/>
        <v>404</v>
      </c>
      <c r="I5" s="248">
        <f t="shared" si="0"/>
        <v>4413.6899999999996</v>
      </c>
      <c r="J5" s="248">
        <f t="shared" si="0"/>
        <v>0</v>
      </c>
      <c r="K5" s="146">
        <f>E5-D5</f>
        <v>-81.610000000000582</v>
      </c>
      <c r="L5" s="257">
        <f>IF(D5=0,0,K5/D5)</f>
        <v>-1.9663638773100879E-3</v>
      </c>
      <c r="M5" s="283" t="s">
        <v>163</v>
      </c>
      <c r="N5" s="240"/>
      <c r="O5" s="240"/>
      <c r="P5" s="240"/>
      <c r="Q5" s="239"/>
      <c r="R5" s="282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>
        <f>SUM(AC6,AC41,AC49)</f>
        <v>41421390</v>
      </c>
      <c r="AD5" s="43" t="s">
        <v>26</v>
      </c>
      <c r="AE5" s="2"/>
    </row>
    <row r="6" spans="1:31" s="12" customFormat="1" ht="21" customHeight="1">
      <c r="A6" s="54"/>
      <c r="B6" s="45" t="s">
        <v>8</v>
      </c>
      <c r="C6" s="260" t="s">
        <v>5</v>
      </c>
      <c r="D6" s="261">
        <f>SUM(D7,D10,D26,D30,D38)</f>
        <v>34503</v>
      </c>
      <c r="E6" s="259">
        <f>SUM(E7,E10,E26,E30)</f>
        <v>36486.39</v>
      </c>
      <c r="F6" s="259">
        <f>F7+F10+F26+F30</f>
        <v>30272.7</v>
      </c>
      <c r="G6" s="259">
        <f>SUM(G7,G10,G26,G30)</f>
        <v>1800</v>
      </c>
      <c r="H6" s="259">
        <f>SUM(H7,H10,H26,H30)</f>
        <v>0</v>
      </c>
      <c r="I6" s="259">
        <f>SUM(I7,I10,I26,I30)</f>
        <v>4413.6899999999996</v>
      </c>
      <c r="J6" s="259">
        <f>SUM(J7,J10,J26,J30)</f>
        <v>0</v>
      </c>
      <c r="K6" s="262">
        <f>E6-D6</f>
        <v>1983.3899999999994</v>
      </c>
      <c r="L6" s="263">
        <f>IF(D6=0,0,K6/D6)</f>
        <v>5.7484566559429601E-2</v>
      </c>
      <c r="M6" s="264" t="s">
        <v>162</v>
      </c>
      <c r="N6" s="264"/>
      <c r="O6" s="264"/>
      <c r="P6" s="264"/>
      <c r="Q6" s="265"/>
      <c r="R6" s="346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>
        <f>SUM(AC7,AC10,AC26,AC30)</f>
        <v>36486390</v>
      </c>
      <c r="AD6" s="266" t="s">
        <v>26</v>
      </c>
      <c r="AE6" s="2"/>
    </row>
    <row r="7" spans="1:31" s="12" customFormat="1" ht="21" customHeight="1">
      <c r="A7" s="54"/>
      <c r="B7" s="55"/>
      <c r="C7" s="45" t="s">
        <v>35</v>
      </c>
      <c r="D7" s="243">
        <v>21930</v>
      </c>
      <c r="E7" s="153">
        <f>F7</f>
        <v>22707</v>
      </c>
      <c r="F7" s="153">
        <f>AC7/1000</f>
        <v>22707</v>
      </c>
      <c r="G7" s="153">
        <v>0</v>
      </c>
      <c r="H7" s="153">
        <v>0</v>
      </c>
      <c r="I7" s="153">
        <v>0</v>
      </c>
      <c r="J7" s="153">
        <v>0</v>
      </c>
      <c r="K7" s="152">
        <f>E7-D7</f>
        <v>777</v>
      </c>
      <c r="L7" s="160">
        <f>IF(D7=0,0,K7/D7)</f>
        <v>3.5430916552667578E-2</v>
      </c>
      <c r="M7" s="308" t="s">
        <v>96</v>
      </c>
      <c r="N7" s="308"/>
      <c r="O7" s="287"/>
      <c r="P7" s="287"/>
      <c r="Q7" s="287"/>
      <c r="R7" s="287"/>
      <c r="S7" s="286"/>
      <c r="T7" s="286"/>
      <c r="U7" s="286"/>
      <c r="V7" s="307" t="s">
        <v>148</v>
      </c>
      <c r="W7" s="307"/>
      <c r="X7" s="307"/>
      <c r="Y7" s="307"/>
      <c r="Z7" s="307"/>
      <c r="AA7" s="307"/>
      <c r="AB7" s="267"/>
      <c r="AC7" s="267">
        <f>SUM(AC8:AC9)</f>
        <v>22707000</v>
      </c>
      <c r="AD7" s="266" t="s">
        <v>60</v>
      </c>
      <c r="AE7" s="1"/>
    </row>
    <row r="8" spans="1:31" s="12" customFormat="1" ht="21" customHeight="1">
      <c r="A8" s="54"/>
      <c r="B8" s="55"/>
      <c r="C8" s="55"/>
      <c r="D8" s="241"/>
      <c r="E8" s="323"/>
      <c r="F8" s="323"/>
      <c r="G8" s="323"/>
      <c r="H8" s="323"/>
      <c r="I8" s="323"/>
      <c r="J8" s="323"/>
      <c r="K8" s="147"/>
      <c r="L8" s="92"/>
      <c r="M8" s="90" t="s">
        <v>203</v>
      </c>
      <c r="N8" s="324" t="s">
        <v>262</v>
      </c>
      <c r="O8" s="304"/>
      <c r="P8" s="304"/>
      <c r="Q8" s="90">
        <v>1842000</v>
      </c>
      <c r="R8" s="90"/>
      <c r="S8" s="91" t="s">
        <v>199</v>
      </c>
      <c r="T8" s="91" t="s">
        <v>200</v>
      </c>
      <c r="U8" s="91">
        <v>1</v>
      </c>
      <c r="V8" s="91" t="s">
        <v>201</v>
      </c>
      <c r="W8" s="91" t="s">
        <v>200</v>
      </c>
      <c r="X8" s="325">
        <v>3</v>
      </c>
      <c r="Y8" s="91" t="s">
        <v>30</v>
      </c>
      <c r="Z8" s="91" t="s">
        <v>202</v>
      </c>
      <c r="AA8" s="304"/>
      <c r="AB8" s="89"/>
      <c r="AC8" s="89">
        <f t="shared" ref="AC8:AC9" si="1">Q8*U8*X8</f>
        <v>5526000</v>
      </c>
      <c r="AD8" s="68" t="s">
        <v>26</v>
      </c>
      <c r="AE8" s="1"/>
    </row>
    <row r="9" spans="1:31" s="12" customFormat="1" ht="21" customHeight="1">
      <c r="A9" s="54"/>
      <c r="B9" s="55"/>
      <c r="C9" s="70"/>
      <c r="D9" s="242"/>
      <c r="E9" s="150"/>
      <c r="F9" s="150"/>
      <c r="G9" s="150"/>
      <c r="H9" s="150"/>
      <c r="I9" s="150"/>
      <c r="J9" s="150"/>
      <c r="K9" s="150"/>
      <c r="L9" s="115"/>
      <c r="M9" s="90"/>
      <c r="N9" s="324" t="s">
        <v>263</v>
      </c>
      <c r="O9" s="304"/>
      <c r="P9" s="304"/>
      <c r="Q9" s="90">
        <v>1909000</v>
      </c>
      <c r="R9" s="90"/>
      <c r="S9" s="91" t="s">
        <v>199</v>
      </c>
      <c r="T9" s="91" t="s">
        <v>200</v>
      </c>
      <c r="U9" s="91">
        <v>1</v>
      </c>
      <c r="V9" s="91" t="s">
        <v>201</v>
      </c>
      <c r="W9" s="91" t="s">
        <v>200</v>
      </c>
      <c r="X9" s="325">
        <v>9</v>
      </c>
      <c r="Y9" s="91" t="s">
        <v>30</v>
      </c>
      <c r="Z9" s="91" t="s">
        <v>202</v>
      </c>
      <c r="AA9" s="304"/>
      <c r="AB9" s="89"/>
      <c r="AC9" s="89">
        <f t="shared" si="1"/>
        <v>17181000</v>
      </c>
      <c r="AD9" s="68" t="s">
        <v>26</v>
      </c>
      <c r="AE9" s="1"/>
    </row>
    <row r="10" spans="1:31" s="12" customFormat="1" ht="21" customHeight="1">
      <c r="A10" s="54"/>
      <c r="B10" s="55"/>
      <c r="C10" s="45" t="s">
        <v>36</v>
      </c>
      <c r="D10" s="243">
        <v>7398</v>
      </c>
      <c r="E10" s="153">
        <f>F10+G10+H10+I10+J10</f>
        <v>8349.68</v>
      </c>
      <c r="F10" s="153">
        <f>SUM(명절휴가비,AC15)/1000</f>
        <v>2475.5</v>
      </c>
      <c r="G10" s="153">
        <f>SUM(AC23)/1000</f>
        <v>1800</v>
      </c>
      <c r="H10" s="153">
        <v>0</v>
      </c>
      <c r="I10" s="153">
        <f>SUM(연장근로수당)/1000</f>
        <v>4074.18</v>
      </c>
      <c r="J10" s="153">
        <v>0</v>
      </c>
      <c r="K10" s="152">
        <f>E10-D10</f>
        <v>951.68000000000029</v>
      </c>
      <c r="L10" s="160">
        <f>IF(D10=0,0,K10/D10)</f>
        <v>0.1286401730197351</v>
      </c>
      <c r="M10" s="133" t="s">
        <v>37</v>
      </c>
      <c r="N10" s="264"/>
      <c r="O10" s="129"/>
      <c r="P10" s="129"/>
      <c r="Q10" s="129"/>
      <c r="R10" s="287"/>
      <c r="S10" s="120"/>
      <c r="T10" s="120"/>
      <c r="U10" s="120"/>
      <c r="V10" s="265" t="s">
        <v>148</v>
      </c>
      <c r="W10" s="265"/>
      <c r="X10" s="265"/>
      <c r="Y10" s="265"/>
      <c r="Z10" s="265"/>
      <c r="AA10" s="265"/>
      <c r="AB10" s="267"/>
      <c r="AC10" s="267">
        <f>SUM(명절휴가비,연장근로수당,AC15,AC23)</f>
        <v>8349680</v>
      </c>
      <c r="AD10" s="266" t="s">
        <v>60</v>
      </c>
      <c r="AE10" s="1"/>
    </row>
    <row r="11" spans="1:31" s="12" customFormat="1" ht="21" customHeight="1">
      <c r="A11" s="54"/>
      <c r="B11" s="55"/>
      <c r="C11" s="55"/>
      <c r="D11" s="241"/>
      <c r="E11" s="147"/>
      <c r="F11" s="147"/>
      <c r="G11" s="147"/>
      <c r="H11" s="147"/>
      <c r="I11" s="147"/>
      <c r="J11" s="147"/>
      <c r="K11" s="147"/>
      <c r="L11" s="92"/>
      <c r="M11" s="306" t="s">
        <v>205</v>
      </c>
      <c r="N11" s="168"/>
      <c r="O11" s="168"/>
      <c r="P11" s="168"/>
      <c r="Q11" s="168"/>
      <c r="R11" s="349"/>
      <c r="S11" s="167"/>
      <c r="T11" s="167"/>
      <c r="U11" s="167"/>
      <c r="V11" s="179" t="s">
        <v>80</v>
      </c>
      <c r="W11" s="179"/>
      <c r="X11" s="179"/>
      <c r="Y11" s="179"/>
      <c r="Z11" s="179"/>
      <c r="AA11" s="179"/>
      <c r="AB11" s="94" t="s">
        <v>102</v>
      </c>
      <c r="AC11" s="94">
        <f>SUM(AC12:AC13)</f>
        <v>1875500</v>
      </c>
      <c r="AD11" s="95" t="s">
        <v>60</v>
      </c>
      <c r="AE11" s="18"/>
    </row>
    <row r="12" spans="1:31" s="12" customFormat="1" ht="21" customHeight="1">
      <c r="A12" s="54"/>
      <c r="B12" s="55"/>
      <c r="C12" s="55"/>
      <c r="D12" s="241"/>
      <c r="E12" s="147"/>
      <c r="F12" s="147"/>
      <c r="G12" s="147"/>
      <c r="H12" s="147"/>
      <c r="I12" s="147"/>
      <c r="J12" s="147"/>
      <c r="K12" s="147"/>
      <c r="L12" s="92"/>
      <c r="M12" s="330" t="s">
        <v>277</v>
      </c>
      <c r="N12" s="344" t="str">
        <f>N8</f>
        <v>6호</v>
      </c>
      <c r="O12" s="168"/>
      <c r="P12" s="168"/>
      <c r="Q12" s="90">
        <f>Q8</f>
        <v>1842000</v>
      </c>
      <c r="R12" s="90"/>
      <c r="S12" s="91" t="s">
        <v>199</v>
      </c>
      <c r="T12" s="91" t="s">
        <v>200</v>
      </c>
      <c r="U12" s="326">
        <v>1</v>
      </c>
      <c r="V12" s="91" t="s">
        <v>200</v>
      </c>
      <c r="W12" s="327">
        <v>0.5</v>
      </c>
      <c r="X12" s="328">
        <v>1</v>
      </c>
      <c r="Y12" s="329" t="s">
        <v>204</v>
      </c>
      <c r="Z12" s="91" t="s">
        <v>202</v>
      </c>
      <c r="AA12" s="304"/>
      <c r="AB12" s="89"/>
      <c r="AC12" s="89">
        <f t="shared" ref="AC12" si="2">Q12*U12*W12*X12</f>
        <v>921000</v>
      </c>
      <c r="AD12" s="68" t="s">
        <v>199</v>
      </c>
      <c r="AE12" s="18"/>
    </row>
    <row r="13" spans="1:31" s="12" customFormat="1" ht="21" customHeight="1">
      <c r="A13" s="54"/>
      <c r="B13" s="55"/>
      <c r="C13" s="55"/>
      <c r="D13" s="241"/>
      <c r="E13" s="147"/>
      <c r="F13" s="147"/>
      <c r="G13" s="147"/>
      <c r="H13" s="147"/>
      <c r="I13" s="147"/>
      <c r="J13" s="147"/>
      <c r="K13" s="147"/>
      <c r="L13" s="92"/>
      <c r="M13" s="340" t="s">
        <v>278</v>
      </c>
      <c r="N13" s="344" t="str">
        <f>N9</f>
        <v>7호</v>
      </c>
      <c r="O13" s="168"/>
      <c r="P13" s="168"/>
      <c r="Q13" s="90">
        <f>Q9</f>
        <v>1909000</v>
      </c>
      <c r="R13" s="90"/>
      <c r="S13" s="91" t="s">
        <v>199</v>
      </c>
      <c r="T13" s="91" t="s">
        <v>200</v>
      </c>
      <c r="U13" s="326">
        <v>1</v>
      </c>
      <c r="V13" s="91" t="s">
        <v>200</v>
      </c>
      <c r="W13" s="327">
        <v>0.5</v>
      </c>
      <c r="X13" s="328">
        <v>1</v>
      </c>
      <c r="Y13" s="329" t="s">
        <v>30</v>
      </c>
      <c r="Z13" s="91" t="s">
        <v>202</v>
      </c>
      <c r="AA13" s="304"/>
      <c r="AB13" s="89"/>
      <c r="AC13" s="89">
        <f>Q13*U13*W13*X13</f>
        <v>954500</v>
      </c>
      <c r="AD13" s="68" t="s">
        <v>199</v>
      </c>
      <c r="AE13" s="18"/>
    </row>
    <row r="14" spans="1:31" s="12" customFormat="1" ht="21" customHeight="1">
      <c r="A14" s="54"/>
      <c r="B14" s="55"/>
      <c r="C14" s="55"/>
      <c r="D14" s="241"/>
      <c r="E14" s="147"/>
      <c r="F14" s="147"/>
      <c r="G14" s="147"/>
      <c r="H14" s="147"/>
      <c r="I14" s="147"/>
      <c r="J14" s="147"/>
      <c r="K14" s="147"/>
      <c r="L14" s="92"/>
      <c r="M14" s="340"/>
      <c r="N14" s="344"/>
      <c r="O14" s="340"/>
      <c r="P14" s="340"/>
      <c r="Q14" s="90"/>
      <c r="R14" s="90"/>
      <c r="S14" s="91"/>
      <c r="T14" s="91"/>
      <c r="U14" s="326"/>
      <c r="V14" s="91"/>
      <c r="W14" s="327"/>
      <c r="X14" s="328"/>
      <c r="Y14" s="329"/>
      <c r="Z14" s="91"/>
      <c r="AA14" s="339"/>
      <c r="AB14" s="89"/>
      <c r="AC14" s="89"/>
      <c r="AD14" s="68"/>
      <c r="AE14" s="18"/>
    </row>
    <row r="15" spans="1:31" s="12" customFormat="1" ht="21" customHeight="1">
      <c r="A15" s="54"/>
      <c r="B15" s="55"/>
      <c r="C15" s="55"/>
      <c r="D15" s="241"/>
      <c r="E15" s="147"/>
      <c r="F15" s="147"/>
      <c r="G15" s="147"/>
      <c r="H15" s="147"/>
      <c r="I15" s="147"/>
      <c r="J15" s="147"/>
      <c r="K15" s="147"/>
      <c r="L15" s="92"/>
      <c r="M15" s="336" t="s">
        <v>274</v>
      </c>
      <c r="N15" s="344"/>
      <c r="O15" s="340"/>
      <c r="P15" s="340"/>
      <c r="Q15" s="90"/>
      <c r="R15" s="90"/>
      <c r="S15" s="91"/>
      <c r="T15" s="91"/>
      <c r="U15" s="326"/>
      <c r="V15" s="335" t="s">
        <v>80</v>
      </c>
      <c r="W15" s="335"/>
      <c r="X15" s="335"/>
      <c r="Y15" s="335"/>
      <c r="Z15" s="335"/>
      <c r="AA15" s="335"/>
      <c r="AB15" s="94" t="s">
        <v>65</v>
      </c>
      <c r="AC15" s="94">
        <f>SUM(AC16:AC17)</f>
        <v>600000</v>
      </c>
      <c r="AD15" s="95" t="s">
        <v>60</v>
      </c>
      <c r="AE15" s="18"/>
    </row>
    <row r="16" spans="1:31" s="12" customFormat="1" ht="21" customHeight="1">
      <c r="A16" s="54"/>
      <c r="B16" s="55"/>
      <c r="C16" s="55"/>
      <c r="D16" s="241"/>
      <c r="E16" s="147"/>
      <c r="F16" s="147"/>
      <c r="G16" s="147"/>
      <c r="H16" s="147"/>
      <c r="I16" s="147"/>
      <c r="J16" s="147"/>
      <c r="K16" s="147"/>
      <c r="L16" s="92"/>
      <c r="M16" s="340" t="s">
        <v>279</v>
      </c>
      <c r="N16" s="344"/>
      <c r="O16" s="340"/>
      <c r="P16" s="340"/>
      <c r="Q16" s="90">
        <v>40000</v>
      </c>
      <c r="R16" s="90"/>
      <c r="S16" s="91" t="s">
        <v>281</v>
      </c>
      <c r="T16" s="91"/>
      <c r="U16" s="326"/>
      <c r="V16" s="91"/>
      <c r="W16" s="327"/>
      <c r="X16" s="328">
        <v>12</v>
      </c>
      <c r="Y16" s="329" t="s">
        <v>282</v>
      </c>
      <c r="Z16" s="91"/>
      <c r="AA16" s="339"/>
      <c r="AB16" s="89"/>
      <c r="AC16" s="89">
        <f>Q16*X16</f>
        <v>480000</v>
      </c>
      <c r="AD16" s="68" t="s">
        <v>283</v>
      </c>
      <c r="AE16" s="18"/>
    </row>
    <row r="17" spans="1:31" s="12" customFormat="1" ht="21" customHeight="1">
      <c r="A17" s="54"/>
      <c r="B17" s="55"/>
      <c r="C17" s="55"/>
      <c r="D17" s="241"/>
      <c r="E17" s="147"/>
      <c r="F17" s="147"/>
      <c r="G17" s="147"/>
      <c r="H17" s="147"/>
      <c r="I17" s="147"/>
      <c r="J17" s="147"/>
      <c r="K17" s="147"/>
      <c r="L17" s="92"/>
      <c r="M17" s="340" t="s">
        <v>280</v>
      </c>
      <c r="N17" s="344"/>
      <c r="O17" s="340"/>
      <c r="P17" s="340"/>
      <c r="Q17" s="90">
        <v>40000</v>
      </c>
      <c r="R17" s="90"/>
      <c r="S17" s="91" t="s">
        <v>281</v>
      </c>
      <c r="T17" s="91"/>
      <c r="U17" s="326"/>
      <c r="V17" s="91"/>
      <c r="W17" s="327"/>
      <c r="X17" s="328">
        <v>3</v>
      </c>
      <c r="Y17" s="329" t="s">
        <v>282</v>
      </c>
      <c r="Z17" s="91"/>
      <c r="AA17" s="339"/>
      <c r="AB17" s="89"/>
      <c r="AC17" s="89">
        <f>Q17*X17</f>
        <v>120000</v>
      </c>
      <c r="AD17" s="68" t="s">
        <v>283</v>
      </c>
      <c r="AE17" s="18"/>
    </row>
    <row r="18" spans="1:31" s="12" customFormat="1" ht="21" customHeight="1">
      <c r="A18" s="54"/>
      <c r="B18" s="55"/>
      <c r="C18" s="55"/>
      <c r="D18" s="241"/>
      <c r="E18" s="147"/>
      <c r="F18" s="147"/>
      <c r="G18" s="147"/>
      <c r="H18" s="147"/>
      <c r="I18" s="147"/>
      <c r="J18" s="147"/>
      <c r="K18" s="147"/>
      <c r="L18" s="92"/>
      <c r="M18" s="238"/>
      <c r="N18" s="168"/>
      <c r="O18" s="168"/>
      <c r="P18" s="168"/>
      <c r="Q18" s="168"/>
      <c r="R18" s="349"/>
      <c r="S18" s="167"/>
      <c r="T18" s="167"/>
      <c r="U18" s="167"/>
      <c r="V18" s="167"/>
      <c r="W18" s="167"/>
      <c r="X18" s="167"/>
      <c r="Y18" s="167"/>
      <c r="Z18" s="167"/>
      <c r="AA18" s="167"/>
      <c r="AB18" s="89"/>
      <c r="AC18" s="89"/>
      <c r="AD18" s="68"/>
      <c r="AE18" s="18"/>
    </row>
    <row r="19" spans="1:31" s="12" customFormat="1" ht="21" customHeight="1">
      <c r="A19" s="54"/>
      <c r="B19" s="55"/>
      <c r="C19" s="55"/>
      <c r="D19" s="241"/>
      <c r="E19" s="147"/>
      <c r="F19" s="147"/>
      <c r="G19" s="147"/>
      <c r="H19" s="147"/>
      <c r="I19" s="147"/>
      <c r="J19" s="147"/>
      <c r="K19" s="147"/>
      <c r="L19" s="92"/>
      <c r="M19" s="336" t="s">
        <v>275</v>
      </c>
      <c r="N19" s="168"/>
      <c r="O19" s="168"/>
      <c r="P19" s="168"/>
      <c r="Q19" s="168"/>
      <c r="R19" s="349"/>
      <c r="S19" s="167"/>
      <c r="T19" s="167"/>
      <c r="U19" s="167"/>
      <c r="V19" s="179" t="s">
        <v>80</v>
      </c>
      <c r="W19" s="179"/>
      <c r="X19" s="179"/>
      <c r="Y19" s="179"/>
      <c r="Z19" s="179"/>
      <c r="AA19" s="179"/>
      <c r="AB19" s="94" t="s">
        <v>102</v>
      </c>
      <c r="AC19" s="94">
        <f>AC20+AC21</f>
        <v>4074180</v>
      </c>
      <c r="AD19" s="95" t="s">
        <v>60</v>
      </c>
      <c r="AE19" s="18"/>
    </row>
    <row r="20" spans="1:31" s="12" customFormat="1" ht="21" customHeight="1">
      <c r="A20" s="54"/>
      <c r="B20" s="55"/>
      <c r="C20" s="55"/>
      <c r="D20" s="241"/>
      <c r="E20" s="147"/>
      <c r="F20" s="147"/>
      <c r="G20" s="147"/>
      <c r="H20" s="147"/>
      <c r="I20" s="147"/>
      <c r="J20" s="147"/>
      <c r="K20" s="147"/>
      <c r="L20" s="92"/>
      <c r="M20" s="238"/>
      <c r="N20" s="344" t="str">
        <f>N8</f>
        <v>6호</v>
      </c>
      <c r="O20" s="304"/>
      <c r="P20" s="304"/>
      <c r="Q20" s="90">
        <f>Q8</f>
        <v>1842000</v>
      </c>
      <c r="R20" s="91" t="s">
        <v>60</v>
      </c>
      <c r="S20" s="91" t="s">
        <v>61</v>
      </c>
      <c r="T20" s="317">
        <v>25</v>
      </c>
      <c r="U20" s="96" t="s">
        <v>61</v>
      </c>
      <c r="V20" s="318">
        <v>3</v>
      </c>
      <c r="W20" s="319">
        <v>1.5</v>
      </c>
      <c r="X20" s="299" t="s">
        <v>81</v>
      </c>
      <c r="Y20" s="299">
        <v>209</v>
      </c>
      <c r="Z20" s="299" t="s">
        <v>56</v>
      </c>
      <c r="AA20" s="304"/>
      <c r="AB20" s="89"/>
      <c r="AC20" s="89">
        <f>ROUNDDOWN(Q20*T20*W20/Y20,-1)*V20</f>
        <v>991500</v>
      </c>
      <c r="AD20" s="68" t="s">
        <v>60</v>
      </c>
      <c r="AE20" s="18"/>
    </row>
    <row r="21" spans="1:31" s="12" customFormat="1" ht="21" customHeight="1">
      <c r="A21" s="54"/>
      <c r="B21" s="55"/>
      <c r="C21" s="55"/>
      <c r="D21" s="241"/>
      <c r="E21" s="147"/>
      <c r="F21" s="147"/>
      <c r="G21" s="147"/>
      <c r="H21" s="147"/>
      <c r="I21" s="147"/>
      <c r="J21" s="147"/>
      <c r="K21" s="147"/>
      <c r="L21" s="92"/>
      <c r="M21" s="238"/>
      <c r="N21" s="344" t="str">
        <f>N9</f>
        <v>7호</v>
      </c>
      <c r="O21" s="282"/>
      <c r="P21" s="282"/>
      <c r="Q21" s="90">
        <f>Q9</f>
        <v>1909000</v>
      </c>
      <c r="R21" s="91" t="s">
        <v>60</v>
      </c>
      <c r="S21" s="91" t="s">
        <v>61</v>
      </c>
      <c r="T21" s="317">
        <v>25</v>
      </c>
      <c r="U21" s="96" t="s">
        <v>61</v>
      </c>
      <c r="V21" s="318">
        <v>9</v>
      </c>
      <c r="W21" s="319">
        <v>1.5</v>
      </c>
      <c r="X21" s="299" t="s">
        <v>81</v>
      </c>
      <c r="Y21" s="299">
        <v>209</v>
      </c>
      <c r="Z21" s="299" t="s">
        <v>56</v>
      </c>
      <c r="AA21" s="304"/>
      <c r="AB21" s="89"/>
      <c r="AC21" s="89">
        <f>ROUNDDOWN(Q21*T21*W21/Y21,-1)*V21</f>
        <v>3082680</v>
      </c>
      <c r="AD21" s="68" t="s">
        <v>60</v>
      </c>
      <c r="AE21" s="18"/>
    </row>
    <row r="22" spans="1:31" s="12" customFormat="1" ht="21" customHeight="1">
      <c r="A22" s="54"/>
      <c r="B22" s="55"/>
      <c r="C22" s="55"/>
      <c r="D22" s="241"/>
      <c r="E22" s="147"/>
      <c r="F22" s="147"/>
      <c r="G22" s="147"/>
      <c r="H22" s="147"/>
      <c r="I22" s="147"/>
      <c r="J22" s="147"/>
      <c r="K22" s="147"/>
      <c r="L22" s="92"/>
      <c r="M22" s="238"/>
      <c r="N22" s="60"/>
      <c r="O22" s="60"/>
      <c r="P22" s="60"/>
      <c r="Q22" s="60"/>
      <c r="R22" s="349"/>
      <c r="S22" s="61"/>
      <c r="T22" s="61"/>
      <c r="U22" s="61"/>
      <c r="V22" s="61"/>
      <c r="W22" s="61"/>
      <c r="X22" s="61"/>
      <c r="Y22" s="61"/>
      <c r="Z22" s="61"/>
      <c r="AA22" s="61"/>
      <c r="AB22" s="89"/>
      <c r="AC22" s="89"/>
      <c r="AD22" s="68"/>
      <c r="AE22" s="18"/>
    </row>
    <row r="23" spans="1:31" s="12" customFormat="1" ht="21" customHeight="1">
      <c r="A23" s="54"/>
      <c r="B23" s="55"/>
      <c r="C23" s="55"/>
      <c r="D23" s="241"/>
      <c r="E23" s="147"/>
      <c r="F23" s="147"/>
      <c r="G23" s="147"/>
      <c r="H23" s="147"/>
      <c r="I23" s="147"/>
      <c r="J23" s="147"/>
      <c r="K23" s="147"/>
      <c r="L23" s="92"/>
      <c r="M23" s="336" t="s">
        <v>276</v>
      </c>
      <c r="N23" s="60"/>
      <c r="O23" s="60"/>
      <c r="P23" s="60"/>
      <c r="Q23" s="60"/>
      <c r="R23" s="349"/>
      <c r="S23" s="61"/>
      <c r="T23" s="61"/>
      <c r="U23" s="61"/>
      <c r="V23" s="107" t="s">
        <v>103</v>
      </c>
      <c r="W23" s="107"/>
      <c r="X23" s="107"/>
      <c r="Y23" s="107"/>
      <c r="Z23" s="107"/>
      <c r="AA23" s="107"/>
      <c r="AB23" s="94" t="s">
        <v>105</v>
      </c>
      <c r="AC23" s="94">
        <f>SUM(AC24:AC24)</f>
        <v>1800000</v>
      </c>
      <c r="AD23" s="95" t="s">
        <v>104</v>
      </c>
      <c r="AE23" s="18"/>
    </row>
    <row r="24" spans="1:31" s="12" customFormat="1" ht="21" customHeight="1">
      <c r="A24" s="54"/>
      <c r="B24" s="55"/>
      <c r="C24" s="55"/>
      <c r="D24" s="241"/>
      <c r="E24" s="147"/>
      <c r="F24" s="147"/>
      <c r="G24" s="147"/>
      <c r="H24" s="147"/>
      <c r="I24" s="147"/>
      <c r="J24" s="147"/>
      <c r="K24" s="147"/>
      <c r="L24" s="92"/>
      <c r="M24" s="305"/>
      <c r="N24" s="305"/>
      <c r="O24" s="305"/>
      <c r="P24" s="305"/>
      <c r="Q24" s="90">
        <v>150000</v>
      </c>
      <c r="R24" s="90"/>
      <c r="S24" s="91" t="s">
        <v>199</v>
      </c>
      <c r="T24" s="91" t="s">
        <v>200</v>
      </c>
      <c r="U24" s="91">
        <v>1</v>
      </c>
      <c r="V24" s="91" t="s">
        <v>201</v>
      </c>
      <c r="W24" s="91" t="s">
        <v>200</v>
      </c>
      <c r="X24" s="325">
        <v>12</v>
      </c>
      <c r="Y24" s="91" t="s">
        <v>30</v>
      </c>
      <c r="Z24" s="91" t="s">
        <v>202</v>
      </c>
      <c r="AA24" s="304"/>
      <c r="AB24" s="89"/>
      <c r="AC24" s="89">
        <f t="shared" ref="AC24" si="3">Q24*U24*X24</f>
        <v>1800000</v>
      </c>
      <c r="AD24" s="68" t="s">
        <v>26</v>
      </c>
      <c r="AE24" s="18"/>
    </row>
    <row r="25" spans="1:31" s="12" customFormat="1" ht="21" customHeight="1">
      <c r="A25" s="54"/>
      <c r="B25" s="55"/>
      <c r="C25" s="55"/>
      <c r="D25" s="241"/>
      <c r="E25" s="147"/>
      <c r="F25" s="147"/>
      <c r="G25" s="147"/>
      <c r="H25" s="147"/>
      <c r="I25" s="147"/>
      <c r="J25" s="147"/>
      <c r="K25" s="147"/>
      <c r="L25" s="92"/>
      <c r="M25" s="238"/>
      <c r="N25" s="60"/>
      <c r="O25" s="60"/>
      <c r="P25" s="60"/>
      <c r="Q25" s="61"/>
      <c r="R25" s="348"/>
      <c r="S25" s="65"/>
      <c r="T25" s="163"/>
      <c r="U25" s="65"/>
      <c r="V25" s="161"/>
      <c r="W25" s="161"/>
      <c r="X25" s="61"/>
      <c r="Y25" s="61"/>
      <c r="Z25" s="61"/>
      <c r="AA25" s="61"/>
      <c r="AB25" s="61"/>
      <c r="AC25" s="61"/>
      <c r="AD25" s="68"/>
      <c r="AE25" s="18"/>
    </row>
    <row r="26" spans="1:31" s="12" customFormat="1" ht="21" customHeight="1">
      <c r="A26" s="54"/>
      <c r="B26" s="55"/>
      <c r="C26" s="45" t="s">
        <v>9</v>
      </c>
      <c r="D26" s="243">
        <v>2444</v>
      </c>
      <c r="E26" s="153">
        <f>F26+G26+H26+I26+J26</f>
        <v>2588.0500000000002</v>
      </c>
      <c r="F26" s="153">
        <f>AC27/1000</f>
        <v>2248.54</v>
      </c>
      <c r="G26" s="153">
        <v>0</v>
      </c>
      <c r="H26" s="153">
        <v>0</v>
      </c>
      <c r="I26" s="153">
        <f>AC28/1000</f>
        <v>339.51</v>
      </c>
      <c r="J26" s="153">
        <v>0</v>
      </c>
      <c r="K26" s="152">
        <f>E26-D26</f>
        <v>144.05000000000018</v>
      </c>
      <c r="L26" s="160">
        <f>IF(D26=0,0,K26/D26)</f>
        <v>5.8940261865793854E-2</v>
      </c>
      <c r="M26" s="133" t="s">
        <v>38</v>
      </c>
      <c r="N26" s="264"/>
      <c r="O26" s="237"/>
      <c r="P26" s="129"/>
      <c r="Q26" s="129"/>
      <c r="R26" s="287"/>
      <c r="S26" s="120"/>
      <c r="T26" s="120"/>
      <c r="U26" s="120"/>
      <c r="V26" s="337" t="s">
        <v>267</v>
      </c>
      <c r="W26" s="337"/>
      <c r="X26" s="337"/>
      <c r="Y26" s="337"/>
      <c r="Z26" s="337"/>
      <c r="AA26" s="337"/>
      <c r="AB26" s="267" t="s">
        <v>268</v>
      </c>
      <c r="AC26" s="267">
        <f>AC27+AC28</f>
        <v>2588050</v>
      </c>
      <c r="AD26" s="266" t="s">
        <v>269</v>
      </c>
      <c r="AE26" s="2"/>
    </row>
    <row r="27" spans="1:31" s="12" customFormat="1" ht="21" customHeight="1">
      <c r="A27" s="54"/>
      <c r="B27" s="55"/>
      <c r="C27" s="55"/>
      <c r="D27" s="244"/>
      <c r="E27" s="147"/>
      <c r="F27" s="147"/>
      <c r="G27" s="147"/>
      <c r="H27" s="147"/>
      <c r="I27" s="147"/>
      <c r="J27" s="147"/>
      <c r="K27" s="154"/>
      <c r="L27" s="92"/>
      <c r="M27" s="340" t="s">
        <v>284</v>
      </c>
      <c r="N27" s="60"/>
      <c r="O27" s="60"/>
      <c r="P27" s="60"/>
      <c r="Q27" s="199">
        <f>AC7+명절휴가비+AC15+AC23</f>
        <v>26982500</v>
      </c>
      <c r="R27" s="348"/>
      <c r="S27" s="122" t="s">
        <v>60</v>
      </c>
      <c r="T27" s="122" t="s">
        <v>81</v>
      </c>
      <c r="U27" s="99">
        <v>12</v>
      </c>
      <c r="V27" s="96" t="s">
        <v>0</v>
      </c>
      <c r="W27" s="167"/>
      <c r="X27" s="167"/>
      <c r="Y27" s="167"/>
      <c r="Z27" s="167" t="s">
        <v>82</v>
      </c>
      <c r="AA27" s="61"/>
      <c r="AB27" s="89"/>
      <c r="AC27" s="89">
        <f>ROUNDDOWN(Q27/U27,-1)</f>
        <v>2248540</v>
      </c>
      <c r="AD27" s="68" t="s">
        <v>73</v>
      </c>
      <c r="AE27" s="2"/>
    </row>
    <row r="28" spans="1:31" s="12" customFormat="1" ht="21" customHeight="1">
      <c r="A28" s="54"/>
      <c r="B28" s="55"/>
      <c r="C28" s="55"/>
      <c r="D28" s="244"/>
      <c r="E28" s="147"/>
      <c r="F28" s="147"/>
      <c r="G28" s="147"/>
      <c r="H28" s="147"/>
      <c r="I28" s="147"/>
      <c r="J28" s="147"/>
      <c r="K28" s="154"/>
      <c r="L28" s="92"/>
      <c r="M28" s="340" t="s">
        <v>285</v>
      </c>
      <c r="N28" s="340"/>
      <c r="O28" s="340"/>
      <c r="P28" s="340"/>
      <c r="Q28" s="339">
        <v>4074180</v>
      </c>
      <c r="R28" s="348"/>
      <c r="S28" s="299" t="s">
        <v>60</v>
      </c>
      <c r="T28" s="299" t="s">
        <v>81</v>
      </c>
      <c r="U28" s="99">
        <v>12</v>
      </c>
      <c r="V28" s="96" t="s">
        <v>282</v>
      </c>
      <c r="W28" s="339"/>
      <c r="X28" s="339"/>
      <c r="Y28" s="339"/>
      <c r="Z28" s="339" t="s">
        <v>260</v>
      </c>
      <c r="AA28" s="339"/>
      <c r="AB28" s="89"/>
      <c r="AC28" s="89">
        <f>ROUNDDOWN(Q28/U28,-1)</f>
        <v>339510</v>
      </c>
      <c r="AD28" s="68" t="s">
        <v>283</v>
      </c>
      <c r="AE28" s="2"/>
    </row>
    <row r="29" spans="1:31" s="12" customFormat="1" ht="21" customHeight="1">
      <c r="A29" s="54"/>
      <c r="B29" s="55"/>
      <c r="C29" s="55"/>
      <c r="D29" s="245"/>
      <c r="E29" s="147"/>
      <c r="F29" s="147"/>
      <c r="G29" s="147"/>
      <c r="H29" s="147"/>
      <c r="I29" s="147"/>
      <c r="J29" s="147"/>
      <c r="K29" s="154"/>
      <c r="L29" s="92"/>
      <c r="M29" s="41"/>
      <c r="N29" s="41"/>
      <c r="O29" s="41"/>
      <c r="P29" s="41"/>
      <c r="Q29" s="41"/>
      <c r="R29" s="283"/>
      <c r="S29" s="42"/>
      <c r="T29" s="42"/>
      <c r="U29" s="42"/>
      <c r="V29" s="42"/>
      <c r="W29" s="42"/>
      <c r="X29" s="42"/>
      <c r="Y29" s="42"/>
      <c r="Z29" s="42"/>
      <c r="AA29" s="42"/>
      <c r="AB29" s="62"/>
      <c r="AC29" s="62"/>
      <c r="AD29" s="43"/>
      <c r="AE29" s="2"/>
    </row>
    <row r="30" spans="1:31" s="12" customFormat="1" ht="21" customHeight="1">
      <c r="A30" s="54"/>
      <c r="B30" s="55"/>
      <c r="C30" s="164" t="s">
        <v>106</v>
      </c>
      <c r="D30" s="243">
        <v>2531</v>
      </c>
      <c r="E30" s="153">
        <f>F30</f>
        <v>2841.66</v>
      </c>
      <c r="F30" s="153">
        <f>AC30/1000</f>
        <v>2841.66</v>
      </c>
      <c r="G30" s="153">
        <v>0</v>
      </c>
      <c r="H30" s="153">
        <v>0</v>
      </c>
      <c r="I30" s="153">
        <v>0</v>
      </c>
      <c r="J30" s="153">
        <v>0</v>
      </c>
      <c r="K30" s="165">
        <f>E30-D30</f>
        <v>310.65999999999985</v>
      </c>
      <c r="L30" s="160">
        <f>IF(D30=0,0,K30/D30)</f>
        <v>0.12274199920979845</v>
      </c>
      <c r="M30" s="133" t="s">
        <v>39</v>
      </c>
      <c r="N30" s="264"/>
      <c r="O30" s="129"/>
      <c r="P30" s="129"/>
      <c r="Q30" s="129"/>
      <c r="R30" s="287"/>
      <c r="S30" s="120"/>
      <c r="T30" s="120"/>
      <c r="U30" s="120"/>
      <c r="V30" s="265" t="s">
        <v>148</v>
      </c>
      <c r="W30" s="265"/>
      <c r="X30" s="265"/>
      <c r="Y30" s="265"/>
      <c r="Z30" s="265"/>
      <c r="AA30" s="265"/>
      <c r="AB30" s="267"/>
      <c r="AC30" s="267">
        <f>AC32+AC33+AC34+AC35+AC36</f>
        <v>2841660</v>
      </c>
      <c r="AD30" s="266" t="s">
        <v>26</v>
      </c>
    </row>
    <row r="31" spans="1:31" s="12" customFormat="1" ht="21" customHeight="1">
      <c r="A31" s="54"/>
      <c r="B31" s="55"/>
      <c r="C31" s="55" t="s">
        <v>149</v>
      </c>
      <c r="D31" s="241"/>
      <c r="E31" s="147"/>
      <c r="F31" s="147"/>
      <c r="G31" s="147"/>
      <c r="H31" s="147"/>
      <c r="I31" s="147"/>
      <c r="J31" s="147"/>
      <c r="K31" s="147"/>
      <c r="L31" s="92"/>
      <c r="M31" s="240"/>
      <c r="N31" s="41"/>
      <c r="O31" s="41"/>
      <c r="P31" s="41"/>
      <c r="Q31" s="41"/>
      <c r="R31" s="283"/>
      <c r="S31" s="42"/>
      <c r="T31" s="42"/>
      <c r="U31" s="42"/>
      <c r="V31" s="42"/>
      <c r="W31" s="42"/>
      <c r="X31" s="42"/>
      <c r="Y31" s="42"/>
      <c r="Z31" s="42"/>
      <c r="AA31" s="42"/>
      <c r="AB31" s="62"/>
      <c r="AC31" s="62"/>
      <c r="AD31" s="43"/>
      <c r="AE31" s="2"/>
    </row>
    <row r="32" spans="1:31" s="12" customFormat="1" ht="21" customHeight="1">
      <c r="A32" s="54"/>
      <c r="B32" s="55"/>
      <c r="C32" s="55"/>
      <c r="D32" s="241"/>
      <c r="E32" s="147"/>
      <c r="F32" s="147"/>
      <c r="G32" s="147"/>
      <c r="H32" s="147"/>
      <c r="I32" s="147"/>
      <c r="J32" s="147"/>
      <c r="K32" s="147"/>
      <c r="L32" s="92"/>
      <c r="M32" s="305" t="s">
        <v>210</v>
      </c>
      <c r="N32" s="168"/>
      <c r="O32" s="168"/>
      <c r="P32" s="168"/>
      <c r="Q32" s="284">
        <f>AC7+AC10</f>
        <v>31056680</v>
      </c>
      <c r="R32" s="348"/>
      <c r="S32" s="281" t="s">
        <v>60</v>
      </c>
      <c r="T32" s="96" t="s">
        <v>61</v>
      </c>
      <c r="U32" s="100">
        <v>0.09</v>
      </c>
      <c r="V32" s="281" t="s">
        <v>81</v>
      </c>
      <c r="W32" s="101">
        <v>2</v>
      </c>
      <c r="X32" s="98"/>
      <c r="Y32" s="98"/>
      <c r="Z32" s="281" t="s">
        <v>56</v>
      </c>
      <c r="AA32" s="167"/>
      <c r="AB32" s="89"/>
      <c r="AC32" s="89">
        <f>ROUND(Q32*U32/W32,-1)</f>
        <v>1397550</v>
      </c>
      <c r="AD32" s="68" t="s">
        <v>73</v>
      </c>
      <c r="AE32" s="2"/>
    </row>
    <row r="33" spans="1:31" s="12" customFormat="1" ht="21" customHeight="1">
      <c r="A33" s="54"/>
      <c r="B33" s="55"/>
      <c r="C33" s="55"/>
      <c r="D33" s="241"/>
      <c r="E33" s="147"/>
      <c r="F33" s="147"/>
      <c r="G33" s="147"/>
      <c r="H33" s="147"/>
      <c r="I33" s="147"/>
      <c r="J33" s="147"/>
      <c r="K33" s="147"/>
      <c r="L33" s="92"/>
      <c r="M33" s="305" t="s">
        <v>206</v>
      </c>
      <c r="N33" s="168"/>
      <c r="O33" s="168"/>
      <c r="P33" s="168"/>
      <c r="Q33" s="339">
        <f>AC7+AC10</f>
        <v>31056680</v>
      </c>
      <c r="R33" s="348"/>
      <c r="S33" s="167" t="s">
        <v>26</v>
      </c>
      <c r="T33" s="281" t="s">
        <v>27</v>
      </c>
      <c r="U33" s="102">
        <v>5.8000000000000003E-2</v>
      </c>
      <c r="V33" s="167" t="s">
        <v>157</v>
      </c>
      <c r="W33" s="281">
        <v>2</v>
      </c>
      <c r="X33" s="167"/>
      <c r="Y33" s="167"/>
      <c r="Z33" s="299" t="s">
        <v>56</v>
      </c>
      <c r="AA33" s="167"/>
      <c r="AB33" s="89"/>
      <c r="AC33" s="89">
        <f>ROUNDDOWN(Q33*U33/W33,-1)</f>
        <v>900640</v>
      </c>
      <c r="AD33" s="68" t="s">
        <v>73</v>
      </c>
      <c r="AE33" s="2"/>
    </row>
    <row r="34" spans="1:31" s="12" customFormat="1" ht="21" customHeight="1">
      <c r="A34" s="54"/>
      <c r="B34" s="55"/>
      <c r="C34" s="55"/>
      <c r="D34" s="241"/>
      <c r="E34" s="147"/>
      <c r="F34" s="147"/>
      <c r="G34" s="147"/>
      <c r="H34" s="147"/>
      <c r="I34" s="147"/>
      <c r="J34" s="147"/>
      <c r="K34" s="147"/>
      <c r="L34" s="92"/>
      <c r="M34" s="305" t="s">
        <v>207</v>
      </c>
      <c r="N34" s="168"/>
      <c r="O34" s="168"/>
      <c r="P34" s="168"/>
      <c r="Q34" s="339">
        <f>AC33</f>
        <v>900640</v>
      </c>
      <c r="R34" s="348"/>
      <c r="S34" s="281" t="s">
        <v>60</v>
      </c>
      <c r="T34" s="96" t="s">
        <v>61</v>
      </c>
      <c r="U34" s="102">
        <v>6.5500000000000003E-2</v>
      </c>
      <c r="V34" s="103"/>
      <c r="W34" s="104"/>
      <c r="X34" s="105"/>
      <c r="Y34" s="105"/>
      <c r="Z34" s="281" t="s">
        <v>56</v>
      </c>
      <c r="AA34" s="284"/>
      <c r="AB34" s="89"/>
      <c r="AC34" s="89">
        <f>ROUNDDOWN(Q34*U34,-1)</f>
        <v>58990</v>
      </c>
      <c r="AD34" s="68" t="s">
        <v>73</v>
      </c>
      <c r="AE34" s="2"/>
    </row>
    <row r="35" spans="1:31" s="12" customFormat="1" ht="21" customHeight="1">
      <c r="A35" s="54"/>
      <c r="B35" s="55"/>
      <c r="C35" s="55"/>
      <c r="D35" s="241"/>
      <c r="E35" s="147"/>
      <c r="F35" s="147"/>
      <c r="G35" s="147"/>
      <c r="H35" s="147"/>
      <c r="I35" s="147"/>
      <c r="J35" s="147"/>
      <c r="K35" s="147"/>
      <c r="L35" s="92"/>
      <c r="M35" s="305" t="s">
        <v>208</v>
      </c>
      <c r="N35" s="168"/>
      <c r="O35" s="168"/>
      <c r="P35" s="168"/>
      <c r="Q35" s="339">
        <f>AC7+AC10</f>
        <v>31056680</v>
      </c>
      <c r="R35" s="348"/>
      <c r="S35" s="281" t="s">
        <v>60</v>
      </c>
      <c r="T35" s="96" t="s">
        <v>61</v>
      </c>
      <c r="U35" s="102">
        <v>8.0000000000000002E-3</v>
      </c>
      <c r="V35" s="96"/>
      <c r="W35" s="106"/>
      <c r="X35" s="98"/>
      <c r="Y35" s="98"/>
      <c r="Z35" s="281" t="s">
        <v>56</v>
      </c>
      <c r="AA35" s="284"/>
      <c r="AB35" s="89"/>
      <c r="AC35" s="89">
        <f>ROUND(Q35*U35,-1)</f>
        <v>248450</v>
      </c>
      <c r="AD35" s="68" t="s">
        <v>73</v>
      </c>
      <c r="AE35" s="2"/>
    </row>
    <row r="36" spans="1:31" s="12" customFormat="1" ht="21" customHeight="1">
      <c r="A36" s="54"/>
      <c r="B36" s="55"/>
      <c r="C36" s="55"/>
      <c r="D36" s="241"/>
      <c r="E36" s="147"/>
      <c r="F36" s="147"/>
      <c r="G36" s="147"/>
      <c r="H36" s="147"/>
      <c r="I36" s="147"/>
      <c r="J36" s="147"/>
      <c r="K36" s="147"/>
      <c r="L36" s="92"/>
      <c r="M36" s="305" t="s">
        <v>209</v>
      </c>
      <c r="N36" s="168"/>
      <c r="O36" s="168"/>
      <c r="P36" s="168"/>
      <c r="Q36" s="339">
        <f>AC7+AC10</f>
        <v>31056680</v>
      </c>
      <c r="R36" s="348"/>
      <c r="S36" s="281" t="s">
        <v>60</v>
      </c>
      <c r="T36" s="96" t="s">
        <v>61</v>
      </c>
      <c r="U36" s="102">
        <v>7.6E-3</v>
      </c>
      <c r="V36" s="96"/>
      <c r="W36" s="106"/>
      <c r="X36" s="98"/>
      <c r="Y36" s="98"/>
      <c r="Z36" s="281" t="s">
        <v>56</v>
      </c>
      <c r="AA36" s="284"/>
      <c r="AB36" s="89"/>
      <c r="AC36" s="89">
        <f>ROUNDDOWN(Q36*U36,-1)</f>
        <v>236030</v>
      </c>
      <c r="AD36" s="68" t="s">
        <v>73</v>
      </c>
      <c r="AE36" s="2"/>
    </row>
    <row r="37" spans="1:31" s="12" customFormat="1" ht="21" customHeight="1">
      <c r="A37" s="54"/>
      <c r="B37" s="55"/>
      <c r="C37" s="55"/>
      <c r="D37" s="241"/>
      <c r="E37" s="147"/>
      <c r="F37" s="147"/>
      <c r="G37" s="147"/>
      <c r="H37" s="147"/>
      <c r="I37" s="147"/>
      <c r="J37" s="147"/>
      <c r="K37" s="147"/>
      <c r="L37" s="92"/>
      <c r="M37" s="340"/>
      <c r="N37" s="340"/>
      <c r="O37" s="340"/>
      <c r="P37" s="340"/>
      <c r="Q37" s="339"/>
      <c r="R37" s="348"/>
      <c r="S37" s="299"/>
      <c r="T37" s="96"/>
      <c r="U37" s="102"/>
      <c r="V37" s="96"/>
      <c r="W37" s="106"/>
      <c r="X37" s="98"/>
      <c r="Y37" s="98"/>
      <c r="Z37" s="299"/>
      <c r="AA37" s="339"/>
      <c r="AB37" s="89"/>
      <c r="AC37" s="89"/>
      <c r="AD37" s="68"/>
      <c r="AE37" s="2"/>
    </row>
    <row r="38" spans="1:31" s="12" customFormat="1" ht="33" customHeight="1">
      <c r="A38" s="54"/>
      <c r="B38" s="55"/>
      <c r="C38" s="45" t="s">
        <v>272</v>
      </c>
      <c r="D38" s="243">
        <v>200</v>
      </c>
      <c r="E38" s="152">
        <f>SUM(F38:J38)</f>
        <v>0</v>
      </c>
      <c r="F38" s="152">
        <f>AC39</f>
        <v>0</v>
      </c>
      <c r="G38" s="152">
        <f>AC39</f>
        <v>0</v>
      </c>
      <c r="H38" s="152">
        <f>AC39</f>
        <v>0</v>
      </c>
      <c r="I38" s="152">
        <f>AC39</f>
        <v>0</v>
      </c>
      <c r="J38" s="152">
        <f>AC39</f>
        <v>0</v>
      </c>
      <c r="K38" s="152"/>
      <c r="L38" s="160"/>
      <c r="M38" s="133" t="s">
        <v>270</v>
      </c>
      <c r="N38" s="338"/>
      <c r="O38" s="247"/>
      <c r="P38" s="247"/>
      <c r="Q38" s="119"/>
      <c r="R38" s="119"/>
      <c r="S38" s="341"/>
      <c r="T38" s="342"/>
      <c r="U38" s="343"/>
      <c r="V38" s="337" t="s">
        <v>67</v>
      </c>
      <c r="W38" s="337"/>
      <c r="X38" s="337"/>
      <c r="Y38" s="337"/>
      <c r="Z38" s="337"/>
      <c r="AA38" s="337"/>
      <c r="AB38" s="267"/>
      <c r="AC38" s="267">
        <f>AC39</f>
        <v>0</v>
      </c>
      <c r="AD38" s="266" t="s">
        <v>26</v>
      </c>
      <c r="AE38" s="2"/>
    </row>
    <row r="39" spans="1:31" s="12" customFormat="1" ht="21" customHeight="1">
      <c r="A39" s="54"/>
      <c r="B39" s="55"/>
      <c r="C39" s="55"/>
      <c r="D39" s="241"/>
      <c r="E39" s="147"/>
      <c r="F39" s="147"/>
      <c r="G39" s="147"/>
      <c r="H39" s="147"/>
      <c r="I39" s="147"/>
      <c r="J39" s="147"/>
      <c r="K39" s="147"/>
      <c r="L39" s="92"/>
      <c r="M39" s="340" t="s">
        <v>271</v>
      </c>
      <c r="N39" s="340"/>
      <c r="O39" s="340"/>
      <c r="P39" s="340"/>
      <c r="Q39" s="339"/>
      <c r="R39" s="348"/>
      <c r="S39" s="299"/>
      <c r="T39" s="96"/>
      <c r="U39" s="102"/>
      <c r="V39" s="96"/>
      <c r="W39" s="106"/>
      <c r="X39" s="98"/>
      <c r="Y39" s="98"/>
      <c r="Z39" s="299"/>
      <c r="AA39" s="339"/>
      <c r="AB39" s="89"/>
      <c r="AC39" s="89">
        <v>0</v>
      </c>
      <c r="AD39" s="230" t="s">
        <v>26</v>
      </c>
      <c r="AE39" s="2"/>
    </row>
    <row r="40" spans="1:31" s="12" customFormat="1" ht="21" customHeight="1">
      <c r="A40" s="54"/>
      <c r="B40" s="70"/>
      <c r="C40" s="70"/>
      <c r="D40" s="242"/>
      <c r="E40" s="150"/>
      <c r="F40" s="150"/>
      <c r="G40" s="150"/>
      <c r="H40" s="150"/>
      <c r="I40" s="150"/>
      <c r="J40" s="150"/>
      <c r="K40" s="150"/>
      <c r="L40" s="115"/>
      <c r="M40" s="236"/>
      <c r="N40" s="108"/>
      <c r="O40" s="108"/>
      <c r="P40" s="108"/>
      <c r="Q40" s="107"/>
      <c r="R40" s="345"/>
      <c r="S40" s="117"/>
      <c r="T40" s="117"/>
      <c r="U40" s="117"/>
      <c r="V40" s="107"/>
      <c r="W40" s="117"/>
      <c r="X40" s="117"/>
      <c r="Y40" s="117"/>
      <c r="Z40" s="107"/>
      <c r="AA40" s="117"/>
      <c r="AB40" s="117"/>
      <c r="AC40" s="107"/>
      <c r="AD40" s="166"/>
      <c r="AE40" s="2"/>
    </row>
    <row r="41" spans="1:31" s="12" customFormat="1" ht="21" customHeight="1">
      <c r="A41" s="54"/>
      <c r="B41" s="55" t="s">
        <v>150</v>
      </c>
      <c r="C41" s="55" t="s">
        <v>5</v>
      </c>
      <c r="D41" s="147">
        <f>SUM(D42,D44,D46)</f>
        <v>118</v>
      </c>
      <c r="E41" s="147">
        <f>SUM(E42,E44,E46)</f>
        <v>60</v>
      </c>
      <c r="F41" s="147">
        <f>F42+F44+F46</f>
        <v>60</v>
      </c>
      <c r="G41" s="147">
        <f t="shared" ref="G41" si="4">SUM(G42,G44,G46)</f>
        <v>0</v>
      </c>
      <c r="H41" s="147">
        <v>0</v>
      </c>
      <c r="I41" s="147">
        <f t="shared" ref="I41" si="5">SUM(I42,I44,I46)</f>
        <v>0</v>
      </c>
      <c r="J41" s="147">
        <f t="shared" ref="J41" si="6">SUM(J42,J44,J46)</f>
        <v>0</v>
      </c>
      <c r="K41" s="147">
        <f>E41-D41</f>
        <v>-58</v>
      </c>
      <c r="L41" s="92">
        <f>IF(D41=0,0,K41/D41)</f>
        <v>-0.49152542372881358</v>
      </c>
      <c r="M41" s="283" t="s">
        <v>159</v>
      </c>
      <c r="N41" s="41"/>
      <c r="O41" s="41"/>
      <c r="P41" s="41"/>
      <c r="Q41" s="42"/>
      <c r="R41" s="282"/>
      <c r="S41" s="42"/>
      <c r="T41" s="42"/>
      <c r="U41" s="42"/>
      <c r="V41" s="286"/>
      <c r="W41" s="286"/>
      <c r="X41" s="286"/>
      <c r="Y41" s="286"/>
      <c r="Z41" s="286"/>
      <c r="AA41" s="286"/>
      <c r="AB41" s="130"/>
      <c r="AC41" s="130">
        <f>SUM(AC42,AC44,AC46)</f>
        <v>60000</v>
      </c>
      <c r="AD41" s="131" t="s">
        <v>26</v>
      </c>
      <c r="AE41" s="5"/>
    </row>
    <row r="42" spans="1:31" s="12" customFormat="1" ht="21" customHeight="1">
      <c r="A42" s="54"/>
      <c r="B42" s="55" t="s">
        <v>158</v>
      </c>
      <c r="C42" s="45" t="s">
        <v>10</v>
      </c>
      <c r="D42" s="243">
        <v>60</v>
      </c>
      <c r="E42" s="152">
        <f>AC42/1000</f>
        <v>0</v>
      </c>
      <c r="F42" s="152">
        <v>0</v>
      </c>
      <c r="G42" s="152">
        <v>0</v>
      </c>
      <c r="H42" s="152">
        <v>0</v>
      </c>
      <c r="I42" s="152">
        <f>AC42/1000</f>
        <v>0</v>
      </c>
      <c r="J42" s="152">
        <v>0</v>
      </c>
      <c r="K42" s="152">
        <f>E42-D42</f>
        <v>-60</v>
      </c>
      <c r="L42" s="160">
        <f>IF(D42=0,0,K42/D42)</f>
        <v>-1</v>
      </c>
      <c r="M42" s="133" t="s">
        <v>40</v>
      </c>
      <c r="N42" s="231"/>
      <c r="O42" s="247"/>
      <c r="P42" s="247"/>
      <c r="Q42" s="247"/>
      <c r="R42" s="247"/>
      <c r="S42" s="119"/>
      <c r="T42" s="119"/>
      <c r="U42" s="119"/>
      <c r="V42" s="119"/>
      <c r="W42" s="119"/>
      <c r="X42" s="265" t="s">
        <v>161</v>
      </c>
      <c r="Y42" s="265"/>
      <c r="Z42" s="265"/>
      <c r="AA42" s="265"/>
      <c r="AB42" s="267"/>
      <c r="AC42" s="267">
        <v>0</v>
      </c>
      <c r="AD42" s="266" t="s">
        <v>26</v>
      </c>
    </row>
    <row r="43" spans="1:31" s="12" customFormat="1" ht="21" customHeight="1">
      <c r="A43" s="54"/>
      <c r="B43" s="55"/>
      <c r="C43" s="70"/>
      <c r="D43" s="242"/>
      <c r="E43" s="150"/>
      <c r="F43" s="150"/>
      <c r="G43" s="150"/>
      <c r="H43" s="150"/>
      <c r="I43" s="150"/>
      <c r="J43" s="150"/>
      <c r="K43" s="150"/>
      <c r="L43" s="115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66"/>
      <c r="AE43" s="1"/>
    </row>
    <row r="44" spans="1:31" s="12" customFormat="1" ht="21" customHeight="1">
      <c r="A44" s="54"/>
      <c r="B44" s="55"/>
      <c r="C44" s="55" t="s">
        <v>11</v>
      </c>
      <c r="D44" s="241">
        <v>0</v>
      </c>
      <c r="E44" s="147">
        <f>AC44/1000</f>
        <v>0</v>
      </c>
      <c r="F44" s="147">
        <v>0</v>
      </c>
      <c r="G44" s="147">
        <v>0</v>
      </c>
      <c r="H44" s="147">
        <v>0</v>
      </c>
      <c r="I44" s="147">
        <v>0</v>
      </c>
      <c r="J44" s="147">
        <v>0</v>
      </c>
      <c r="K44" s="147">
        <f>E44-D44</f>
        <v>0</v>
      </c>
      <c r="L44" s="92">
        <f>IF(D44=0,0,K44/D44)</f>
        <v>0</v>
      </c>
      <c r="M44" s="133" t="s">
        <v>160</v>
      </c>
      <c r="N44" s="264"/>
      <c r="O44" s="41"/>
      <c r="P44" s="41"/>
      <c r="Q44" s="41"/>
      <c r="R44" s="283"/>
      <c r="S44" s="42"/>
      <c r="T44" s="42"/>
      <c r="U44" s="42"/>
      <c r="V44" s="42"/>
      <c r="W44" s="42"/>
      <c r="X44" s="265" t="s">
        <v>161</v>
      </c>
      <c r="Y44" s="265"/>
      <c r="Z44" s="265"/>
      <c r="AA44" s="265"/>
      <c r="AB44" s="267"/>
      <c r="AC44" s="267">
        <v>0</v>
      </c>
      <c r="AD44" s="266" t="s">
        <v>26</v>
      </c>
      <c r="AE44" s="1"/>
    </row>
    <row r="45" spans="1:31" s="12" customFormat="1" ht="21" customHeight="1">
      <c r="A45" s="54"/>
      <c r="B45" s="55"/>
      <c r="C45" s="70"/>
      <c r="D45" s="242"/>
      <c r="E45" s="150"/>
      <c r="F45" s="150"/>
      <c r="G45" s="150"/>
      <c r="H45" s="150"/>
      <c r="I45" s="150"/>
      <c r="J45" s="150"/>
      <c r="K45" s="150"/>
      <c r="L45" s="115"/>
      <c r="M45" s="236"/>
      <c r="N45" s="108"/>
      <c r="O45" s="108"/>
      <c r="P45" s="108"/>
      <c r="Q45" s="107"/>
      <c r="R45" s="345"/>
      <c r="S45" s="116"/>
      <c r="T45" s="116"/>
      <c r="U45" s="107"/>
      <c r="V45" s="108"/>
      <c r="W45" s="107"/>
      <c r="X45" s="107"/>
      <c r="Y45" s="107"/>
      <c r="Z45" s="107"/>
      <c r="AA45" s="107"/>
      <c r="AB45" s="107"/>
      <c r="AC45" s="107"/>
      <c r="AD45" s="95"/>
      <c r="AE45" s="1"/>
    </row>
    <row r="46" spans="1:31" s="12" customFormat="1" ht="21" customHeight="1">
      <c r="A46" s="54"/>
      <c r="B46" s="55"/>
      <c r="C46" s="55" t="s">
        <v>108</v>
      </c>
      <c r="D46" s="241">
        <v>58</v>
      </c>
      <c r="E46" s="147">
        <f>F46+G46+H46+I46+J46</f>
        <v>60</v>
      </c>
      <c r="F46" s="147">
        <f>AC47/1000</f>
        <v>60</v>
      </c>
      <c r="G46" s="147">
        <v>0</v>
      </c>
      <c r="H46" s="147">
        <v>0</v>
      </c>
      <c r="I46" s="152">
        <v>0</v>
      </c>
      <c r="J46" s="147">
        <v>0</v>
      </c>
      <c r="K46" s="147">
        <f>E46-D46</f>
        <v>2</v>
      </c>
      <c r="L46" s="92">
        <f>IF(D46=0,0,K46/D46)</f>
        <v>3.4482758620689655E-2</v>
      </c>
      <c r="M46" s="155" t="s">
        <v>41</v>
      </c>
      <c r="N46" s="41"/>
      <c r="O46" s="41"/>
      <c r="P46" s="41"/>
      <c r="Q46" s="41"/>
      <c r="R46" s="283"/>
      <c r="S46" s="42"/>
      <c r="T46" s="42"/>
      <c r="U46" s="42"/>
      <c r="V46" s="42"/>
      <c r="W46" s="42"/>
      <c r="X46" s="265" t="s">
        <v>161</v>
      </c>
      <c r="Y46" s="265"/>
      <c r="Z46" s="265"/>
      <c r="AA46" s="265"/>
      <c r="AB46" s="267"/>
      <c r="AC46" s="267">
        <f>AC47</f>
        <v>60000</v>
      </c>
      <c r="AD46" s="266" t="s">
        <v>26</v>
      </c>
      <c r="AE46" s="1"/>
    </row>
    <row r="47" spans="1:31" s="15" customFormat="1" ht="21" customHeight="1">
      <c r="A47" s="54"/>
      <c r="B47" s="55"/>
      <c r="C47" s="55"/>
      <c r="D47" s="241"/>
      <c r="E47" s="147"/>
      <c r="F47" s="147"/>
      <c r="G47" s="147"/>
      <c r="H47" s="147"/>
      <c r="I47" s="147"/>
      <c r="J47" s="147"/>
      <c r="K47" s="147"/>
      <c r="L47" s="92"/>
      <c r="M47" s="305" t="s">
        <v>211</v>
      </c>
      <c r="N47" s="60"/>
      <c r="O47" s="60"/>
      <c r="P47" s="60"/>
      <c r="Q47" s="61">
        <v>30000</v>
      </c>
      <c r="R47" s="348"/>
      <c r="S47" s="65" t="s">
        <v>26</v>
      </c>
      <c r="T47" s="65" t="s">
        <v>27</v>
      </c>
      <c r="U47" s="61">
        <v>2</v>
      </c>
      <c r="V47" s="321" t="s">
        <v>212</v>
      </c>
      <c r="W47" s="61"/>
      <c r="X47" s="61"/>
      <c r="Y47" s="61"/>
      <c r="Z47" s="61" t="s">
        <v>28</v>
      </c>
      <c r="AA47" s="61"/>
      <c r="AB47" s="61"/>
      <c r="AC47" s="61">
        <f>Q47*U47</f>
        <v>60000</v>
      </c>
      <c r="AD47" s="68" t="s">
        <v>26</v>
      </c>
      <c r="AE47" s="4"/>
    </row>
    <row r="48" spans="1:31" s="15" customFormat="1" ht="21" customHeight="1">
      <c r="A48" s="54"/>
      <c r="B48" s="55"/>
      <c r="C48" s="55"/>
      <c r="D48" s="241"/>
      <c r="E48" s="147"/>
      <c r="F48" s="147"/>
      <c r="G48" s="147"/>
      <c r="H48" s="147"/>
      <c r="I48" s="147"/>
      <c r="J48" s="147"/>
      <c r="K48" s="147"/>
      <c r="L48" s="92"/>
      <c r="M48" s="60"/>
      <c r="N48" s="60"/>
      <c r="O48" s="60"/>
      <c r="P48" s="60"/>
      <c r="Q48" s="61"/>
      <c r="R48" s="348"/>
      <c r="S48" s="65"/>
      <c r="T48" s="65"/>
      <c r="U48" s="61"/>
      <c r="V48" s="60"/>
      <c r="W48" s="61"/>
      <c r="X48" s="61"/>
      <c r="Y48" s="61"/>
      <c r="Z48" s="61"/>
      <c r="AA48" s="61"/>
      <c r="AB48" s="61"/>
      <c r="AC48" s="61"/>
      <c r="AD48" s="68"/>
      <c r="AE48" s="4"/>
    </row>
    <row r="49" spans="1:33" s="12" customFormat="1" ht="21" customHeight="1">
      <c r="A49" s="54"/>
      <c r="B49" s="45" t="s">
        <v>12</v>
      </c>
      <c r="C49" s="260" t="s">
        <v>5</v>
      </c>
      <c r="D49" s="262">
        <f t="shared" ref="D49:J49" si="7">SUM(D50,D52,D57,D61,D69,D72)</f>
        <v>6882</v>
      </c>
      <c r="E49" s="262">
        <f t="shared" si="7"/>
        <v>4875</v>
      </c>
      <c r="F49" s="262">
        <f t="shared" si="7"/>
        <v>4471</v>
      </c>
      <c r="G49" s="262">
        <f t="shared" si="7"/>
        <v>0</v>
      </c>
      <c r="H49" s="262">
        <f t="shared" si="7"/>
        <v>404</v>
      </c>
      <c r="I49" s="262">
        <f t="shared" si="7"/>
        <v>0</v>
      </c>
      <c r="J49" s="262">
        <f t="shared" si="7"/>
        <v>0</v>
      </c>
      <c r="K49" s="262">
        <f>E49-D49</f>
        <v>-2007</v>
      </c>
      <c r="L49" s="263">
        <f>IF(D49=0,0,K49/D49)</f>
        <v>-0.29163034001743682</v>
      </c>
      <c r="M49" s="264" t="s">
        <v>165</v>
      </c>
      <c r="N49" s="264"/>
      <c r="O49" s="264"/>
      <c r="P49" s="264"/>
      <c r="Q49" s="265"/>
      <c r="R49" s="346"/>
      <c r="S49" s="289"/>
      <c r="T49" s="265"/>
      <c r="U49" s="433"/>
      <c r="V49" s="434"/>
      <c r="W49" s="265"/>
      <c r="X49" s="265"/>
      <c r="Y49" s="265"/>
      <c r="Z49" s="265"/>
      <c r="AA49" s="265"/>
      <c r="AB49" s="265"/>
      <c r="AC49" s="265">
        <f>SUM(AC50,AC52,AC57,AC61,AC69,AC72)</f>
        <v>4875000</v>
      </c>
      <c r="AD49" s="266" t="s">
        <v>26</v>
      </c>
      <c r="AE49" s="1"/>
    </row>
    <row r="50" spans="1:33" s="12" customFormat="1" ht="21" customHeight="1">
      <c r="A50" s="54"/>
      <c r="B50" s="55"/>
      <c r="C50" s="55" t="s">
        <v>109</v>
      </c>
      <c r="D50" s="241">
        <v>0</v>
      </c>
      <c r="E50" s="147">
        <f>AC50/1000</f>
        <v>0</v>
      </c>
      <c r="F50" s="147">
        <v>0</v>
      </c>
      <c r="G50" s="147">
        <v>0</v>
      </c>
      <c r="H50" s="147">
        <v>0</v>
      </c>
      <c r="I50" s="147">
        <v>0</v>
      </c>
      <c r="J50" s="147">
        <v>0</v>
      </c>
      <c r="K50" s="147">
        <f>E50-D50</f>
        <v>0</v>
      </c>
      <c r="L50" s="92">
        <f>IF(D50=0,0,K50/D50)</f>
        <v>0</v>
      </c>
      <c r="M50" s="155" t="s">
        <v>43</v>
      </c>
      <c r="N50" s="41"/>
      <c r="O50" s="41"/>
      <c r="P50" s="41"/>
      <c r="Q50" s="41"/>
      <c r="R50" s="283"/>
      <c r="S50" s="42"/>
      <c r="T50" s="42"/>
      <c r="U50" s="42"/>
      <c r="V50" s="42"/>
      <c r="W50" s="42"/>
      <c r="X50" s="322" t="s">
        <v>161</v>
      </c>
      <c r="Y50" s="322"/>
      <c r="Z50" s="322"/>
      <c r="AA50" s="322"/>
      <c r="AB50" s="267"/>
      <c r="AC50" s="267">
        <f>AC51</f>
        <v>0</v>
      </c>
      <c r="AD50" s="266" t="s">
        <v>26</v>
      </c>
      <c r="AE50" s="21"/>
      <c r="AF50" s="20"/>
      <c r="AG50" s="20"/>
    </row>
    <row r="51" spans="1:33" s="12" customFormat="1" ht="21" customHeight="1">
      <c r="A51" s="54"/>
      <c r="B51" s="55"/>
      <c r="C51" s="55"/>
      <c r="D51" s="241"/>
      <c r="E51" s="147"/>
      <c r="F51" s="147"/>
      <c r="G51" s="147"/>
      <c r="H51" s="147"/>
      <c r="I51" s="147"/>
      <c r="J51" s="147"/>
      <c r="K51" s="147"/>
      <c r="L51" s="92"/>
      <c r="M51" s="285" t="s">
        <v>166</v>
      </c>
      <c r="N51" s="60"/>
      <c r="O51" s="60"/>
      <c r="P51" s="60"/>
      <c r="Q51" s="61">
        <v>20000</v>
      </c>
      <c r="R51" s="348"/>
      <c r="S51" s="65" t="s">
        <v>26</v>
      </c>
      <c r="T51" s="65" t="s">
        <v>27</v>
      </c>
      <c r="U51" s="61">
        <v>1</v>
      </c>
      <c r="V51" s="65" t="s">
        <v>167</v>
      </c>
      <c r="W51" s="61" t="s">
        <v>27</v>
      </c>
      <c r="X51" s="61">
        <v>3</v>
      </c>
      <c r="Y51" s="284" t="s">
        <v>168</v>
      </c>
      <c r="Z51" s="61" t="s">
        <v>28</v>
      </c>
      <c r="AA51" s="284"/>
      <c r="AB51" s="61"/>
      <c r="AC51" s="61">
        <v>0</v>
      </c>
      <c r="AD51" s="68" t="s">
        <v>73</v>
      </c>
      <c r="AE51" s="2"/>
    </row>
    <row r="52" spans="1:33" s="12" customFormat="1" ht="21" customHeight="1">
      <c r="A52" s="54"/>
      <c r="B52" s="55"/>
      <c r="C52" s="45" t="s">
        <v>44</v>
      </c>
      <c r="D52" s="243">
        <v>2974</v>
      </c>
      <c r="E52" s="152">
        <f>ROUND(AC52/1000,0)</f>
        <v>1604</v>
      </c>
      <c r="F52" s="152">
        <f>(AC53+AC54)/1000</f>
        <v>1200</v>
      </c>
      <c r="G52" s="152">
        <v>0</v>
      </c>
      <c r="H52" s="152">
        <f>AC55/1000</f>
        <v>404</v>
      </c>
      <c r="I52" s="152">
        <v>0</v>
      </c>
      <c r="J52" s="152">
        <v>0</v>
      </c>
      <c r="K52" s="152">
        <f>E52-D52</f>
        <v>-1370</v>
      </c>
      <c r="L52" s="160">
        <f>IF(D52=0,0,K52/D52)</f>
        <v>-0.4606590450571621</v>
      </c>
      <c r="M52" s="133" t="s">
        <v>45</v>
      </c>
      <c r="N52" s="129"/>
      <c r="O52" s="129"/>
      <c r="P52" s="129"/>
      <c r="Q52" s="129"/>
      <c r="R52" s="287"/>
      <c r="S52" s="120"/>
      <c r="T52" s="120"/>
      <c r="U52" s="120"/>
      <c r="V52" s="120"/>
      <c r="W52" s="120"/>
      <c r="X52" s="322" t="s">
        <v>213</v>
      </c>
      <c r="Y52" s="265"/>
      <c r="Z52" s="265"/>
      <c r="AA52" s="265"/>
      <c r="AB52" s="267"/>
      <c r="AC52" s="267">
        <f>SUM(AC53:AC55)</f>
        <v>1604000</v>
      </c>
      <c r="AD52" s="266" t="s">
        <v>26</v>
      </c>
      <c r="AE52" s="1"/>
    </row>
    <row r="53" spans="1:33" s="12" customFormat="1" ht="21" customHeight="1">
      <c r="A53" s="54"/>
      <c r="B53" s="55"/>
      <c r="C53" s="55" t="s">
        <v>172</v>
      </c>
      <c r="D53" s="241"/>
      <c r="E53" s="147"/>
      <c r="F53" s="147"/>
      <c r="G53" s="147"/>
      <c r="H53" s="147"/>
      <c r="I53" s="147"/>
      <c r="J53" s="147"/>
      <c r="K53" s="147"/>
      <c r="L53" s="92"/>
      <c r="M53" s="247" t="s">
        <v>214</v>
      </c>
      <c r="N53" s="60"/>
      <c r="O53" s="60"/>
      <c r="P53" s="60"/>
      <c r="Q53" s="61"/>
      <c r="R53" s="348"/>
      <c r="S53" s="65"/>
      <c r="T53" s="61"/>
      <c r="U53" s="435"/>
      <c r="V53" s="436"/>
      <c r="W53" s="61"/>
      <c r="X53" s="119"/>
      <c r="Y53" s="119"/>
      <c r="Z53" s="119"/>
      <c r="AA53" s="119"/>
      <c r="AB53" s="119"/>
      <c r="AC53" s="119">
        <v>700000</v>
      </c>
      <c r="AD53" s="162" t="s">
        <v>26</v>
      </c>
      <c r="AE53" s="1"/>
    </row>
    <row r="54" spans="1:33" s="12" customFormat="1" ht="21" customHeight="1">
      <c r="A54" s="54"/>
      <c r="B54" s="55"/>
      <c r="C54" s="55"/>
      <c r="D54" s="241"/>
      <c r="E54" s="147"/>
      <c r="F54" s="147"/>
      <c r="G54" s="147"/>
      <c r="H54" s="147"/>
      <c r="I54" s="147"/>
      <c r="J54" s="147"/>
      <c r="K54" s="147"/>
      <c r="L54" s="92"/>
      <c r="M54" s="340" t="s">
        <v>293</v>
      </c>
      <c r="N54" s="321"/>
      <c r="O54" s="321"/>
      <c r="P54" s="321"/>
      <c r="Q54" s="320"/>
      <c r="R54" s="348"/>
      <c r="S54" s="65"/>
      <c r="T54" s="65"/>
      <c r="U54" s="320"/>
      <c r="V54" s="321"/>
      <c r="W54" s="320"/>
      <c r="X54" s="320"/>
      <c r="Y54" s="320"/>
      <c r="Z54" s="320"/>
      <c r="AA54" s="320"/>
      <c r="AB54" s="320"/>
      <c r="AC54" s="320">
        <v>500000</v>
      </c>
      <c r="AD54" s="68" t="s">
        <v>218</v>
      </c>
      <c r="AE54" s="21"/>
    </row>
    <row r="55" spans="1:33" s="12" customFormat="1" ht="21" customHeight="1">
      <c r="A55" s="54"/>
      <c r="B55" s="55"/>
      <c r="C55" s="55"/>
      <c r="D55" s="241"/>
      <c r="E55" s="147"/>
      <c r="F55" s="147"/>
      <c r="G55" s="147"/>
      <c r="H55" s="147"/>
      <c r="I55" s="147"/>
      <c r="J55" s="147"/>
      <c r="K55" s="147"/>
      <c r="L55" s="92"/>
      <c r="M55" s="340" t="s">
        <v>294</v>
      </c>
      <c r="N55" s="340"/>
      <c r="O55" s="340"/>
      <c r="P55" s="340"/>
      <c r="Q55" s="339"/>
      <c r="R55" s="348"/>
      <c r="S55" s="65"/>
      <c r="T55" s="65"/>
      <c r="U55" s="339"/>
      <c r="V55" s="340"/>
      <c r="W55" s="339"/>
      <c r="X55" s="339"/>
      <c r="Y55" s="339"/>
      <c r="Z55" s="339"/>
      <c r="AA55" s="339"/>
      <c r="AB55" s="339"/>
      <c r="AC55" s="339">
        <v>404000</v>
      </c>
      <c r="AD55" s="68" t="s">
        <v>283</v>
      </c>
      <c r="AE55" s="21"/>
    </row>
    <row r="56" spans="1:33" s="12" customFormat="1" ht="21" customHeight="1">
      <c r="A56" s="54"/>
      <c r="B56" s="55"/>
      <c r="C56" s="70"/>
      <c r="D56" s="242"/>
      <c r="E56" s="150"/>
      <c r="F56" s="150"/>
      <c r="G56" s="150"/>
      <c r="H56" s="150"/>
      <c r="I56" s="150"/>
      <c r="J56" s="150"/>
      <c r="K56" s="150"/>
      <c r="L56" s="115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4"/>
      <c r="AD56" s="175"/>
      <c r="AE56" s="1"/>
    </row>
    <row r="57" spans="1:33" s="12" customFormat="1" ht="21" customHeight="1">
      <c r="A57" s="54"/>
      <c r="B57" s="55"/>
      <c r="C57" s="55" t="s">
        <v>42</v>
      </c>
      <c r="D57" s="241">
        <v>3616</v>
      </c>
      <c r="E57" s="147">
        <f>ROUND(AC57/1000,0)</f>
        <v>2976</v>
      </c>
      <c r="F57" s="147">
        <f>(AC59+AC58)/1000</f>
        <v>2976</v>
      </c>
      <c r="G57" s="147">
        <v>0</v>
      </c>
      <c r="H57" s="147">
        <f>AC60</f>
        <v>0</v>
      </c>
      <c r="I57" s="147">
        <v>0</v>
      </c>
      <c r="J57" s="147">
        <v>0</v>
      </c>
      <c r="K57" s="147">
        <f>E57-D57</f>
        <v>-640</v>
      </c>
      <c r="L57" s="92">
        <f>IF(D57=0,0,K57/D57)</f>
        <v>-0.17699115044247787</v>
      </c>
      <c r="M57" s="155" t="s">
        <v>46</v>
      </c>
      <c r="N57" s="41"/>
      <c r="O57" s="41"/>
      <c r="P57" s="41"/>
      <c r="Q57" s="41"/>
      <c r="R57" s="283"/>
      <c r="S57" s="42"/>
      <c r="T57" s="42"/>
      <c r="U57" s="42"/>
      <c r="V57" s="42"/>
      <c r="W57" s="42"/>
      <c r="X57" s="265" t="s">
        <v>161</v>
      </c>
      <c r="Y57" s="265"/>
      <c r="Z57" s="265"/>
      <c r="AA57" s="265"/>
      <c r="AB57" s="267"/>
      <c r="AC57" s="267">
        <f>SUM(AC58:AC59)</f>
        <v>2976000</v>
      </c>
      <c r="AD57" s="266" t="s">
        <v>26</v>
      </c>
      <c r="AE57" s="1"/>
    </row>
    <row r="58" spans="1:33" s="12" customFormat="1" ht="21" customHeight="1">
      <c r="A58" s="54"/>
      <c r="B58" s="55"/>
      <c r="C58" s="55"/>
      <c r="D58" s="241"/>
      <c r="E58" s="147"/>
      <c r="F58" s="147"/>
      <c r="G58" s="147"/>
      <c r="H58" s="147"/>
      <c r="I58" s="147"/>
      <c r="J58" s="147"/>
      <c r="K58" s="147"/>
      <c r="L58" s="92"/>
      <c r="M58" s="247" t="s">
        <v>216</v>
      </c>
      <c r="N58" s="60"/>
      <c r="O58" s="60"/>
      <c r="P58" s="60"/>
      <c r="Q58" s="170">
        <v>48000</v>
      </c>
      <c r="R58" s="170"/>
      <c r="S58" s="171" t="s">
        <v>26</v>
      </c>
      <c r="T58" s="171" t="s">
        <v>27</v>
      </c>
      <c r="U58" s="170">
        <v>12</v>
      </c>
      <c r="V58" s="169" t="s">
        <v>30</v>
      </c>
      <c r="W58" s="170" t="s">
        <v>28</v>
      </c>
      <c r="X58" s="61"/>
      <c r="Y58" s="61"/>
      <c r="Z58" s="167"/>
      <c r="AA58" s="61"/>
      <c r="AB58" s="61"/>
      <c r="AC58" s="61">
        <f>ROUNDUP(Q58*U58,1)</f>
        <v>576000</v>
      </c>
      <c r="AD58" s="68" t="s">
        <v>26</v>
      </c>
      <c r="AE58" s="1"/>
    </row>
    <row r="59" spans="1:33" s="12" customFormat="1" ht="21" customHeight="1">
      <c r="A59" s="54"/>
      <c r="B59" s="55"/>
      <c r="C59" s="55"/>
      <c r="D59" s="241"/>
      <c r="E59" s="147"/>
      <c r="F59" s="147"/>
      <c r="G59" s="147"/>
      <c r="H59" s="147"/>
      <c r="I59" s="147"/>
      <c r="J59" s="147"/>
      <c r="K59" s="147"/>
      <c r="L59" s="92"/>
      <c r="M59" s="321" t="s">
        <v>217</v>
      </c>
      <c r="N59" s="216"/>
      <c r="O59" s="216"/>
      <c r="P59" s="216"/>
      <c r="Q59" s="284">
        <v>200000</v>
      </c>
      <c r="R59" s="348"/>
      <c r="S59" s="65" t="s">
        <v>60</v>
      </c>
      <c r="T59" s="65" t="s">
        <v>27</v>
      </c>
      <c r="U59" s="284">
        <v>12</v>
      </c>
      <c r="V59" s="285" t="s">
        <v>0</v>
      </c>
      <c r="W59" s="284" t="s">
        <v>28</v>
      </c>
      <c r="X59" s="284"/>
      <c r="Y59" s="284"/>
      <c r="Z59" s="284"/>
      <c r="AA59" s="284"/>
      <c r="AB59" s="284"/>
      <c r="AC59" s="284">
        <f>Q59*U59</f>
        <v>2400000</v>
      </c>
      <c r="AD59" s="68" t="s">
        <v>129</v>
      </c>
      <c r="AE59" s="1"/>
    </row>
    <row r="60" spans="1:33" s="15" customFormat="1" ht="21" customHeight="1">
      <c r="A60" s="54"/>
      <c r="B60" s="55"/>
      <c r="C60" s="55"/>
      <c r="D60" s="241"/>
      <c r="E60" s="147"/>
      <c r="F60" s="147"/>
      <c r="G60" s="147"/>
      <c r="H60" s="147"/>
      <c r="I60" s="147"/>
      <c r="J60" s="147"/>
      <c r="K60" s="147"/>
      <c r="L60" s="92"/>
      <c r="M60" s="159"/>
      <c r="N60" s="60"/>
      <c r="O60" s="60"/>
      <c r="P60" s="60"/>
      <c r="Q60" s="61"/>
      <c r="R60" s="348"/>
      <c r="S60" s="65"/>
      <c r="T60" s="65"/>
      <c r="U60" s="61"/>
      <c r="V60" s="60"/>
      <c r="W60" s="61"/>
      <c r="X60" s="61"/>
      <c r="Y60" s="61"/>
      <c r="Z60" s="61"/>
      <c r="AA60" s="197"/>
      <c r="AB60" s="61"/>
      <c r="AC60" s="61"/>
      <c r="AD60" s="68"/>
      <c r="AE60" s="4"/>
    </row>
    <row r="61" spans="1:33" ht="21" customHeight="1">
      <c r="A61" s="54"/>
      <c r="B61" s="55"/>
      <c r="C61" s="45" t="s">
        <v>15</v>
      </c>
      <c r="D61" s="243">
        <v>292</v>
      </c>
      <c r="E61" s="152">
        <f>ROUND(AC61/1000,0)</f>
        <v>295</v>
      </c>
      <c r="F61" s="152">
        <f>(AC62+AC63+AC64+AC65+AC66)/1000</f>
        <v>295</v>
      </c>
      <c r="G61" s="152">
        <v>0</v>
      </c>
      <c r="H61" s="152">
        <v>0</v>
      </c>
      <c r="I61" s="152">
        <v>0</v>
      </c>
      <c r="J61" s="152">
        <v>0</v>
      </c>
      <c r="K61" s="290">
        <f>E61-D61</f>
        <v>3</v>
      </c>
      <c r="L61" s="160">
        <f>IF(D61=0,0,K61/D61)</f>
        <v>1.0273972602739725E-2</v>
      </c>
      <c r="M61" s="133" t="s">
        <v>47</v>
      </c>
      <c r="N61" s="129"/>
      <c r="O61" s="129"/>
      <c r="P61" s="129"/>
      <c r="Q61" s="129"/>
      <c r="R61" s="287"/>
      <c r="S61" s="120"/>
      <c r="T61" s="120"/>
      <c r="U61" s="120"/>
      <c r="V61" s="120"/>
      <c r="W61" s="120"/>
      <c r="X61" s="265" t="s">
        <v>161</v>
      </c>
      <c r="Y61" s="265"/>
      <c r="Z61" s="265"/>
      <c r="AA61" s="265"/>
      <c r="AB61" s="267"/>
      <c r="AC61" s="267">
        <f>SUM(AC62:AC67)</f>
        <v>295000</v>
      </c>
      <c r="AD61" s="266" t="s">
        <v>26</v>
      </c>
    </row>
    <row r="62" spans="1:33" s="12" customFormat="1" ht="21" customHeight="1">
      <c r="A62" s="54"/>
      <c r="B62" s="55"/>
      <c r="C62" s="55"/>
      <c r="D62" s="241"/>
      <c r="E62" s="147"/>
      <c r="F62" s="147"/>
      <c r="G62" s="147"/>
      <c r="H62" s="147"/>
      <c r="I62" s="147"/>
      <c r="J62" s="147"/>
      <c r="K62" s="147"/>
      <c r="L62" s="92"/>
      <c r="M62" s="321" t="s">
        <v>219</v>
      </c>
      <c r="N62" s="176"/>
      <c r="O62" s="176"/>
      <c r="P62" s="176"/>
      <c r="Q62" s="170">
        <v>50000</v>
      </c>
      <c r="R62" s="170"/>
      <c r="S62" s="171" t="s">
        <v>26</v>
      </c>
      <c r="T62" s="171" t="s">
        <v>27</v>
      </c>
      <c r="U62" s="170">
        <v>1</v>
      </c>
      <c r="V62" s="169" t="s">
        <v>212</v>
      </c>
      <c r="W62" s="170" t="s">
        <v>28</v>
      </c>
      <c r="X62" s="61"/>
      <c r="Y62" s="61"/>
      <c r="Z62" s="60"/>
      <c r="AA62" s="60"/>
      <c r="AB62" s="61"/>
      <c r="AC62" s="61">
        <f>Q62*U62</f>
        <v>50000</v>
      </c>
      <c r="AD62" s="68" t="s">
        <v>218</v>
      </c>
      <c r="AE62" s="1"/>
    </row>
    <row r="63" spans="1:33" s="12" customFormat="1" ht="21" customHeight="1">
      <c r="A63" s="54"/>
      <c r="B63" s="55"/>
      <c r="C63" s="55"/>
      <c r="D63" s="241"/>
      <c r="E63" s="147"/>
      <c r="F63" s="147"/>
      <c r="G63" s="147"/>
      <c r="H63" s="147"/>
      <c r="I63" s="147"/>
      <c r="J63" s="147"/>
      <c r="K63" s="147"/>
      <c r="L63" s="92"/>
      <c r="M63" s="331" t="s">
        <v>220</v>
      </c>
      <c r="N63" s="35"/>
      <c r="O63" s="35"/>
      <c r="P63" s="35"/>
      <c r="Q63" s="170">
        <v>50000</v>
      </c>
      <c r="R63" s="170"/>
      <c r="S63" s="171" t="s">
        <v>26</v>
      </c>
      <c r="T63" s="171" t="s">
        <v>27</v>
      </c>
      <c r="U63" s="170">
        <v>1</v>
      </c>
      <c r="V63" s="169" t="s">
        <v>212</v>
      </c>
      <c r="W63" s="170" t="s">
        <v>28</v>
      </c>
      <c r="X63" s="320"/>
      <c r="Y63" s="320"/>
      <c r="Z63" s="321"/>
      <c r="AA63" s="321"/>
      <c r="AB63" s="320"/>
      <c r="AC63" s="320">
        <f>Q63*U63</f>
        <v>50000</v>
      </c>
      <c r="AD63" s="68" t="s">
        <v>218</v>
      </c>
      <c r="AE63" s="1"/>
    </row>
    <row r="64" spans="1:33" s="12" customFormat="1" ht="21" customHeight="1">
      <c r="A64" s="54"/>
      <c r="B64" s="55"/>
      <c r="C64" s="55"/>
      <c r="D64" s="241"/>
      <c r="E64" s="147"/>
      <c r="F64" s="147"/>
      <c r="G64" s="147"/>
      <c r="H64" s="147"/>
      <c r="I64" s="147"/>
      <c r="J64" s="147"/>
      <c r="K64" s="147"/>
      <c r="L64" s="92"/>
      <c r="M64" s="321" t="s">
        <v>221</v>
      </c>
      <c r="N64" s="35"/>
      <c r="O64" s="35"/>
      <c r="P64" s="35"/>
      <c r="Q64" s="170">
        <v>110000</v>
      </c>
      <c r="R64" s="170"/>
      <c r="S64" s="171" t="s">
        <v>26</v>
      </c>
      <c r="T64" s="171" t="s">
        <v>27</v>
      </c>
      <c r="U64" s="170">
        <v>1</v>
      </c>
      <c r="V64" s="169" t="s">
        <v>212</v>
      </c>
      <c r="W64" s="170" t="s">
        <v>28</v>
      </c>
      <c r="X64" s="61"/>
      <c r="Y64" s="61"/>
      <c r="Z64" s="60"/>
      <c r="AA64" s="60"/>
      <c r="AB64" s="61"/>
      <c r="AC64" s="320">
        <f t="shared" ref="AC64:AC66" si="8">Q64*U64</f>
        <v>110000</v>
      </c>
      <c r="AD64" s="68" t="s">
        <v>26</v>
      </c>
      <c r="AE64" s="1"/>
    </row>
    <row r="65" spans="1:31" s="12" customFormat="1" ht="21" customHeight="1">
      <c r="A65" s="54"/>
      <c r="B65" s="55"/>
      <c r="C65" s="55"/>
      <c r="D65" s="241"/>
      <c r="E65" s="147"/>
      <c r="F65" s="147"/>
      <c r="G65" s="147"/>
      <c r="H65" s="147"/>
      <c r="I65" s="147"/>
      <c r="J65" s="147"/>
      <c r="K65" s="147"/>
      <c r="L65" s="92"/>
      <c r="M65" s="321" t="s">
        <v>222</v>
      </c>
      <c r="N65" s="176"/>
      <c r="O65" s="176"/>
      <c r="P65" s="176"/>
      <c r="Q65" s="170">
        <v>55000</v>
      </c>
      <c r="R65" s="170"/>
      <c r="S65" s="171" t="s">
        <v>26</v>
      </c>
      <c r="T65" s="171" t="s">
        <v>27</v>
      </c>
      <c r="U65" s="170">
        <v>1</v>
      </c>
      <c r="V65" s="169" t="s">
        <v>212</v>
      </c>
      <c r="W65" s="170" t="s">
        <v>28</v>
      </c>
      <c r="X65" s="61"/>
      <c r="Y65" s="61"/>
      <c r="Z65" s="60"/>
      <c r="AA65" s="60"/>
      <c r="AB65" s="61"/>
      <c r="AC65" s="320">
        <f t="shared" si="8"/>
        <v>55000</v>
      </c>
      <c r="AD65" s="68" t="s">
        <v>26</v>
      </c>
      <c r="AE65" s="1"/>
    </row>
    <row r="66" spans="1:31" s="12" customFormat="1" ht="21" customHeight="1">
      <c r="A66" s="54"/>
      <c r="B66" s="55"/>
      <c r="C66" s="55"/>
      <c r="D66" s="241"/>
      <c r="E66" s="147"/>
      <c r="F66" s="147"/>
      <c r="G66" s="147"/>
      <c r="H66" s="147"/>
      <c r="I66" s="147"/>
      <c r="J66" s="147"/>
      <c r="K66" s="147"/>
      <c r="L66" s="92"/>
      <c r="M66" s="321" t="s">
        <v>223</v>
      </c>
      <c r="N66" s="35"/>
      <c r="O66" s="35"/>
      <c r="P66" s="35"/>
      <c r="Q66" s="170">
        <v>30000</v>
      </c>
      <c r="R66" s="170"/>
      <c r="S66" s="171" t="s">
        <v>26</v>
      </c>
      <c r="T66" s="171" t="s">
        <v>27</v>
      </c>
      <c r="U66" s="170">
        <v>1</v>
      </c>
      <c r="V66" s="169" t="s">
        <v>212</v>
      </c>
      <c r="W66" s="170" t="s">
        <v>28</v>
      </c>
      <c r="X66" s="61"/>
      <c r="Y66" s="61"/>
      <c r="Z66" s="60"/>
      <c r="AA66" s="60"/>
      <c r="AB66" s="61"/>
      <c r="AC66" s="320">
        <f t="shared" si="8"/>
        <v>30000</v>
      </c>
      <c r="AD66" s="68" t="s">
        <v>26</v>
      </c>
      <c r="AE66" s="1"/>
    </row>
    <row r="67" spans="1:31" s="12" customFormat="1" ht="21" customHeight="1">
      <c r="A67" s="54"/>
      <c r="B67" s="55"/>
      <c r="C67" s="55"/>
      <c r="D67" s="241"/>
      <c r="E67" s="147"/>
      <c r="F67" s="147"/>
      <c r="G67" s="147"/>
      <c r="H67" s="147"/>
      <c r="I67" s="147"/>
      <c r="J67" s="147"/>
      <c r="K67" s="147"/>
      <c r="L67" s="92"/>
      <c r="M67" s="321" t="s">
        <v>224</v>
      </c>
      <c r="N67" s="35"/>
      <c r="O67" s="35"/>
      <c r="P67" s="35"/>
      <c r="Q67" s="168"/>
      <c r="R67" s="349"/>
      <c r="S67" s="89"/>
      <c r="T67" s="177"/>
      <c r="U67" s="168"/>
      <c r="V67" s="65"/>
      <c r="W67" s="167"/>
      <c r="X67" s="167"/>
      <c r="Y67" s="167"/>
      <c r="Z67" s="168"/>
      <c r="AA67" s="168"/>
      <c r="AB67" s="167"/>
      <c r="AC67" s="167">
        <v>0</v>
      </c>
      <c r="AD67" s="68" t="s">
        <v>73</v>
      </c>
      <c r="AE67" s="1"/>
    </row>
    <row r="68" spans="1:31" s="12" customFormat="1" ht="21" customHeight="1">
      <c r="A68" s="54"/>
      <c r="B68" s="55"/>
      <c r="C68" s="55"/>
      <c r="D68" s="241"/>
      <c r="E68" s="147"/>
      <c r="F68" s="147"/>
      <c r="G68" s="147"/>
      <c r="H68" s="147"/>
      <c r="I68" s="147"/>
      <c r="J68" s="147"/>
      <c r="K68" s="147"/>
      <c r="L68" s="92"/>
      <c r="M68" s="168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97"/>
      <c r="Y68" s="97"/>
      <c r="Z68" s="97"/>
      <c r="AA68" s="97"/>
      <c r="AB68" s="97"/>
      <c r="AC68" s="61"/>
      <c r="AD68" s="68"/>
      <c r="AE68" s="1"/>
    </row>
    <row r="69" spans="1:31" s="12" customFormat="1" ht="21" customHeight="1">
      <c r="A69" s="54"/>
      <c r="B69" s="55"/>
      <c r="C69" s="45" t="s">
        <v>48</v>
      </c>
      <c r="D69" s="243">
        <v>0</v>
      </c>
      <c r="E69" s="152">
        <f>ROUND(AC69/1000,0)</f>
        <v>0</v>
      </c>
      <c r="F69" s="152">
        <v>0</v>
      </c>
      <c r="G69" s="152">
        <v>0</v>
      </c>
      <c r="H69" s="152">
        <v>0</v>
      </c>
      <c r="I69" s="152">
        <v>0</v>
      </c>
      <c r="J69" s="152">
        <v>0</v>
      </c>
      <c r="K69" s="152">
        <f>E69-D69</f>
        <v>0</v>
      </c>
      <c r="L69" s="160">
        <f>IF(D69=0,0,K69/D69)</f>
        <v>0</v>
      </c>
      <c r="M69" s="133" t="s">
        <v>49</v>
      </c>
      <c r="N69" s="129"/>
      <c r="O69" s="129"/>
      <c r="P69" s="129"/>
      <c r="Q69" s="129"/>
      <c r="R69" s="287"/>
      <c r="S69" s="120"/>
      <c r="T69" s="120"/>
      <c r="U69" s="120"/>
      <c r="V69" s="120"/>
      <c r="W69" s="120"/>
      <c r="X69" s="265" t="s">
        <v>161</v>
      </c>
      <c r="Y69" s="265"/>
      <c r="Z69" s="265"/>
      <c r="AA69" s="265"/>
      <c r="AB69" s="267"/>
      <c r="AC69" s="267">
        <f>SUM(AC70:AC70)</f>
        <v>0</v>
      </c>
      <c r="AD69" s="266" t="s">
        <v>26</v>
      </c>
      <c r="AE69" s="1"/>
    </row>
    <row r="70" spans="1:31" s="12" customFormat="1" ht="21" customHeight="1">
      <c r="A70" s="54"/>
      <c r="B70" s="55"/>
      <c r="C70" s="55"/>
      <c r="D70" s="148"/>
      <c r="E70" s="147"/>
      <c r="F70" s="147"/>
      <c r="G70" s="147"/>
      <c r="H70" s="147"/>
      <c r="I70" s="147"/>
      <c r="J70" s="147"/>
      <c r="K70" s="147"/>
      <c r="L70" s="92"/>
      <c r="M70" s="321" t="s">
        <v>225</v>
      </c>
      <c r="N70" s="60"/>
      <c r="O70" s="60"/>
      <c r="P70" s="60"/>
      <c r="Q70" s="170">
        <v>0</v>
      </c>
      <c r="R70" s="170"/>
      <c r="S70" s="171" t="s">
        <v>26</v>
      </c>
      <c r="T70" s="171" t="s">
        <v>27</v>
      </c>
      <c r="U70" s="170">
        <v>12</v>
      </c>
      <c r="V70" s="169" t="s">
        <v>215</v>
      </c>
      <c r="W70" s="170" t="s">
        <v>28</v>
      </c>
      <c r="X70" s="61"/>
      <c r="Y70" s="61"/>
      <c r="Z70" s="61"/>
      <c r="AA70" s="61"/>
      <c r="AB70" s="61"/>
      <c r="AC70" s="61">
        <f>Q70*U70</f>
        <v>0</v>
      </c>
      <c r="AD70" s="68" t="s">
        <v>26</v>
      </c>
      <c r="AE70" s="1"/>
    </row>
    <row r="71" spans="1:31" s="12" customFormat="1" ht="21" customHeight="1">
      <c r="A71" s="54"/>
      <c r="B71" s="55"/>
      <c r="C71" s="70"/>
      <c r="D71" s="178"/>
      <c r="E71" s="150"/>
      <c r="F71" s="150"/>
      <c r="G71" s="150"/>
      <c r="H71" s="150"/>
      <c r="I71" s="150"/>
      <c r="J71" s="150"/>
      <c r="K71" s="150"/>
      <c r="L71" s="115"/>
      <c r="M71" s="108"/>
      <c r="N71" s="108"/>
      <c r="O71" s="108"/>
      <c r="P71" s="108"/>
      <c r="Q71" s="107"/>
      <c r="R71" s="345"/>
      <c r="S71" s="116"/>
      <c r="T71" s="107"/>
      <c r="U71" s="431"/>
      <c r="V71" s="432"/>
      <c r="W71" s="107"/>
      <c r="X71" s="107"/>
      <c r="Y71" s="107"/>
      <c r="Z71" s="107"/>
      <c r="AA71" s="179"/>
      <c r="AB71" s="107"/>
      <c r="AC71" s="107"/>
      <c r="AD71" s="95"/>
      <c r="AE71" s="1"/>
    </row>
    <row r="72" spans="1:31" s="12" customFormat="1" ht="21" customHeight="1">
      <c r="A72" s="54"/>
      <c r="B72" s="55"/>
      <c r="C72" s="45" t="s">
        <v>111</v>
      </c>
      <c r="D72" s="180">
        <v>0</v>
      </c>
      <c r="E72" s="152">
        <f>ROUND(AC72/1000,0)</f>
        <v>0</v>
      </c>
      <c r="F72" s="152">
        <v>0</v>
      </c>
      <c r="G72" s="152">
        <v>0</v>
      </c>
      <c r="H72" s="152">
        <v>0</v>
      </c>
      <c r="I72" s="152">
        <v>0</v>
      </c>
      <c r="J72" s="152">
        <v>0</v>
      </c>
      <c r="K72" s="152">
        <f>E72-D72</f>
        <v>0</v>
      </c>
      <c r="L72" s="160">
        <f>IF(D72=0,0,K72/D72)</f>
        <v>0</v>
      </c>
      <c r="M72" s="155" t="s">
        <v>112</v>
      </c>
      <c r="N72" s="129"/>
      <c r="O72" s="129"/>
      <c r="P72" s="129"/>
      <c r="Q72" s="129"/>
      <c r="R72" s="287"/>
      <c r="S72" s="120"/>
      <c r="T72" s="120"/>
      <c r="U72" s="120"/>
      <c r="V72" s="120"/>
      <c r="W72" s="120"/>
      <c r="X72" s="265" t="s">
        <v>161</v>
      </c>
      <c r="Y72" s="265"/>
      <c r="Z72" s="265"/>
      <c r="AA72" s="265"/>
      <c r="AB72" s="267"/>
      <c r="AC72" s="267">
        <f>SUM(AC73)</f>
        <v>0</v>
      </c>
      <c r="AD72" s="266" t="s">
        <v>26</v>
      </c>
      <c r="AE72" s="1"/>
    </row>
    <row r="73" spans="1:31" s="12" customFormat="1" ht="20.25" customHeight="1">
      <c r="A73" s="54"/>
      <c r="B73" s="55"/>
      <c r="C73" s="55"/>
      <c r="D73" s="181"/>
      <c r="E73" s="147"/>
      <c r="F73" s="147"/>
      <c r="G73" s="147"/>
      <c r="H73" s="147"/>
      <c r="I73" s="147"/>
      <c r="J73" s="147"/>
      <c r="K73" s="147"/>
      <c r="L73" s="92"/>
      <c r="M73" s="321" t="s">
        <v>226</v>
      </c>
      <c r="N73" s="168"/>
      <c r="O73" s="168"/>
      <c r="P73" s="168"/>
      <c r="Q73" s="156"/>
      <c r="R73" s="156"/>
      <c r="S73" s="167"/>
      <c r="T73" s="167"/>
      <c r="U73" s="167"/>
      <c r="V73" s="167"/>
      <c r="W73" s="167"/>
      <c r="X73" s="167"/>
      <c r="Y73" s="167"/>
      <c r="Z73" s="167"/>
      <c r="AA73" s="167"/>
      <c r="AB73" s="89"/>
      <c r="AC73" s="89">
        <v>0</v>
      </c>
      <c r="AD73" s="68" t="s">
        <v>218</v>
      </c>
      <c r="AE73" s="2"/>
    </row>
    <row r="74" spans="1:31" s="12" customFormat="1" ht="20.25" customHeight="1">
      <c r="A74" s="54"/>
      <c r="B74" s="55"/>
      <c r="C74" s="56"/>
      <c r="D74" s="181"/>
      <c r="E74" s="147"/>
      <c r="F74" s="147"/>
      <c r="G74" s="147"/>
      <c r="H74" s="147"/>
      <c r="I74" s="147"/>
      <c r="J74" s="147"/>
      <c r="K74" s="147"/>
      <c r="L74" s="92"/>
      <c r="M74" s="93"/>
      <c r="N74" s="336"/>
      <c r="O74" s="336"/>
      <c r="P74" s="336"/>
      <c r="Q74" s="117"/>
      <c r="R74" s="117"/>
      <c r="S74" s="335"/>
      <c r="T74" s="335"/>
      <c r="U74" s="335"/>
      <c r="V74" s="335"/>
      <c r="W74" s="335"/>
      <c r="X74" s="335"/>
      <c r="Y74" s="335"/>
      <c r="Z74" s="335"/>
      <c r="AA74" s="335"/>
      <c r="AB74" s="94"/>
      <c r="AC74" s="94"/>
      <c r="AD74" s="95"/>
      <c r="AE74" s="2"/>
    </row>
    <row r="75" spans="1:31" s="12" customFormat="1" ht="21" customHeight="1">
      <c r="A75" s="151" t="s">
        <v>50</v>
      </c>
      <c r="B75" s="430" t="s">
        <v>21</v>
      </c>
      <c r="C75" s="430"/>
      <c r="D75" s="293">
        <f>D76</f>
        <v>3300</v>
      </c>
      <c r="E75" s="293">
        <f>E76</f>
        <v>0</v>
      </c>
      <c r="F75" s="293">
        <f t="shared" ref="F75:J75" si="9">F76</f>
        <v>0</v>
      </c>
      <c r="G75" s="293">
        <f t="shared" si="9"/>
        <v>0</v>
      </c>
      <c r="H75" s="293">
        <f t="shared" si="9"/>
        <v>0</v>
      </c>
      <c r="I75" s="293">
        <f t="shared" si="9"/>
        <v>0</v>
      </c>
      <c r="J75" s="293">
        <f t="shared" si="9"/>
        <v>0</v>
      </c>
      <c r="K75" s="293">
        <f>E75-D75</f>
        <v>-3300</v>
      </c>
      <c r="L75" s="257">
        <f>IF(D75=0,0,K75/D75)</f>
        <v>-1</v>
      </c>
      <c r="M75" s="283" t="s">
        <v>169</v>
      </c>
      <c r="N75" s="41"/>
      <c r="O75" s="41"/>
      <c r="P75" s="41"/>
      <c r="Q75" s="42"/>
      <c r="R75" s="28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>
        <f>AC76</f>
        <v>0</v>
      </c>
      <c r="AD75" s="43" t="s">
        <v>26</v>
      </c>
      <c r="AE75" s="2"/>
    </row>
    <row r="76" spans="1:31" s="12" customFormat="1" ht="21" customHeight="1">
      <c r="A76" s="292" t="s">
        <v>176</v>
      </c>
      <c r="B76" s="55" t="s">
        <v>18</v>
      </c>
      <c r="C76" s="55" t="s">
        <v>170</v>
      </c>
      <c r="D76" s="241">
        <f>D77+D80+D84</f>
        <v>3300</v>
      </c>
      <c r="E76" s="147">
        <f>SUM(E77,E80,E84)</f>
        <v>0</v>
      </c>
      <c r="F76" s="147">
        <f>F77+F80+F84</f>
        <v>0</v>
      </c>
      <c r="G76" s="147">
        <f t="shared" ref="G76:J76" si="10">SUM(G77,G80,G84)</f>
        <v>0</v>
      </c>
      <c r="H76" s="147">
        <v>0</v>
      </c>
      <c r="I76" s="147">
        <f t="shared" si="10"/>
        <v>0</v>
      </c>
      <c r="J76" s="147">
        <f t="shared" si="10"/>
        <v>0</v>
      </c>
      <c r="K76" s="147">
        <f>E76-D76</f>
        <v>-3300</v>
      </c>
      <c r="L76" s="92">
        <f>IF(D76=0,0,K76/D76)</f>
        <v>-1</v>
      </c>
      <c r="M76" s="287" t="s">
        <v>171</v>
      </c>
      <c r="N76" s="129"/>
      <c r="O76" s="129"/>
      <c r="P76" s="129"/>
      <c r="Q76" s="129"/>
      <c r="R76" s="287"/>
      <c r="S76" s="120"/>
      <c r="T76" s="120"/>
      <c r="U76" s="120"/>
      <c r="V76" s="120"/>
      <c r="W76" s="120"/>
      <c r="X76" s="120"/>
      <c r="Y76" s="120"/>
      <c r="Z76" s="120"/>
      <c r="AA76" s="120"/>
      <c r="AB76" s="130"/>
      <c r="AC76" s="130">
        <f>SUM(AC77,AC80,AC84)</f>
        <v>0</v>
      </c>
      <c r="AD76" s="131" t="s">
        <v>26</v>
      </c>
      <c r="AE76" s="1"/>
    </row>
    <row r="77" spans="1:31" s="12" customFormat="1" ht="21" customHeight="1">
      <c r="A77" s="54"/>
      <c r="B77" s="55"/>
      <c r="C77" s="45" t="s">
        <v>171</v>
      </c>
      <c r="D77" s="290">
        <v>0</v>
      </c>
      <c r="E77" s="290">
        <f>ROUND(AC77/1000,0)</f>
        <v>0</v>
      </c>
      <c r="F77" s="290">
        <v>0</v>
      </c>
      <c r="G77" s="290">
        <v>0</v>
      </c>
      <c r="H77" s="290">
        <v>0</v>
      </c>
      <c r="I77" s="290">
        <v>0</v>
      </c>
      <c r="J77" s="290">
        <v>0</v>
      </c>
      <c r="K77" s="290">
        <f>E77-D77</f>
        <v>0</v>
      </c>
      <c r="L77" s="291">
        <f>IF(D77=0,0,K77/D77)</f>
        <v>0</v>
      </c>
      <c r="M77" s="133" t="s">
        <v>51</v>
      </c>
      <c r="N77" s="287"/>
      <c r="O77" s="287"/>
      <c r="P77" s="287"/>
      <c r="Q77" s="287"/>
      <c r="R77" s="287"/>
      <c r="S77" s="286"/>
      <c r="T77" s="286"/>
      <c r="U77" s="286"/>
      <c r="V77" s="286"/>
      <c r="W77" s="286"/>
      <c r="X77" s="265" t="s">
        <v>161</v>
      </c>
      <c r="Y77" s="265"/>
      <c r="Z77" s="265"/>
      <c r="AA77" s="265"/>
      <c r="AB77" s="267"/>
      <c r="AC77" s="267">
        <f>SUM(AC78:AC78)</f>
        <v>0</v>
      </c>
      <c r="AD77" s="266" t="s">
        <v>26</v>
      </c>
      <c r="AE77" s="1"/>
    </row>
    <row r="78" spans="1:31" s="12" customFormat="1" ht="21" customHeight="1">
      <c r="A78" s="54"/>
      <c r="B78" s="55"/>
      <c r="C78" s="55"/>
      <c r="D78" s="148"/>
      <c r="E78" s="147"/>
      <c r="F78" s="147"/>
      <c r="G78" s="147"/>
      <c r="H78" s="147"/>
      <c r="I78" s="147"/>
      <c r="J78" s="147"/>
      <c r="K78" s="147"/>
      <c r="L78" s="92"/>
      <c r="M78" s="321" t="s">
        <v>227</v>
      </c>
      <c r="N78" s="212"/>
      <c r="O78" s="212"/>
      <c r="P78" s="212"/>
      <c r="Q78" s="212"/>
      <c r="R78" s="283"/>
      <c r="S78" s="211"/>
      <c r="T78" s="211"/>
      <c r="U78" s="211"/>
      <c r="V78" s="211"/>
      <c r="W78" s="211"/>
      <c r="X78" s="211"/>
      <c r="Y78" s="211"/>
      <c r="Z78" s="211"/>
      <c r="AA78" s="213"/>
      <c r="AB78" s="62"/>
      <c r="AC78" s="89">
        <v>0</v>
      </c>
      <c r="AD78" s="68" t="s">
        <v>127</v>
      </c>
      <c r="AE78" s="2"/>
    </row>
    <row r="79" spans="1:31" s="12" customFormat="1" ht="21" customHeight="1">
      <c r="A79" s="54"/>
      <c r="B79" s="55"/>
      <c r="C79" s="55"/>
      <c r="D79" s="241"/>
      <c r="E79" s="147"/>
      <c r="F79" s="147"/>
      <c r="G79" s="147"/>
      <c r="H79" s="147"/>
      <c r="I79" s="147"/>
      <c r="J79" s="147"/>
      <c r="K79" s="147"/>
      <c r="L79" s="92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82"/>
      <c r="AD79" s="166"/>
      <c r="AE79" s="2"/>
    </row>
    <row r="80" spans="1:31" s="12" customFormat="1" ht="21" customHeight="1">
      <c r="A80" s="54"/>
      <c r="B80" s="55"/>
      <c r="C80" s="45" t="s">
        <v>19</v>
      </c>
      <c r="D80" s="243">
        <v>3300</v>
      </c>
      <c r="E80" s="152">
        <f>ROUND(AC80/1000,0)</f>
        <v>0</v>
      </c>
      <c r="F80" s="152">
        <v>0</v>
      </c>
      <c r="G80" s="152">
        <v>0</v>
      </c>
      <c r="H80" s="152">
        <v>0</v>
      </c>
      <c r="I80" s="152">
        <v>0</v>
      </c>
      <c r="J80" s="152">
        <v>0</v>
      </c>
      <c r="K80" s="152">
        <f>E80-D80</f>
        <v>-3300</v>
      </c>
      <c r="L80" s="160">
        <f>IF(D80=0,0,K80/D80)</f>
        <v>-1</v>
      </c>
      <c r="M80" s="133" t="s">
        <v>52</v>
      </c>
      <c r="N80" s="129"/>
      <c r="O80" s="129"/>
      <c r="P80" s="129"/>
      <c r="Q80" s="129"/>
      <c r="R80" s="287"/>
      <c r="S80" s="120"/>
      <c r="T80" s="120"/>
      <c r="U80" s="120"/>
      <c r="V80" s="120"/>
      <c r="W80" s="120"/>
      <c r="X80" s="265" t="s">
        <v>161</v>
      </c>
      <c r="Y80" s="265"/>
      <c r="Z80" s="265"/>
      <c r="AA80" s="265"/>
      <c r="AB80" s="267"/>
      <c r="AC80" s="267">
        <f>SUM(AC81:AC82)</f>
        <v>0</v>
      </c>
      <c r="AD80" s="266" t="s">
        <v>26</v>
      </c>
      <c r="AE80" s="1"/>
    </row>
    <row r="81" spans="1:31" s="12" customFormat="1" ht="21" customHeight="1">
      <c r="A81" s="54"/>
      <c r="B81" s="55"/>
      <c r="C81" s="55"/>
      <c r="D81" s="148"/>
      <c r="E81" s="147"/>
      <c r="F81" s="147"/>
      <c r="G81" s="147"/>
      <c r="H81" s="147"/>
      <c r="I81" s="147"/>
      <c r="J81" s="147"/>
      <c r="K81" s="147"/>
      <c r="L81" s="92"/>
      <c r="M81" s="321" t="s">
        <v>228</v>
      </c>
      <c r="N81" s="60"/>
      <c r="O81" s="60"/>
      <c r="P81" s="41"/>
      <c r="Q81" s="41"/>
      <c r="R81" s="283"/>
      <c r="S81" s="42"/>
      <c r="T81" s="42"/>
      <c r="U81" s="42"/>
      <c r="V81" s="42"/>
      <c r="W81" s="42"/>
      <c r="X81" s="42"/>
      <c r="Y81" s="42"/>
      <c r="Z81" s="42"/>
      <c r="AA81" s="284"/>
      <c r="AB81" s="62"/>
      <c r="AC81" s="89">
        <v>0</v>
      </c>
      <c r="AD81" s="68" t="s">
        <v>26</v>
      </c>
      <c r="AE81" s="2"/>
    </row>
    <row r="82" spans="1:31" s="12" customFormat="1" ht="21" customHeight="1">
      <c r="A82" s="54"/>
      <c r="B82" s="55"/>
      <c r="C82" s="55"/>
      <c r="D82" s="148"/>
      <c r="E82" s="147"/>
      <c r="F82" s="147"/>
      <c r="G82" s="147"/>
      <c r="H82" s="147"/>
      <c r="I82" s="147"/>
      <c r="J82" s="147"/>
      <c r="K82" s="147"/>
      <c r="L82" s="92"/>
      <c r="M82" s="321" t="s">
        <v>229</v>
      </c>
      <c r="N82" s="60"/>
      <c r="O82" s="60"/>
      <c r="P82" s="168"/>
      <c r="Q82" s="60"/>
      <c r="R82" s="349"/>
      <c r="S82" s="61"/>
      <c r="T82" s="42"/>
      <c r="U82" s="42"/>
      <c r="V82" s="42"/>
      <c r="W82" s="42"/>
      <c r="X82" s="42"/>
      <c r="Y82" s="42"/>
      <c r="Z82" s="42"/>
      <c r="AA82" s="284"/>
      <c r="AB82" s="62"/>
      <c r="AC82" s="89">
        <v>0</v>
      </c>
      <c r="AD82" s="68" t="s">
        <v>98</v>
      </c>
      <c r="AE82" s="2"/>
    </row>
    <row r="83" spans="1:31" s="12" customFormat="1" ht="21" customHeight="1">
      <c r="A83" s="54"/>
      <c r="B83" s="55"/>
      <c r="C83" s="55"/>
      <c r="D83" s="148"/>
      <c r="E83" s="147"/>
      <c r="F83" s="147"/>
      <c r="G83" s="147"/>
      <c r="H83" s="147"/>
      <c r="I83" s="147"/>
      <c r="J83" s="147"/>
      <c r="K83" s="147"/>
      <c r="L83" s="92"/>
      <c r="M83" s="238"/>
      <c r="N83" s="60"/>
      <c r="O83" s="60"/>
      <c r="P83" s="60"/>
      <c r="Q83" s="61"/>
      <c r="R83" s="348"/>
      <c r="S83" s="156"/>
      <c r="T83" s="65"/>
      <c r="U83" s="89"/>
      <c r="V83" s="89"/>
      <c r="W83" s="61"/>
      <c r="X83" s="61"/>
      <c r="Y83" s="61"/>
      <c r="Z83" s="61"/>
      <c r="AA83" s="61"/>
      <c r="AB83" s="61"/>
      <c r="AC83" s="61"/>
      <c r="AD83" s="68"/>
      <c r="AE83" s="2"/>
    </row>
    <row r="84" spans="1:31" s="12" customFormat="1" ht="21" customHeight="1">
      <c r="A84" s="54"/>
      <c r="B84" s="55"/>
      <c r="C84" s="45" t="s">
        <v>53</v>
      </c>
      <c r="D84" s="243">
        <v>0</v>
      </c>
      <c r="E84" s="152">
        <f>ROUND(AC84/1000,0)</f>
        <v>0</v>
      </c>
      <c r="F84" s="152">
        <v>0</v>
      </c>
      <c r="G84" s="152">
        <v>0</v>
      </c>
      <c r="H84" s="152">
        <v>0</v>
      </c>
      <c r="I84" s="152">
        <v>0</v>
      </c>
      <c r="J84" s="152">
        <v>0</v>
      </c>
      <c r="K84" s="152">
        <f>E84-D84</f>
        <v>0</v>
      </c>
      <c r="L84" s="160">
        <f>IF(D84=0,0,K84/D84)</f>
        <v>0</v>
      </c>
      <c r="M84" s="133" t="s">
        <v>54</v>
      </c>
      <c r="N84" s="129"/>
      <c r="O84" s="129"/>
      <c r="P84" s="129"/>
      <c r="Q84" s="129"/>
      <c r="R84" s="287"/>
      <c r="S84" s="120"/>
      <c r="T84" s="120"/>
      <c r="U84" s="120"/>
      <c r="V84" s="120"/>
      <c r="W84" s="120"/>
      <c r="X84" s="265" t="s">
        <v>161</v>
      </c>
      <c r="Y84" s="265"/>
      <c r="Z84" s="265"/>
      <c r="AA84" s="265"/>
      <c r="AB84" s="267"/>
      <c r="AC84" s="267">
        <f>SUM(AC85:AC86)</f>
        <v>0</v>
      </c>
      <c r="AD84" s="266" t="s">
        <v>26</v>
      </c>
      <c r="AE84" s="1"/>
    </row>
    <row r="85" spans="1:31" s="1" customFormat="1" ht="21" customHeight="1">
      <c r="A85" s="54"/>
      <c r="B85" s="55"/>
      <c r="C85" s="55" t="s">
        <v>182</v>
      </c>
      <c r="D85" s="241"/>
      <c r="E85" s="147"/>
      <c r="F85" s="147"/>
      <c r="G85" s="147"/>
      <c r="H85" s="147"/>
      <c r="I85" s="147"/>
      <c r="J85" s="147"/>
      <c r="K85" s="147"/>
      <c r="L85" s="92"/>
      <c r="M85" s="321" t="s">
        <v>230</v>
      </c>
      <c r="N85" s="60"/>
      <c r="O85" s="60"/>
      <c r="P85" s="60"/>
      <c r="Q85" s="61"/>
      <c r="R85" s="348"/>
      <c r="S85" s="65"/>
      <c r="T85" s="65"/>
      <c r="U85" s="61"/>
      <c r="V85" s="60"/>
      <c r="W85" s="61"/>
      <c r="X85" s="61"/>
      <c r="Y85" s="61"/>
      <c r="Z85" s="61"/>
      <c r="AA85" s="167"/>
      <c r="AB85" s="61"/>
      <c r="AC85" s="284">
        <v>0</v>
      </c>
      <c r="AD85" s="68" t="s">
        <v>26</v>
      </c>
      <c r="AE85" s="2"/>
    </row>
    <row r="86" spans="1:31" s="1" customFormat="1" ht="21" customHeight="1">
      <c r="A86" s="54"/>
      <c r="B86" s="55"/>
      <c r="C86" s="55"/>
      <c r="D86" s="241"/>
      <c r="E86" s="147"/>
      <c r="F86" s="147"/>
      <c r="G86" s="147"/>
      <c r="H86" s="147"/>
      <c r="I86" s="147"/>
      <c r="J86" s="147"/>
      <c r="K86" s="147"/>
      <c r="L86" s="92"/>
      <c r="M86" s="321" t="s">
        <v>231</v>
      </c>
      <c r="N86" s="60"/>
      <c r="O86" s="60"/>
      <c r="P86" s="60"/>
      <c r="Q86" s="61"/>
      <c r="R86" s="348"/>
      <c r="S86" s="65"/>
      <c r="T86" s="65"/>
      <c r="U86" s="61"/>
      <c r="V86" s="60"/>
      <c r="W86" s="61"/>
      <c r="X86" s="61"/>
      <c r="Y86" s="61"/>
      <c r="Z86" s="61"/>
      <c r="AA86" s="167"/>
      <c r="AB86" s="61"/>
      <c r="AC86" s="61">
        <f>Q86*U86</f>
        <v>0</v>
      </c>
      <c r="AD86" s="68" t="s">
        <v>26</v>
      </c>
      <c r="AE86" s="2"/>
    </row>
    <row r="87" spans="1:31" s="1" customFormat="1" ht="21" customHeight="1">
      <c r="A87" s="54"/>
      <c r="B87" s="55"/>
      <c r="C87" s="55"/>
      <c r="D87" s="241"/>
      <c r="E87" s="147"/>
      <c r="F87" s="147"/>
      <c r="G87" s="147"/>
      <c r="H87" s="147"/>
      <c r="I87" s="147"/>
      <c r="J87" s="147"/>
      <c r="K87" s="147"/>
      <c r="L87" s="92"/>
      <c r="M87" s="238"/>
      <c r="N87" s="60"/>
      <c r="O87" s="60"/>
      <c r="P87" s="60"/>
      <c r="Q87" s="61"/>
      <c r="R87" s="348"/>
      <c r="S87" s="65"/>
      <c r="T87" s="65"/>
      <c r="U87" s="61"/>
      <c r="V87" s="60"/>
      <c r="W87" s="61"/>
      <c r="X87" s="61"/>
      <c r="Y87" s="61"/>
      <c r="Z87" s="61"/>
      <c r="AA87" s="167"/>
      <c r="AB87" s="61"/>
      <c r="AC87" s="61"/>
      <c r="AD87" s="68"/>
      <c r="AE87" s="2"/>
    </row>
    <row r="88" spans="1:31" s="12" customFormat="1" ht="21" customHeight="1">
      <c r="A88" s="294" t="s">
        <v>20</v>
      </c>
      <c r="B88" s="428" t="s">
        <v>21</v>
      </c>
      <c r="C88" s="429"/>
      <c r="D88" s="295">
        <f t="shared" ref="D88:J88" si="11">SUM(D89,D109)</f>
        <v>19762</v>
      </c>
      <c r="E88" s="295">
        <f t="shared" si="11"/>
        <v>20324.999599999999</v>
      </c>
      <c r="F88" s="295">
        <f t="shared" si="11"/>
        <v>11035.3</v>
      </c>
      <c r="G88" s="295">
        <f t="shared" si="11"/>
        <v>0</v>
      </c>
      <c r="H88" s="295">
        <f t="shared" si="11"/>
        <v>9289.6995999999999</v>
      </c>
      <c r="I88" s="295">
        <f t="shared" si="11"/>
        <v>0</v>
      </c>
      <c r="J88" s="295">
        <f t="shared" si="11"/>
        <v>0</v>
      </c>
      <c r="K88" s="295">
        <f>SUM(K89,K95,K99,K102,K106)</f>
        <v>-1992.8</v>
      </c>
      <c r="L88" s="296">
        <f>IF(D88=0,0,K88/D88)</f>
        <v>-0.10083999595182673</v>
      </c>
      <c r="M88" s="287" t="s">
        <v>173</v>
      </c>
      <c r="N88" s="129"/>
      <c r="O88" s="129"/>
      <c r="P88" s="129"/>
      <c r="Q88" s="129"/>
      <c r="R88" s="287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>
        <f>SUM(AC89,AC109)</f>
        <v>20324999.600000001</v>
      </c>
      <c r="AD88" s="131" t="s">
        <v>26</v>
      </c>
      <c r="AE88" s="14"/>
    </row>
    <row r="89" spans="1:31" s="12" customFormat="1" ht="21" customHeight="1">
      <c r="A89" s="55"/>
      <c r="B89" s="45" t="s">
        <v>117</v>
      </c>
      <c r="C89" s="45" t="s">
        <v>174</v>
      </c>
      <c r="D89" s="152">
        <f t="shared" ref="D89:J89" si="12">SUM(D90,D95,D99,D102,D106)</f>
        <v>14670</v>
      </c>
      <c r="E89" s="152">
        <f t="shared" si="12"/>
        <v>13121</v>
      </c>
      <c r="F89" s="152">
        <f t="shared" si="12"/>
        <v>11035.3</v>
      </c>
      <c r="G89" s="152">
        <f t="shared" si="12"/>
        <v>0</v>
      </c>
      <c r="H89" s="152">
        <f t="shared" si="12"/>
        <v>2085.6999999999998</v>
      </c>
      <c r="I89" s="152">
        <f t="shared" si="12"/>
        <v>0</v>
      </c>
      <c r="J89" s="152">
        <f t="shared" si="12"/>
        <v>0</v>
      </c>
      <c r="K89" s="152">
        <f>E89-D89</f>
        <v>-1549</v>
      </c>
      <c r="L89" s="160">
        <f>IF(D89=0,0,K89/D89)</f>
        <v>-0.10558963871847307</v>
      </c>
      <c r="M89" s="129"/>
      <c r="N89" s="129"/>
      <c r="O89" s="129"/>
      <c r="P89" s="129"/>
      <c r="Q89" s="129"/>
      <c r="R89" s="287"/>
      <c r="S89" s="120"/>
      <c r="T89" s="120"/>
      <c r="U89" s="120"/>
      <c r="V89" s="120"/>
      <c r="W89" s="120"/>
      <c r="X89" s="120" t="s">
        <v>29</v>
      </c>
      <c r="Y89" s="120"/>
      <c r="Z89" s="120"/>
      <c r="AA89" s="120"/>
      <c r="AB89" s="130"/>
      <c r="AC89" s="130">
        <f>SUM(AC90,AC95,AC99,AC102,AC106)</f>
        <v>13121000</v>
      </c>
      <c r="AD89" s="131" t="s">
        <v>26</v>
      </c>
      <c r="AE89" s="1"/>
    </row>
    <row r="90" spans="1:31" s="12" customFormat="1" ht="21" customHeight="1">
      <c r="A90" s="55"/>
      <c r="B90" s="55"/>
      <c r="C90" s="45" t="s">
        <v>62</v>
      </c>
      <c r="D90" s="243">
        <v>12533</v>
      </c>
      <c r="E90" s="152">
        <f>SUM(F90,G90,H90,I90,J90)</f>
        <v>11427.8</v>
      </c>
      <c r="F90" s="152">
        <f>(AC91+AC93)/1000</f>
        <v>10227.799999999999</v>
      </c>
      <c r="G90" s="152">
        <v>0</v>
      </c>
      <c r="H90" s="152">
        <f>(AC92)/1000</f>
        <v>1200</v>
      </c>
      <c r="I90" s="152">
        <v>0</v>
      </c>
      <c r="J90" s="152">
        <v>0</v>
      </c>
      <c r="K90" s="152">
        <f>E90-D90</f>
        <v>-1105.2000000000007</v>
      </c>
      <c r="L90" s="160">
        <f>IF(D90=0,0,K90/D90)</f>
        <v>-8.8183196361605418E-2</v>
      </c>
      <c r="M90" s="133" t="s">
        <v>118</v>
      </c>
      <c r="N90" s="287"/>
      <c r="O90" s="287"/>
      <c r="P90" s="287"/>
      <c r="Q90" s="287"/>
      <c r="R90" s="287"/>
      <c r="S90" s="286"/>
      <c r="T90" s="286"/>
      <c r="U90" s="286"/>
      <c r="V90" s="286"/>
      <c r="W90" s="286"/>
      <c r="X90" s="265" t="s">
        <v>161</v>
      </c>
      <c r="Y90" s="265"/>
      <c r="Z90" s="265"/>
      <c r="AA90" s="265"/>
      <c r="AB90" s="267"/>
      <c r="AC90" s="267">
        <f>SUM(AC91:AC93)</f>
        <v>11427800</v>
      </c>
      <c r="AD90" s="266" t="s">
        <v>26</v>
      </c>
      <c r="AE90" s="1"/>
    </row>
    <row r="91" spans="1:31" s="12" customFormat="1" ht="21" customHeight="1">
      <c r="A91" s="55"/>
      <c r="B91" s="55"/>
      <c r="C91" s="55"/>
      <c r="D91" s="148"/>
      <c r="E91" s="147"/>
      <c r="F91" s="147"/>
      <c r="G91" s="147"/>
      <c r="H91" s="147"/>
      <c r="I91" s="147"/>
      <c r="J91" s="147"/>
      <c r="K91" s="147"/>
      <c r="L91" s="92"/>
      <c r="M91" s="321" t="s">
        <v>232</v>
      </c>
      <c r="N91" s="60"/>
      <c r="O91" s="61"/>
      <c r="P91" s="61"/>
      <c r="Q91" s="61">
        <v>162130</v>
      </c>
      <c r="R91" s="348"/>
      <c r="S91" s="61" t="s">
        <v>97</v>
      </c>
      <c r="T91" s="65" t="s">
        <v>99</v>
      </c>
      <c r="U91" s="61">
        <v>12</v>
      </c>
      <c r="V91" s="61" t="s">
        <v>107</v>
      </c>
      <c r="W91" s="65" t="s">
        <v>99</v>
      </c>
      <c r="X91" s="61">
        <v>5</v>
      </c>
      <c r="Y91" s="61" t="s">
        <v>100</v>
      </c>
      <c r="Z91" s="67" t="s">
        <v>101</v>
      </c>
      <c r="AA91" s="61" t="s">
        <v>110</v>
      </c>
      <c r="AB91" s="89"/>
      <c r="AC91" s="89">
        <f>ROUNDDOWN(Q91*U91*X91,-1)</f>
        <v>9727800</v>
      </c>
      <c r="AD91" s="68" t="s">
        <v>26</v>
      </c>
      <c r="AE91" s="2"/>
    </row>
    <row r="92" spans="1:31" s="12" customFormat="1" ht="21" customHeight="1">
      <c r="A92" s="55"/>
      <c r="B92" s="55"/>
      <c r="C92" s="55"/>
      <c r="D92" s="148"/>
      <c r="E92" s="147"/>
      <c r="F92" s="147"/>
      <c r="G92" s="147"/>
      <c r="H92" s="147"/>
      <c r="I92" s="147"/>
      <c r="J92" s="147"/>
      <c r="K92" s="147"/>
      <c r="L92" s="92"/>
      <c r="M92" s="238" t="s">
        <v>126</v>
      </c>
      <c r="N92" s="198"/>
      <c r="O92" s="198"/>
      <c r="P92" s="198"/>
      <c r="Q92" s="197">
        <v>100000</v>
      </c>
      <c r="R92" s="348"/>
      <c r="S92" s="65" t="s">
        <v>26</v>
      </c>
      <c r="T92" s="65" t="s">
        <v>27</v>
      </c>
      <c r="U92" s="197">
        <v>12</v>
      </c>
      <c r="V92" s="197" t="s">
        <v>30</v>
      </c>
      <c r="W92" s="65" t="s">
        <v>27</v>
      </c>
      <c r="X92" s="197">
        <v>1</v>
      </c>
      <c r="Y92" s="197" t="s">
        <v>167</v>
      </c>
      <c r="Z92" s="196" t="s">
        <v>28</v>
      </c>
      <c r="AA92" s="197" t="s">
        <v>125</v>
      </c>
      <c r="AB92" s="197"/>
      <c r="AC92" s="197">
        <f>Q92*U92*X92</f>
        <v>1200000</v>
      </c>
      <c r="AD92" s="172" t="s">
        <v>97</v>
      </c>
      <c r="AE92" s="2"/>
    </row>
    <row r="93" spans="1:31" s="12" customFormat="1" ht="21" customHeight="1">
      <c r="A93" s="55"/>
      <c r="B93" s="55"/>
      <c r="C93" s="55"/>
      <c r="D93" s="148"/>
      <c r="E93" s="147"/>
      <c r="F93" s="147"/>
      <c r="G93" s="147"/>
      <c r="H93" s="147"/>
      <c r="I93" s="147"/>
      <c r="J93" s="147"/>
      <c r="K93" s="147"/>
      <c r="L93" s="92"/>
      <c r="M93" s="333" t="s">
        <v>255</v>
      </c>
      <c r="N93" s="333"/>
      <c r="O93" s="333"/>
      <c r="P93" s="333"/>
      <c r="Q93" s="332"/>
      <c r="R93" s="348"/>
      <c r="S93" s="65"/>
      <c r="T93" s="65"/>
      <c r="U93" s="332"/>
      <c r="V93" s="332"/>
      <c r="W93" s="65"/>
      <c r="X93" s="332"/>
      <c r="Y93" s="332"/>
      <c r="Z93" s="299"/>
      <c r="AA93" s="332"/>
      <c r="AB93" s="332"/>
      <c r="AC93" s="332">
        <v>500000</v>
      </c>
      <c r="AD93" s="172" t="s">
        <v>256</v>
      </c>
      <c r="AE93" s="2"/>
    </row>
    <row r="94" spans="1:31" s="12" customFormat="1" ht="21" customHeight="1">
      <c r="A94" s="55"/>
      <c r="B94" s="55"/>
      <c r="C94" s="70"/>
      <c r="D94" s="242"/>
      <c r="E94" s="150"/>
      <c r="F94" s="150"/>
      <c r="G94" s="150"/>
      <c r="H94" s="150"/>
      <c r="I94" s="150"/>
      <c r="J94" s="150"/>
      <c r="K94" s="150"/>
      <c r="L94" s="115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82"/>
      <c r="AD94" s="166"/>
      <c r="AE94" s="2"/>
    </row>
    <row r="95" spans="1:31" s="12" customFormat="1" ht="21" customHeight="1">
      <c r="A95" s="55"/>
      <c r="B95" s="55"/>
      <c r="C95" s="55" t="s">
        <v>119</v>
      </c>
      <c r="D95" s="241">
        <v>1082</v>
      </c>
      <c r="E95" s="147">
        <f>SUM(F95,G95,H95,I95,J95)</f>
        <v>609.20000000000005</v>
      </c>
      <c r="F95" s="147">
        <f>AC96/1000</f>
        <v>523.5</v>
      </c>
      <c r="G95" s="147">
        <v>0</v>
      </c>
      <c r="H95" s="147">
        <f>AC97/1000</f>
        <v>85.7</v>
      </c>
      <c r="I95" s="147">
        <v>0</v>
      </c>
      <c r="J95" s="147">
        <v>0</v>
      </c>
      <c r="K95" s="147">
        <f>E95-D95</f>
        <v>-472.79999999999995</v>
      </c>
      <c r="L95" s="92">
        <f>IF(D95=0,0,K95/D95)</f>
        <v>-0.43696857670979661</v>
      </c>
      <c r="M95" s="133" t="s">
        <v>120</v>
      </c>
      <c r="N95" s="129"/>
      <c r="O95" s="129"/>
      <c r="P95" s="129"/>
      <c r="Q95" s="129"/>
      <c r="R95" s="287"/>
      <c r="S95" s="120"/>
      <c r="T95" s="120"/>
      <c r="U95" s="120"/>
      <c r="V95" s="120"/>
      <c r="W95" s="120"/>
      <c r="X95" s="265" t="s">
        <v>161</v>
      </c>
      <c r="Y95" s="265"/>
      <c r="Z95" s="265"/>
      <c r="AA95" s="265"/>
      <c r="AB95" s="267"/>
      <c r="AC95" s="267">
        <f>SUM(AC96:AC98)</f>
        <v>609200</v>
      </c>
      <c r="AD95" s="266" t="s">
        <v>26</v>
      </c>
      <c r="AE95" s="1"/>
    </row>
    <row r="96" spans="1:31" s="12" customFormat="1" ht="21" customHeight="1">
      <c r="A96" s="55"/>
      <c r="B96" s="55"/>
      <c r="C96" s="55" t="s">
        <v>175</v>
      </c>
      <c r="D96" s="241"/>
      <c r="E96" s="147"/>
      <c r="F96" s="147"/>
      <c r="G96" s="147"/>
      <c r="H96" s="147"/>
      <c r="I96" s="147"/>
      <c r="J96" s="147"/>
      <c r="K96" s="147"/>
      <c r="L96" s="92"/>
      <c r="M96" s="321" t="s">
        <v>233</v>
      </c>
      <c r="N96" s="60"/>
      <c r="O96" s="60"/>
      <c r="P96" s="60"/>
      <c r="Q96" s="61"/>
      <c r="R96" s="348"/>
      <c r="S96" s="65"/>
      <c r="T96" s="65"/>
      <c r="U96" s="61"/>
      <c r="V96" s="61"/>
      <c r="W96" s="61"/>
      <c r="X96" s="61"/>
      <c r="Y96" s="61"/>
      <c r="Z96" s="61"/>
      <c r="AA96" s="197"/>
      <c r="AB96" s="61"/>
      <c r="AC96" s="61">
        <v>523500</v>
      </c>
      <c r="AD96" s="68" t="s">
        <v>97</v>
      </c>
      <c r="AE96" s="2"/>
    </row>
    <row r="97" spans="1:31" s="12" customFormat="1" ht="21" customHeight="1">
      <c r="A97" s="55"/>
      <c r="B97" s="55"/>
      <c r="C97" s="55"/>
      <c r="D97" s="241"/>
      <c r="E97" s="147"/>
      <c r="F97" s="147"/>
      <c r="G97" s="147"/>
      <c r="H97" s="147"/>
      <c r="I97" s="147"/>
      <c r="J97" s="147"/>
      <c r="K97" s="147"/>
      <c r="L97" s="92"/>
      <c r="M97" s="340" t="s">
        <v>286</v>
      </c>
      <c r="N97" s="340"/>
      <c r="O97" s="340"/>
      <c r="P97" s="340"/>
      <c r="Q97" s="339"/>
      <c r="R97" s="348"/>
      <c r="S97" s="65"/>
      <c r="T97" s="65"/>
      <c r="U97" s="339"/>
      <c r="V97" s="339"/>
      <c r="W97" s="339"/>
      <c r="X97" s="339"/>
      <c r="Y97" s="339"/>
      <c r="Z97" s="339"/>
      <c r="AA97" s="339"/>
      <c r="AB97" s="339"/>
      <c r="AC97" s="339">
        <v>85700</v>
      </c>
      <c r="AD97" s="68" t="s">
        <v>60</v>
      </c>
      <c r="AE97" s="2"/>
    </row>
    <row r="98" spans="1:31" s="12" customFormat="1" ht="21" customHeight="1">
      <c r="A98" s="55"/>
      <c r="B98" s="55"/>
      <c r="C98" s="55"/>
      <c r="D98" s="241"/>
      <c r="E98" s="147"/>
      <c r="F98" s="147"/>
      <c r="G98" s="147"/>
      <c r="H98" s="147"/>
      <c r="I98" s="147"/>
      <c r="J98" s="147"/>
      <c r="K98" s="147"/>
      <c r="L98" s="92"/>
      <c r="M98" s="236"/>
      <c r="N98" s="108"/>
      <c r="O98" s="108"/>
      <c r="P98" s="108"/>
      <c r="Q98" s="107"/>
      <c r="R98" s="345"/>
      <c r="S98" s="116"/>
      <c r="T98" s="65"/>
      <c r="U98" s="94"/>
      <c r="V98" s="107"/>
      <c r="W98" s="107"/>
      <c r="X98" s="107"/>
      <c r="Y98" s="107"/>
      <c r="Z98" s="107"/>
      <c r="AA98" s="214"/>
      <c r="AB98" s="107"/>
      <c r="AC98" s="107"/>
      <c r="AD98" s="95"/>
      <c r="AE98" s="1"/>
    </row>
    <row r="99" spans="1:31" s="12" customFormat="1" ht="21" customHeight="1">
      <c r="A99" s="55"/>
      <c r="B99" s="55"/>
      <c r="C99" s="45" t="s">
        <v>114</v>
      </c>
      <c r="D99" s="243">
        <v>500</v>
      </c>
      <c r="E99" s="152">
        <f>AC99/1000</f>
        <v>500</v>
      </c>
      <c r="F99" s="152">
        <v>0</v>
      </c>
      <c r="G99" s="152">
        <v>0</v>
      </c>
      <c r="H99" s="152">
        <v>500</v>
      </c>
      <c r="I99" s="152">
        <v>0</v>
      </c>
      <c r="J99" s="152">
        <v>0</v>
      </c>
      <c r="K99" s="152">
        <f>E99-D99</f>
        <v>0</v>
      </c>
      <c r="L99" s="160">
        <f>IF(D99=0,0,K99/D99)</f>
        <v>0</v>
      </c>
      <c r="M99" s="133" t="s">
        <v>155</v>
      </c>
      <c r="N99" s="264"/>
      <c r="O99" s="129"/>
      <c r="P99" s="129"/>
      <c r="Q99" s="129"/>
      <c r="R99" s="287"/>
      <c r="S99" s="120"/>
      <c r="T99" s="120"/>
      <c r="U99" s="120"/>
      <c r="V99" s="286"/>
      <c r="W99" s="286"/>
      <c r="X99" s="265" t="s">
        <v>161</v>
      </c>
      <c r="Y99" s="265"/>
      <c r="Z99" s="265"/>
      <c r="AA99" s="265"/>
      <c r="AB99" s="267"/>
      <c r="AC99" s="267">
        <f>SUM(AC100:AC101)</f>
        <v>500000</v>
      </c>
      <c r="AD99" s="266" t="s">
        <v>26</v>
      </c>
      <c r="AE99" s="1"/>
    </row>
    <row r="100" spans="1:31" s="12" customFormat="1" ht="21" customHeight="1">
      <c r="A100" s="55"/>
      <c r="B100" s="55"/>
      <c r="C100" s="55"/>
      <c r="D100" s="148"/>
      <c r="E100" s="147"/>
      <c r="F100" s="147"/>
      <c r="G100" s="147"/>
      <c r="H100" s="147"/>
      <c r="I100" s="147"/>
      <c r="J100" s="147"/>
      <c r="K100" s="147"/>
      <c r="L100" s="92"/>
      <c r="M100" s="321" t="s">
        <v>234</v>
      </c>
      <c r="N100" s="60"/>
      <c r="O100" s="61"/>
      <c r="P100" s="61"/>
      <c r="Q100" s="61">
        <v>100000</v>
      </c>
      <c r="R100" s="348"/>
      <c r="S100" s="61" t="s">
        <v>97</v>
      </c>
      <c r="T100" s="60" t="s">
        <v>99</v>
      </c>
      <c r="U100" s="61">
        <v>5</v>
      </c>
      <c r="V100" s="320" t="s">
        <v>235</v>
      </c>
      <c r="W100" s="321" t="s">
        <v>236</v>
      </c>
      <c r="X100" s="61"/>
      <c r="Y100" s="61"/>
      <c r="Z100" s="61"/>
      <c r="AA100" s="61"/>
      <c r="AB100" s="89"/>
      <c r="AC100" s="89">
        <f>Q100*U100</f>
        <v>500000</v>
      </c>
      <c r="AD100" s="68" t="s">
        <v>26</v>
      </c>
      <c r="AE100" s="1"/>
    </row>
    <row r="101" spans="1:31" s="12" customFormat="1" ht="21" customHeight="1">
      <c r="A101" s="55"/>
      <c r="B101" s="55"/>
      <c r="C101" s="55"/>
      <c r="D101" s="241"/>
      <c r="E101" s="147"/>
      <c r="F101" s="147"/>
      <c r="G101" s="147"/>
      <c r="H101" s="147"/>
      <c r="I101" s="147"/>
      <c r="J101" s="147"/>
      <c r="K101" s="147"/>
      <c r="L101" s="92"/>
      <c r="M101" s="274"/>
      <c r="N101" s="60"/>
      <c r="O101" s="61"/>
      <c r="P101" s="61"/>
      <c r="Q101" s="61"/>
      <c r="R101" s="348"/>
      <c r="S101" s="61"/>
      <c r="T101" s="60"/>
      <c r="U101" s="61"/>
      <c r="V101" s="61"/>
      <c r="W101" s="60"/>
      <c r="X101" s="61"/>
      <c r="Y101" s="61"/>
      <c r="Z101" s="61"/>
      <c r="AA101" s="273"/>
      <c r="AB101" s="89"/>
      <c r="AC101" s="89"/>
      <c r="AD101" s="68"/>
      <c r="AE101" s="1"/>
    </row>
    <row r="102" spans="1:31" s="12" customFormat="1" ht="21" customHeight="1">
      <c r="A102" s="55"/>
      <c r="B102" s="55"/>
      <c r="C102" s="45" t="s">
        <v>115</v>
      </c>
      <c r="D102" s="243">
        <v>470</v>
      </c>
      <c r="E102" s="152">
        <f>F102+G102+H102+I102+J102</f>
        <v>500</v>
      </c>
      <c r="F102" s="152">
        <f>AC103/1000</f>
        <v>200</v>
      </c>
      <c r="G102" s="152">
        <v>0</v>
      </c>
      <c r="H102" s="152">
        <f>AC104/1000</f>
        <v>300</v>
      </c>
      <c r="I102" s="152">
        <v>0</v>
      </c>
      <c r="J102" s="152">
        <v>0</v>
      </c>
      <c r="K102" s="152">
        <f>E102-D102</f>
        <v>30</v>
      </c>
      <c r="L102" s="160">
        <f>IF(D102=0,0,K102/D102)</f>
        <v>6.3829787234042548E-2</v>
      </c>
      <c r="M102" s="133" t="s">
        <v>156</v>
      </c>
      <c r="N102" s="264"/>
      <c r="O102" s="272"/>
      <c r="P102" s="272"/>
      <c r="Q102" s="272"/>
      <c r="R102" s="287"/>
      <c r="S102" s="271"/>
      <c r="T102" s="271"/>
      <c r="U102" s="271"/>
      <c r="V102" s="286"/>
      <c r="W102" s="286"/>
      <c r="X102" s="265" t="s">
        <v>161</v>
      </c>
      <c r="Y102" s="265"/>
      <c r="Z102" s="265"/>
      <c r="AA102" s="265"/>
      <c r="AB102" s="267"/>
      <c r="AC102" s="267">
        <f>SUM(AC103:AC104)</f>
        <v>500000</v>
      </c>
      <c r="AD102" s="266" t="s">
        <v>26</v>
      </c>
      <c r="AE102" s="1"/>
    </row>
    <row r="103" spans="1:31" s="15" customFormat="1" ht="21" customHeight="1">
      <c r="A103" s="55"/>
      <c r="B103" s="55"/>
      <c r="C103" s="55"/>
      <c r="D103" s="241"/>
      <c r="E103" s="147"/>
      <c r="F103" s="147"/>
      <c r="G103" s="147"/>
      <c r="H103" s="147"/>
      <c r="I103" s="147"/>
      <c r="J103" s="147"/>
      <c r="K103" s="147"/>
      <c r="L103" s="92"/>
      <c r="M103" s="321" t="s">
        <v>237</v>
      </c>
      <c r="N103" s="60"/>
      <c r="O103" s="61"/>
      <c r="P103" s="61"/>
      <c r="Q103" s="61">
        <v>40000</v>
      </c>
      <c r="R103" s="348"/>
      <c r="S103" s="61" t="s">
        <v>97</v>
      </c>
      <c r="T103" s="60" t="s">
        <v>99</v>
      </c>
      <c r="U103" s="61">
        <v>1</v>
      </c>
      <c r="V103" s="61" t="s">
        <v>113</v>
      </c>
      <c r="W103" s="60" t="s">
        <v>99</v>
      </c>
      <c r="X103" s="61">
        <v>5</v>
      </c>
      <c r="Y103" s="61" t="s">
        <v>100</v>
      </c>
      <c r="Z103" s="61" t="s">
        <v>101</v>
      </c>
      <c r="AA103" s="61"/>
      <c r="AB103" s="89"/>
      <c r="AC103" s="89">
        <f>Q103*U103*X103</f>
        <v>200000</v>
      </c>
      <c r="AD103" s="68" t="s">
        <v>26</v>
      </c>
      <c r="AE103" s="5"/>
    </row>
    <row r="104" spans="1:31" s="15" customFormat="1" ht="21" customHeight="1">
      <c r="A104" s="55"/>
      <c r="B104" s="55"/>
      <c r="C104" s="55"/>
      <c r="D104" s="241"/>
      <c r="E104" s="147"/>
      <c r="F104" s="147"/>
      <c r="G104" s="147"/>
      <c r="H104" s="147"/>
      <c r="I104" s="147"/>
      <c r="J104" s="147"/>
      <c r="K104" s="147"/>
      <c r="L104" s="92"/>
      <c r="M104" s="321" t="s">
        <v>238</v>
      </c>
      <c r="N104" s="60"/>
      <c r="O104" s="60"/>
      <c r="P104" s="60"/>
      <c r="Q104" s="273"/>
      <c r="R104" s="348"/>
      <c r="S104" s="65"/>
      <c r="T104" s="65"/>
      <c r="U104" s="273"/>
      <c r="V104" s="273"/>
      <c r="W104" s="268"/>
      <c r="X104" s="183"/>
      <c r="Y104" s="97"/>
      <c r="Z104" s="280"/>
      <c r="AA104" s="273"/>
      <c r="AB104" s="61"/>
      <c r="AC104" s="61">
        <v>300000</v>
      </c>
      <c r="AD104" s="68" t="s">
        <v>26</v>
      </c>
      <c r="AE104" s="5"/>
    </row>
    <row r="105" spans="1:31" s="12" customFormat="1" ht="21" customHeight="1">
      <c r="A105" s="55"/>
      <c r="B105" s="55"/>
      <c r="C105" s="70"/>
      <c r="D105" s="242"/>
      <c r="E105" s="249"/>
      <c r="F105" s="249"/>
      <c r="G105" s="249"/>
      <c r="H105" s="249"/>
      <c r="I105" s="249"/>
      <c r="J105" s="249"/>
      <c r="K105" s="185"/>
      <c r="L105" s="115"/>
      <c r="M105" s="184"/>
      <c r="N105" s="184"/>
      <c r="O105" s="184"/>
      <c r="P105" s="184"/>
      <c r="Q105" s="184"/>
      <c r="R105" s="184"/>
      <c r="S105" s="186"/>
      <c r="T105" s="61"/>
      <c r="U105" s="67"/>
      <c r="V105" s="61"/>
      <c r="W105" s="61"/>
      <c r="X105" s="61"/>
      <c r="Y105" s="61"/>
      <c r="Z105" s="61"/>
      <c r="AA105" s="61"/>
      <c r="AB105" s="61"/>
      <c r="AC105" s="61"/>
      <c r="AD105" s="68"/>
      <c r="AE105" s="1"/>
    </row>
    <row r="106" spans="1:31" s="12" customFormat="1" ht="21" customHeight="1">
      <c r="A106" s="55"/>
      <c r="B106" s="55"/>
      <c r="C106" s="55" t="s">
        <v>116</v>
      </c>
      <c r="D106" s="181">
        <v>85</v>
      </c>
      <c r="E106" s="147">
        <f>SUM(F106,G106,H106,I106,J106)</f>
        <v>84</v>
      </c>
      <c r="F106" s="147">
        <f>AC107/1000</f>
        <v>84</v>
      </c>
      <c r="G106" s="147">
        <v>0</v>
      </c>
      <c r="H106" s="147"/>
      <c r="I106" s="147">
        <v>0</v>
      </c>
      <c r="J106" s="147">
        <v>0</v>
      </c>
      <c r="K106" s="147">
        <f>E106-D106</f>
        <v>-1</v>
      </c>
      <c r="L106" s="92">
        <f>IF(D106=0,0,K106/D106)</f>
        <v>-1.1764705882352941E-2</v>
      </c>
      <c r="M106" s="133" t="s">
        <v>121</v>
      </c>
      <c r="N106" s="129"/>
      <c r="O106" s="129"/>
      <c r="P106" s="129"/>
      <c r="Q106" s="129"/>
      <c r="R106" s="287"/>
      <c r="S106" s="120"/>
      <c r="T106" s="120"/>
      <c r="U106" s="120"/>
      <c r="V106" s="120"/>
      <c r="W106" s="120"/>
      <c r="X106" s="265" t="s">
        <v>161</v>
      </c>
      <c r="Y106" s="265"/>
      <c r="Z106" s="265"/>
      <c r="AA106" s="265"/>
      <c r="AB106" s="267"/>
      <c r="AC106" s="267">
        <f>SUM(AC107:AC107)</f>
        <v>84000</v>
      </c>
      <c r="AD106" s="266" t="s">
        <v>26</v>
      </c>
      <c r="AE106" s="1"/>
    </row>
    <row r="107" spans="1:31" s="12" customFormat="1" ht="21" customHeight="1">
      <c r="A107" s="55"/>
      <c r="B107" s="55"/>
      <c r="C107" s="55"/>
      <c r="D107" s="241"/>
      <c r="E107" s="147"/>
      <c r="F107" s="147"/>
      <c r="G107" s="147"/>
      <c r="H107" s="147"/>
      <c r="I107" s="147"/>
      <c r="J107" s="147"/>
      <c r="K107" s="147"/>
      <c r="L107" s="92"/>
      <c r="M107" s="321" t="s">
        <v>239</v>
      </c>
      <c r="N107" s="60"/>
      <c r="O107" s="60"/>
      <c r="P107" s="60"/>
      <c r="Q107" s="284">
        <v>14000</v>
      </c>
      <c r="R107" s="348"/>
      <c r="S107" s="65" t="s">
        <v>60</v>
      </c>
      <c r="T107" s="65" t="s">
        <v>27</v>
      </c>
      <c r="U107" s="284">
        <v>6</v>
      </c>
      <c r="V107" s="284" t="s">
        <v>0</v>
      </c>
      <c r="W107" s="281"/>
      <c r="X107" s="183"/>
      <c r="Y107" s="97"/>
      <c r="Z107" s="280" t="s">
        <v>56</v>
      </c>
      <c r="AA107" s="284"/>
      <c r="AB107" s="284"/>
      <c r="AC107" s="284">
        <f>ROUNDUP(Q107*U107,1)</f>
        <v>84000</v>
      </c>
      <c r="AD107" s="68" t="s">
        <v>26</v>
      </c>
      <c r="AE107" s="1"/>
    </row>
    <row r="108" spans="1:31" s="12" customFormat="1" ht="21" customHeight="1">
      <c r="A108" s="55"/>
      <c r="B108" s="55"/>
      <c r="C108" s="55"/>
      <c r="D108" s="241"/>
      <c r="E108" s="147"/>
      <c r="F108" s="147"/>
      <c r="G108" s="147"/>
      <c r="H108" s="147"/>
      <c r="I108" s="147"/>
      <c r="J108" s="147"/>
      <c r="K108" s="147"/>
      <c r="L108" s="92"/>
      <c r="M108" s="60"/>
      <c r="N108" s="60"/>
      <c r="O108" s="60"/>
      <c r="P108" s="60"/>
      <c r="Q108" s="61"/>
      <c r="R108" s="348"/>
      <c r="S108" s="65"/>
      <c r="T108" s="60"/>
      <c r="U108" s="61"/>
      <c r="V108" s="60"/>
      <c r="W108" s="61"/>
      <c r="X108" s="61"/>
      <c r="Y108" s="61"/>
      <c r="Z108" s="61"/>
      <c r="AA108" s="61"/>
      <c r="AB108" s="61"/>
      <c r="AC108" s="61"/>
      <c r="AD108" s="68"/>
      <c r="AE108" s="1"/>
    </row>
    <row r="109" spans="1:31" s="12" customFormat="1" ht="21" customHeight="1">
      <c r="A109" s="55"/>
      <c r="B109" s="45" t="s">
        <v>122</v>
      </c>
      <c r="C109" s="260" t="s">
        <v>170</v>
      </c>
      <c r="D109" s="262">
        <f>D110</f>
        <v>5092</v>
      </c>
      <c r="E109" s="262">
        <f>E110</f>
        <v>7203.9995999999992</v>
      </c>
      <c r="F109" s="262">
        <f t="shared" ref="F109:J109" si="13">F110</f>
        <v>0</v>
      </c>
      <c r="G109" s="262">
        <f t="shared" si="13"/>
        <v>0</v>
      </c>
      <c r="H109" s="262">
        <f t="shared" si="13"/>
        <v>7203.9995999999992</v>
      </c>
      <c r="I109" s="262">
        <f t="shared" si="13"/>
        <v>0</v>
      </c>
      <c r="J109" s="262">
        <f t="shared" si="13"/>
        <v>0</v>
      </c>
      <c r="K109" s="262">
        <f>E109-D109</f>
        <v>2111.9995999999992</v>
      </c>
      <c r="L109" s="263">
        <f>IF(D109=0,0,K109/D109)</f>
        <v>0.41476818538884508</v>
      </c>
      <c r="M109" s="264"/>
      <c r="N109" s="264"/>
      <c r="O109" s="264"/>
      <c r="P109" s="264"/>
      <c r="Q109" s="264"/>
      <c r="R109" s="347"/>
      <c r="S109" s="265"/>
      <c r="T109" s="265"/>
      <c r="U109" s="265"/>
      <c r="V109" s="265"/>
      <c r="W109" s="265"/>
      <c r="X109" s="265" t="s">
        <v>29</v>
      </c>
      <c r="Y109" s="265"/>
      <c r="Z109" s="265"/>
      <c r="AA109" s="265"/>
      <c r="AB109" s="267"/>
      <c r="AC109" s="267">
        <f>AC110</f>
        <v>7203999.5999999996</v>
      </c>
      <c r="AD109" s="266" t="s">
        <v>26</v>
      </c>
      <c r="AE109" s="1"/>
    </row>
    <row r="110" spans="1:31" s="12" customFormat="1" ht="26.25" customHeight="1">
      <c r="A110" s="55"/>
      <c r="B110" s="55" t="s">
        <v>152</v>
      </c>
      <c r="C110" s="55" t="s">
        <v>151</v>
      </c>
      <c r="D110" s="241">
        <v>5092</v>
      </c>
      <c r="E110" s="152">
        <f>SUM(F110,G110,H110,I110,J110)</f>
        <v>7203.9995999999992</v>
      </c>
      <c r="F110" s="152">
        <v>0</v>
      </c>
      <c r="G110" s="152">
        <v>0</v>
      </c>
      <c r="H110" s="152">
        <f>AC109/1000</f>
        <v>7203.9995999999992</v>
      </c>
      <c r="I110" s="152">
        <v>0</v>
      </c>
      <c r="J110" s="152">
        <v>0</v>
      </c>
      <c r="K110" s="152">
        <f>E110-D110</f>
        <v>2111.9995999999992</v>
      </c>
      <c r="L110" s="160">
        <f>IF(D110=0,0,K110/D110)</f>
        <v>0.41476818538884508</v>
      </c>
      <c r="M110" s="135" t="s">
        <v>153</v>
      </c>
      <c r="N110" s="155"/>
      <c r="O110" s="41"/>
      <c r="P110" s="35"/>
      <c r="Q110" s="35"/>
      <c r="R110" s="35"/>
      <c r="S110" s="35"/>
      <c r="T110" s="35"/>
      <c r="U110" s="35"/>
      <c r="V110" s="286"/>
      <c r="W110" s="286"/>
      <c r="X110" s="265" t="s">
        <v>161</v>
      </c>
      <c r="Y110" s="136"/>
      <c r="Z110" s="136"/>
      <c r="AA110" s="136"/>
      <c r="AB110" s="157"/>
      <c r="AC110" s="157">
        <f>SUM(AC112,AC119,AC122,AC128)</f>
        <v>7203999.5999999996</v>
      </c>
      <c r="AD110" s="158" t="s">
        <v>26</v>
      </c>
      <c r="AE110" s="1"/>
    </row>
    <row r="111" spans="1:31" s="16" customFormat="1" ht="24" customHeight="1">
      <c r="A111" s="55"/>
      <c r="B111" s="55"/>
      <c r="C111" s="55" t="s">
        <v>152</v>
      </c>
      <c r="D111" s="244"/>
      <c r="E111" s="147"/>
      <c r="F111" s="147"/>
      <c r="G111" s="147"/>
      <c r="H111" s="147"/>
      <c r="I111" s="147"/>
      <c r="J111" s="147"/>
      <c r="K111" s="147"/>
      <c r="L111" s="92"/>
      <c r="M111" s="274"/>
      <c r="N111" s="60"/>
      <c r="O111" s="60"/>
      <c r="P111" s="60"/>
      <c r="Q111" s="60"/>
      <c r="R111" s="349"/>
      <c r="S111" s="61"/>
      <c r="T111" s="61"/>
      <c r="U111" s="61"/>
      <c r="V111" s="61"/>
      <c r="W111" s="61"/>
      <c r="X111" s="187"/>
      <c r="Y111" s="187"/>
      <c r="Z111" s="187"/>
      <c r="AA111" s="187"/>
      <c r="AB111" s="188"/>
      <c r="AC111" s="188"/>
      <c r="AD111" s="68"/>
      <c r="AE111" s="17"/>
    </row>
    <row r="112" spans="1:31" s="16" customFormat="1" ht="24" customHeight="1">
      <c r="A112" s="55"/>
      <c r="B112" s="55"/>
      <c r="C112" s="55"/>
      <c r="D112" s="244"/>
      <c r="E112" s="147"/>
      <c r="F112" s="147"/>
      <c r="G112" s="147"/>
      <c r="H112" s="147"/>
      <c r="I112" s="147"/>
      <c r="J112" s="147"/>
      <c r="K112" s="147"/>
      <c r="L112" s="92"/>
      <c r="M112" s="93" t="s">
        <v>287</v>
      </c>
      <c r="N112" s="270"/>
      <c r="O112" s="274"/>
      <c r="P112" s="274"/>
      <c r="Q112" s="274"/>
      <c r="R112" s="349"/>
      <c r="S112" s="273"/>
      <c r="T112" s="273"/>
      <c r="U112" s="273"/>
      <c r="V112" s="269" t="s">
        <v>154</v>
      </c>
      <c r="W112" s="269"/>
      <c r="X112" s="269"/>
      <c r="Y112" s="269"/>
      <c r="Z112" s="269"/>
      <c r="AA112" s="269"/>
      <c r="AB112" s="94"/>
      <c r="AC112" s="94">
        <f>SUM(AC113:AC117)</f>
        <v>2480000</v>
      </c>
      <c r="AD112" s="95" t="s">
        <v>26</v>
      </c>
      <c r="AE112" s="17"/>
    </row>
    <row r="113" spans="1:32" s="16" customFormat="1" ht="24" customHeight="1">
      <c r="A113" s="55"/>
      <c r="B113" s="55"/>
      <c r="C113" s="55"/>
      <c r="D113" s="244"/>
      <c r="E113" s="147"/>
      <c r="F113" s="147"/>
      <c r="G113" s="147"/>
      <c r="H113" s="147"/>
      <c r="I113" s="147"/>
      <c r="J113" s="147"/>
      <c r="K113" s="147"/>
      <c r="L113" s="92"/>
      <c r="M113" s="321" t="s">
        <v>240</v>
      </c>
      <c r="N113" s="274"/>
      <c r="O113" s="274"/>
      <c r="P113" s="274"/>
      <c r="Q113" s="320">
        <v>7000</v>
      </c>
      <c r="R113" s="348"/>
      <c r="S113" s="320" t="s">
        <v>60</v>
      </c>
      <c r="T113" s="321" t="s">
        <v>61</v>
      </c>
      <c r="U113" s="320">
        <v>10</v>
      </c>
      <c r="V113" s="320" t="s">
        <v>83</v>
      </c>
      <c r="W113" s="321" t="s">
        <v>61</v>
      </c>
      <c r="X113" s="320">
        <v>6</v>
      </c>
      <c r="Y113" s="320" t="s">
        <v>59</v>
      </c>
      <c r="Z113" s="320" t="s">
        <v>56</v>
      </c>
      <c r="AA113" s="320"/>
      <c r="AB113" s="89"/>
      <c r="AC113" s="89">
        <f t="shared" ref="AC113:AC117" si="14">Q113*U113*X113</f>
        <v>420000</v>
      </c>
      <c r="AD113" s="68" t="s">
        <v>26</v>
      </c>
      <c r="AE113" s="17"/>
    </row>
    <row r="114" spans="1:32" s="16" customFormat="1" ht="24" customHeight="1">
      <c r="A114" s="55"/>
      <c r="B114" s="55"/>
      <c r="C114" s="55"/>
      <c r="D114" s="244"/>
      <c r="E114" s="147"/>
      <c r="F114" s="147"/>
      <c r="G114" s="147"/>
      <c r="H114" s="147"/>
      <c r="I114" s="147"/>
      <c r="J114" s="147"/>
      <c r="K114" s="147"/>
      <c r="L114" s="92"/>
      <c r="M114" s="321" t="s">
        <v>241</v>
      </c>
      <c r="N114" s="321"/>
      <c r="O114" s="321"/>
      <c r="P114" s="321"/>
      <c r="Q114" s="320">
        <v>10000</v>
      </c>
      <c r="R114" s="348"/>
      <c r="S114" s="320" t="s">
        <v>60</v>
      </c>
      <c r="T114" s="321" t="s">
        <v>61</v>
      </c>
      <c r="U114" s="320">
        <v>10</v>
      </c>
      <c r="V114" s="320" t="s">
        <v>83</v>
      </c>
      <c r="W114" s="321" t="s">
        <v>61</v>
      </c>
      <c r="X114" s="320">
        <v>5</v>
      </c>
      <c r="Y114" s="320" t="s">
        <v>59</v>
      </c>
      <c r="Z114" s="320" t="s">
        <v>56</v>
      </c>
      <c r="AA114" s="320"/>
      <c r="AB114" s="89"/>
      <c r="AC114" s="89">
        <f t="shared" si="14"/>
        <v>500000</v>
      </c>
      <c r="AD114" s="68" t="s">
        <v>26</v>
      </c>
      <c r="AE114" s="17"/>
    </row>
    <row r="115" spans="1:32" s="16" customFormat="1" ht="24" customHeight="1">
      <c r="A115" s="55"/>
      <c r="B115" s="55"/>
      <c r="C115" s="55"/>
      <c r="D115" s="241"/>
      <c r="E115" s="147"/>
      <c r="F115" s="147"/>
      <c r="G115" s="147"/>
      <c r="H115" s="147"/>
      <c r="I115" s="147"/>
      <c r="J115" s="147"/>
      <c r="K115" s="147"/>
      <c r="L115" s="92"/>
      <c r="M115" s="321" t="s">
        <v>242</v>
      </c>
      <c r="N115" s="60"/>
      <c r="O115" s="60"/>
      <c r="P115" s="60"/>
      <c r="Q115" s="320">
        <v>8000</v>
      </c>
      <c r="R115" s="348"/>
      <c r="S115" s="320" t="s">
        <v>60</v>
      </c>
      <c r="T115" s="321" t="s">
        <v>61</v>
      </c>
      <c r="U115" s="320">
        <v>10</v>
      </c>
      <c r="V115" s="320" t="s">
        <v>83</v>
      </c>
      <c r="W115" s="321" t="s">
        <v>61</v>
      </c>
      <c r="X115" s="320">
        <v>6</v>
      </c>
      <c r="Y115" s="320" t="s">
        <v>59</v>
      </c>
      <c r="Z115" s="320" t="s">
        <v>56</v>
      </c>
      <c r="AA115" s="320"/>
      <c r="AB115" s="89"/>
      <c r="AC115" s="89">
        <f t="shared" si="14"/>
        <v>480000</v>
      </c>
      <c r="AD115" s="68" t="s">
        <v>26</v>
      </c>
      <c r="AE115" s="17"/>
    </row>
    <row r="116" spans="1:32" s="16" customFormat="1" ht="24" customHeight="1">
      <c r="A116" s="55"/>
      <c r="B116" s="55"/>
      <c r="C116" s="55"/>
      <c r="D116" s="241"/>
      <c r="E116" s="147"/>
      <c r="F116" s="147"/>
      <c r="G116" s="147"/>
      <c r="H116" s="147"/>
      <c r="I116" s="147"/>
      <c r="J116" s="147"/>
      <c r="K116" s="147"/>
      <c r="L116" s="92"/>
      <c r="M116" s="340" t="s">
        <v>288</v>
      </c>
      <c r="N116" s="340"/>
      <c r="O116" s="340"/>
      <c r="P116" s="340"/>
      <c r="Q116" s="339">
        <v>15000</v>
      </c>
      <c r="R116" s="348"/>
      <c r="S116" s="339" t="s">
        <v>60</v>
      </c>
      <c r="T116" s="340" t="s">
        <v>61</v>
      </c>
      <c r="U116" s="339">
        <v>6</v>
      </c>
      <c r="V116" s="339" t="s">
        <v>83</v>
      </c>
      <c r="W116" s="340" t="s">
        <v>61</v>
      </c>
      <c r="X116" s="339">
        <v>6</v>
      </c>
      <c r="Y116" s="339" t="s">
        <v>59</v>
      </c>
      <c r="Z116" s="339" t="s">
        <v>56</v>
      </c>
      <c r="AA116" s="339"/>
      <c r="AB116" s="89"/>
      <c r="AC116" s="89">
        <f t="shared" si="14"/>
        <v>540000</v>
      </c>
      <c r="AD116" s="68" t="s">
        <v>26</v>
      </c>
      <c r="AE116" s="17"/>
    </row>
    <row r="117" spans="1:32" s="16" customFormat="1" ht="24" customHeight="1">
      <c r="A117" s="55"/>
      <c r="B117" s="55"/>
      <c r="C117" s="55"/>
      <c r="D117" s="241"/>
      <c r="E117" s="147"/>
      <c r="F117" s="147"/>
      <c r="G117" s="147"/>
      <c r="H117" s="147"/>
      <c r="I117" s="147"/>
      <c r="J117" s="147"/>
      <c r="K117" s="147"/>
      <c r="L117" s="92"/>
      <c r="M117" s="340" t="s">
        <v>289</v>
      </c>
      <c r="N117" s="340"/>
      <c r="O117" s="340"/>
      <c r="P117" s="340"/>
      <c r="Q117" s="339">
        <v>15000</v>
      </c>
      <c r="R117" s="348"/>
      <c r="S117" s="339" t="s">
        <v>60</v>
      </c>
      <c r="T117" s="340" t="s">
        <v>61</v>
      </c>
      <c r="U117" s="339">
        <v>6</v>
      </c>
      <c r="V117" s="339" t="s">
        <v>83</v>
      </c>
      <c r="W117" s="340" t="s">
        <v>61</v>
      </c>
      <c r="X117" s="339">
        <v>6</v>
      </c>
      <c r="Y117" s="339" t="s">
        <v>59</v>
      </c>
      <c r="Z117" s="339" t="s">
        <v>56</v>
      </c>
      <c r="AA117" s="339"/>
      <c r="AB117" s="89"/>
      <c r="AC117" s="89">
        <f t="shared" si="14"/>
        <v>540000</v>
      </c>
      <c r="AD117" s="68" t="s">
        <v>26</v>
      </c>
      <c r="AE117" s="17"/>
    </row>
    <row r="118" spans="1:32" s="16" customFormat="1" ht="24" customHeight="1">
      <c r="A118" s="55"/>
      <c r="B118" s="55"/>
      <c r="C118" s="55"/>
      <c r="D118" s="241"/>
      <c r="E118" s="147"/>
      <c r="F118" s="147"/>
      <c r="G118" s="147"/>
      <c r="H118" s="147"/>
      <c r="I118" s="147"/>
      <c r="J118" s="147"/>
      <c r="K118" s="147"/>
      <c r="L118" s="92"/>
      <c r="M118" s="168"/>
      <c r="N118" s="168"/>
      <c r="O118" s="168"/>
      <c r="P118" s="168"/>
      <c r="Q118" s="167"/>
      <c r="R118" s="348"/>
      <c r="S118" s="167"/>
      <c r="T118" s="168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68"/>
      <c r="AE118" s="17"/>
    </row>
    <row r="119" spans="1:32" s="16" customFormat="1" ht="24" customHeight="1">
      <c r="A119" s="55"/>
      <c r="B119" s="55"/>
      <c r="C119" s="55"/>
      <c r="D119" s="241"/>
      <c r="E119" s="147"/>
      <c r="F119" s="147"/>
      <c r="G119" s="147"/>
      <c r="H119" s="147"/>
      <c r="I119" s="147"/>
      <c r="J119" s="147"/>
      <c r="K119" s="147"/>
      <c r="L119" s="92"/>
      <c r="M119" s="93" t="s">
        <v>243</v>
      </c>
      <c r="N119" s="155"/>
      <c r="O119" s="275"/>
      <c r="P119" s="35"/>
      <c r="Q119" s="35"/>
      <c r="R119" s="35"/>
      <c r="S119" s="35"/>
      <c r="T119" s="35"/>
      <c r="U119" s="35"/>
      <c r="V119" s="269" t="s">
        <v>154</v>
      </c>
      <c r="W119" s="269"/>
      <c r="X119" s="269"/>
      <c r="Y119" s="269"/>
      <c r="Z119" s="269"/>
      <c r="AA119" s="269"/>
      <c r="AB119" s="94"/>
      <c r="AC119" s="94">
        <f>SUM(AC120:AC120)</f>
        <v>250000</v>
      </c>
      <c r="AD119" s="95" t="s">
        <v>26</v>
      </c>
      <c r="AE119" s="17"/>
    </row>
    <row r="120" spans="1:32" s="16" customFormat="1" ht="24" customHeight="1">
      <c r="A120" s="55"/>
      <c r="B120" s="55"/>
      <c r="C120" s="55"/>
      <c r="D120" s="244"/>
      <c r="E120" s="147"/>
      <c r="F120" s="147"/>
      <c r="G120" s="147"/>
      <c r="H120" s="147"/>
      <c r="I120" s="147"/>
      <c r="J120" s="147"/>
      <c r="K120" s="147"/>
      <c r="L120" s="92"/>
      <c r="M120" s="321" t="s">
        <v>244</v>
      </c>
      <c r="N120" s="274"/>
      <c r="O120" s="274"/>
      <c r="P120" s="274"/>
      <c r="Q120" s="320">
        <v>50000</v>
      </c>
      <c r="R120" s="348"/>
      <c r="S120" s="65" t="s">
        <v>60</v>
      </c>
      <c r="T120" s="65" t="s">
        <v>27</v>
      </c>
      <c r="U120" s="320">
        <v>5</v>
      </c>
      <c r="V120" s="320" t="s">
        <v>235</v>
      </c>
      <c r="W120" s="299"/>
      <c r="X120" s="183"/>
      <c r="Y120" s="97"/>
      <c r="Z120" s="280" t="s">
        <v>56</v>
      </c>
      <c r="AA120" s="320"/>
      <c r="AB120" s="320"/>
      <c r="AC120" s="320">
        <f>Q120*U120</f>
        <v>250000</v>
      </c>
      <c r="AD120" s="68" t="s">
        <v>26</v>
      </c>
      <c r="AE120" s="17"/>
    </row>
    <row r="121" spans="1:32" s="16" customFormat="1" ht="24" customHeight="1">
      <c r="A121" s="55"/>
      <c r="B121" s="55"/>
      <c r="C121" s="55"/>
      <c r="D121" s="244"/>
      <c r="E121" s="147"/>
      <c r="F121" s="147"/>
      <c r="G121" s="147"/>
      <c r="H121" s="147"/>
      <c r="I121" s="147"/>
      <c r="J121" s="147"/>
      <c r="K121" s="147"/>
      <c r="L121" s="92"/>
      <c r="M121" s="274"/>
      <c r="N121" s="274"/>
      <c r="O121" s="274"/>
      <c r="P121" s="274"/>
      <c r="Q121" s="274"/>
      <c r="R121" s="349"/>
      <c r="S121" s="273"/>
      <c r="T121" s="273"/>
      <c r="U121" s="273"/>
      <c r="V121" s="273"/>
      <c r="W121" s="273"/>
      <c r="X121" s="187"/>
      <c r="Y121" s="187"/>
      <c r="Z121" s="187"/>
      <c r="AA121" s="187"/>
      <c r="AB121" s="188"/>
      <c r="AC121" s="188"/>
      <c r="AD121" s="68"/>
      <c r="AE121" s="17"/>
      <c r="AF121" s="17"/>
    </row>
    <row r="122" spans="1:32" s="16" customFormat="1" ht="24" customHeight="1">
      <c r="A122" s="55"/>
      <c r="B122" s="55"/>
      <c r="C122" s="55"/>
      <c r="D122" s="241"/>
      <c r="E122" s="147"/>
      <c r="F122" s="147"/>
      <c r="G122" s="147"/>
      <c r="H122" s="147"/>
      <c r="I122" s="147"/>
      <c r="J122" s="147"/>
      <c r="K122" s="147"/>
      <c r="L122" s="92"/>
      <c r="M122" s="93" t="s">
        <v>245</v>
      </c>
      <c r="N122" s="155"/>
      <c r="O122" s="275"/>
      <c r="P122" s="35"/>
      <c r="Q122" s="35"/>
      <c r="R122" s="35"/>
      <c r="S122" s="35"/>
      <c r="T122" s="35"/>
      <c r="U122" s="35"/>
      <c r="V122" s="269" t="s">
        <v>154</v>
      </c>
      <c r="W122" s="269"/>
      <c r="X122" s="269"/>
      <c r="Y122" s="269"/>
      <c r="Z122" s="269"/>
      <c r="AA122" s="269"/>
      <c r="AB122" s="94"/>
      <c r="AC122" s="94">
        <f>SUM(AC123:AC126)</f>
        <v>3403999.6</v>
      </c>
      <c r="AD122" s="95" t="s">
        <v>26</v>
      </c>
      <c r="AE122" s="17"/>
    </row>
    <row r="123" spans="1:32" s="16" customFormat="1" ht="24" customHeight="1">
      <c r="A123" s="55"/>
      <c r="B123" s="55"/>
      <c r="C123" s="55"/>
      <c r="D123" s="241"/>
      <c r="E123" s="147"/>
      <c r="F123" s="147"/>
      <c r="G123" s="147"/>
      <c r="H123" s="147"/>
      <c r="I123" s="147"/>
      <c r="J123" s="147"/>
      <c r="K123" s="147"/>
      <c r="L123" s="92"/>
      <c r="M123" s="189" t="s">
        <v>246</v>
      </c>
      <c r="N123" s="189"/>
      <c r="O123" s="189"/>
      <c r="P123" s="189"/>
      <c r="Q123" s="320">
        <v>166666.6</v>
      </c>
      <c r="R123" s="348"/>
      <c r="S123" s="65" t="s">
        <v>60</v>
      </c>
      <c r="T123" s="65" t="s">
        <v>27</v>
      </c>
      <c r="U123" s="320">
        <v>6</v>
      </c>
      <c r="V123" s="320" t="s">
        <v>235</v>
      </c>
      <c r="W123" s="299"/>
      <c r="X123" s="183"/>
      <c r="Y123" s="97"/>
      <c r="Z123" s="280" t="s">
        <v>56</v>
      </c>
      <c r="AA123" s="320"/>
      <c r="AB123" s="320"/>
      <c r="AC123" s="320">
        <f>Q123*U123</f>
        <v>999999.60000000009</v>
      </c>
      <c r="AD123" s="68" t="s">
        <v>26</v>
      </c>
      <c r="AE123" s="17"/>
    </row>
    <row r="124" spans="1:32" s="16" customFormat="1" ht="24" customHeight="1">
      <c r="A124" s="55"/>
      <c r="B124" s="55"/>
      <c r="C124" s="55"/>
      <c r="D124" s="241"/>
      <c r="E124" s="147"/>
      <c r="F124" s="147"/>
      <c r="G124" s="147"/>
      <c r="H124" s="147"/>
      <c r="I124" s="147"/>
      <c r="J124" s="147"/>
      <c r="K124" s="147"/>
      <c r="L124" s="92"/>
      <c r="M124" s="189" t="s">
        <v>247</v>
      </c>
      <c r="N124" s="189"/>
      <c r="O124" s="189"/>
      <c r="P124" s="189"/>
      <c r="Q124" s="320">
        <v>404000</v>
      </c>
      <c r="R124" s="348"/>
      <c r="S124" s="65" t="s">
        <v>60</v>
      </c>
      <c r="T124" s="65" t="s">
        <v>27</v>
      </c>
      <c r="U124" s="320">
        <v>1</v>
      </c>
      <c r="V124" s="320" t="s">
        <v>249</v>
      </c>
      <c r="W124" s="299"/>
      <c r="X124" s="183"/>
      <c r="Y124" s="97"/>
      <c r="Z124" s="280" t="s">
        <v>56</v>
      </c>
      <c r="AA124" s="320"/>
      <c r="AB124" s="320"/>
      <c r="AC124" s="320">
        <f>Q124*U124</f>
        <v>404000</v>
      </c>
      <c r="AD124" s="68" t="s">
        <v>26</v>
      </c>
      <c r="AE124" s="17"/>
    </row>
    <row r="125" spans="1:32" s="16" customFormat="1" ht="24" customHeight="1">
      <c r="A125" s="55"/>
      <c r="B125" s="55"/>
      <c r="C125" s="55"/>
      <c r="D125" s="241"/>
      <c r="E125" s="147"/>
      <c r="F125" s="147"/>
      <c r="G125" s="147"/>
      <c r="H125" s="147"/>
      <c r="I125" s="147"/>
      <c r="J125" s="147"/>
      <c r="K125" s="147"/>
      <c r="L125" s="92"/>
      <c r="M125" s="189" t="s">
        <v>248</v>
      </c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90">
        <v>1500000</v>
      </c>
      <c r="AD125" s="191" t="s">
        <v>73</v>
      </c>
      <c r="AE125" s="17"/>
    </row>
    <row r="126" spans="1:32" s="16" customFormat="1" ht="24" customHeight="1">
      <c r="A126" s="55"/>
      <c r="B126" s="55"/>
      <c r="C126" s="55"/>
      <c r="D126" s="241"/>
      <c r="E126" s="147"/>
      <c r="F126" s="147"/>
      <c r="G126" s="147"/>
      <c r="H126" s="147"/>
      <c r="I126" s="147"/>
      <c r="J126" s="147"/>
      <c r="K126" s="147"/>
      <c r="L126" s="92"/>
      <c r="M126" s="189" t="s">
        <v>290</v>
      </c>
      <c r="N126" s="189"/>
      <c r="O126" s="189"/>
      <c r="P126" s="189"/>
      <c r="Q126" s="189">
        <v>500000</v>
      </c>
      <c r="R126" s="189"/>
      <c r="S126" s="189" t="s">
        <v>281</v>
      </c>
      <c r="T126" s="65" t="s">
        <v>27</v>
      </c>
      <c r="U126" s="189">
        <v>1</v>
      </c>
      <c r="V126" s="189" t="s">
        <v>291</v>
      </c>
      <c r="W126" s="189"/>
      <c r="X126" s="189"/>
      <c r="Y126" s="189"/>
      <c r="Z126" s="189" t="s">
        <v>292</v>
      </c>
      <c r="AA126" s="189"/>
      <c r="AB126" s="189"/>
      <c r="AC126" s="190">
        <f>Q126*U126</f>
        <v>500000</v>
      </c>
      <c r="AD126" s="191" t="s">
        <v>283</v>
      </c>
      <c r="AE126" s="17"/>
    </row>
    <row r="127" spans="1:32" s="16" customFormat="1" ht="24" customHeight="1">
      <c r="A127" s="55"/>
      <c r="B127" s="55"/>
      <c r="C127" s="55"/>
      <c r="D127" s="241"/>
      <c r="E127" s="147"/>
      <c r="F127" s="147"/>
      <c r="G127" s="147"/>
      <c r="H127" s="147"/>
      <c r="I127" s="147"/>
      <c r="J127" s="147"/>
      <c r="K127" s="147"/>
      <c r="L127" s="92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90"/>
      <c r="AD127" s="191"/>
      <c r="AE127" s="17"/>
    </row>
    <row r="128" spans="1:32" s="16" customFormat="1" ht="24" customHeight="1">
      <c r="A128" s="55"/>
      <c r="B128" s="55"/>
      <c r="C128" s="55"/>
      <c r="D128" s="241"/>
      <c r="E128" s="147"/>
      <c r="F128" s="147"/>
      <c r="G128" s="147"/>
      <c r="H128" s="147"/>
      <c r="I128" s="147"/>
      <c r="J128" s="147"/>
      <c r="K128" s="147"/>
      <c r="L128" s="92"/>
      <c r="M128" s="93" t="s">
        <v>250</v>
      </c>
      <c r="N128" s="155"/>
      <c r="O128" s="275"/>
      <c r="P128" s="35"/>
      <c r="Q128" s="35"/>
      <c r="R128" s="35"/>
      <c r="S128" s="35"/>
      <c r="T128" s="35"/>
      <c r="U128" s="35"/>
      <c r="V128" s="269" t="s">
        <v>154</v>
      </c>
      <c r="W128" s="269"/>
      <c r="X128" s="269"/>
      <c r="Y128" s="269"/>
      <c r="Z128" s="269"/>
      <c r="AA128" s="269"/>
      <c r="AB128" s="94"/>
      <c r="AC128" s="94">
        <f>SUM(AC129:AC131)</f>
        <v>1070000</v>
      </c>
      <c r="AD128" s="95" t="s">
        <v>26</v>
      </c>
      <c r="AE128" s="17"/>
    </row>
    <row r="129" spans="1:31" s="16" customFormat="1" ht="24" customHeight="1">
      <c r="A129" s="55"/>
      <c r="B129" s="55"/>
      <c r="C129" s="55"/>
      <c r="D129" s="241"/>
      <c r="E129" s="147"/>
      <c r="F129" s="147"/>
      <c r="G129" s="147"/>
      <c r="H129" s="147"/>
      <c r="I129" s="147"/>
      <c r="J129" s="147"/>
      <c r="K129" s="147"/>
      <c r="L129" s="92"/>
      <c r="M129" s="189" t="s">
        <v>251</v>
      </c>
      <c r="N129" s="189"/>
      <c r="O129" s="189"/>
      <c r="P129" s="189"/>
      <c r="Q129" s="320">
        <v>10000</v>
      </c>
      <c r="R129" s="348"/>
      <c r="S129" s="320" t="s">
        <v>60</v>
      </c>
      <c r="T129" s="321" t="s">
        <v>61</v>
      </c>
      <c r="U129" s="320">
        <v>6</v>
      </c>
      <c r="V129" s="320" t="s">
        <v>235</v>
      </c>
      <c r="W129" s="321" t="s">
        <v>61</v>
      </c>
      <c r="X129" s="320">
        <v>12</v>
      </c>
      <c r="Y129" s="320" t="s">
        <v>249</v>
      </c>
      <c r="Z129" s="320" t="s">
        <v>56</v>
      </c>
      <c r="AA129" s="320"/>
      <c r="AB129" s="89"/>
      <c r="AC129" s="89">
        <f t="shared" ref="AC129" si="15">Q129*U129*X129</f>
        <v>720000</v>
      </c>
      <c r="AD129" s="68" t="s">
        <v>26</v>
      </c>
      <c r="AE129" s="17"/>
    </row>
    <row r="130" spans="1:31" s="16" customFormat="1" ht="24" customHeight="1">
      <c r="A130" s="55"/>
      <c r="B130" s="55"/>
      <c r="C130" s="55"/>
      <c r="D130" s="241"/>
      <c r="E130" s="147"/>
      <c r="F130" s="147"/>
      <c r="G130" s="147"/>
      <c r="H130" s="147"/>
      <c r="I130" s="147"/>
      <c r="J130" s="147"/>
      <c r="K130" s="147"/>
      <c r="L130" s="92"/>
      <c r="M130" s="189" t="s">
        <v>252</v>
      </c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90">
        <v>150000</v>
      </c>
      <c r="AD130" s="191" t="s">
        <v>73</v>
      </c>
      <c r="AE130" s="17"/>
    </row>
    <row r="131" spans="1:31" s="16" customFormat="1" ht="24" customHeight="1">
      <c r="A131" s="55"/>
      <c r="B131" s="55"/>
      <c r="C131" s="55"/>
      <c r="D131" s="241"/>
      <c r="E131" s="147"/>
      <c r="F131" s="147"/>
      <c r="G131" s="147"/>
      <c r="H131" s="147"/>
      <c r="I131" s="147"/>
      <c r="J131" s="147"/>
      <c r="K131" s="147"/>
      <c r="L131" s="92"/>
      <c r="M131" s="189" t="s">
        <v>253</v>
      </c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90">
        <v>200000</v>
      </c>
      <c r="AD131" s="191" t="s">
        <v>73</v>
      </c>
      <c r="AE131" s="17"/>
    </row>
    <row r="132" spans="1:31" s="16" customFormat="1" ht="24" customHeight="1">
      <c r="A132" s="70"/>
      <c r="B132" s="70"/>
      <c r="C132" s="149"/>
      <c r="D132" s="242"/>
      <c r="E132" s="150"/>
      <c r="F132" s="150"/>
      <c r="G132" s="150"/>
      <c r="H132" s="150"/>
      <c r="I132" s="150"/>
      <c r="J132" s="150"/>
      <c r="K132" s="147"/>
      <c r="L132" s="92"/>
      <c r="M132" s="60"/>
      <c r="N132" s="60"/>
      <c r="O132" s="60"/>
      <c r="P132" s="60"/>
      <c r="Q132" s="60"/>
      <c r="R132" s="349"/>
      <c r="S132" s="61"/>
      <c r="T132" s="61"/>
      <c r="U132" s="61"/>
      <c r="V132" s="61"/>
      <c r="W132" s="61"/>
      <c r="X132" s="187"/>
      <c r="Y132" s="187"/>
      <c r="Z132" s="187"/>
      <c r="AA132" s="187"/>
      <c r="AB132" s="188"/>
      <c r="AC132" s="61"/>
      <c r="AD132" s="68"/>
      <c r="AE132" s="17"/>
    </row>
    <row r="133" spans="1:31" s="12" customFormat="1" ht="21" customHeight="1">
      <c r="A133" s="151" t="s">
        <v>177</v>
      </c>
      <c r="B133" s="426" t="s">
        <v>21</v>
      </c>
      <c r="C133" s="427"/>
      <c r="D133" s="262">
        <f>SUM(D134)</f>
        <v>4</v>
      </c>
      <c r="E133" s="262">
        <f>SUM(E134)</f>
        <v>6.89</v>
      </c>
      <c r="F133" s="262">
        <f t="shared" ref="F133:J133" si="16">SUM(F134)</f>
        <v>6.89</v>
      </c>
      <c r="G133" s="262">
        <f t="shared" si="16"/>
        <v>0</v>
      </c>
      <c r="H133" s="262">
        <f t="shared" si="16"/>
        <v>0</v>
      </c>
      <c r="I133" s="262">
        <f t="shared" si="16"/>
        <v>0</v>
      </c>
      <c r="J133" s="262">
        <f t="shared" si="16"/>
        <v>0</v>
      </c>
      <c r="K133" s="262">
        <f>E133-D133</f>
        <v>2.8899999999999997</v>
      </c>
      <c r="L133" s="263">
        <f>IF(D133=0,0,K133/D133)</f>
        <v>0.72249999999999992</v>
      </c>
      <c r="M133" s="133" t="s">
        <v>180</v>
      </c>
      <c r="N133" s="264"/>
      <c r="O133" s="264"/>
      <c r="P133" s="264"/>
      <c r="Q133" s="265"/>
      <c r="R133" s="346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>
        <f>SUM(AC134)</f>
        <v>6890</v>
      </c>
      <c r="AD133" s="266" t="s">
        <v>26</v>
      </c>
      <c r="AE133" s="1"/>
    </row>
    <row r="134" spans="1:31" s="12" customFormat="1" ht="21" customHeight="1">
      <c r="A134" s="292" t="s">
        <v>179</v>
      </c>
      <c r="B134" s="55" t="s">
        <v>177</v>
      </c>
      <c r="C134" s="55" t="s">
        <v>177</v>
      </c>
      <c r="D134" s="241">
        <v>4</v>
      </c>
      <c r="E134" s="147">
        <f>AC134/1000</f>
        <v>6.89</v>
      </c>
      <c r="F134" s="147">
        <f>SUM(AC135:AC135)/1000</f>
        <v>6.89</v>
      </c>
      <c r="G134" s="147">
        <v>0</v>
      </c>
      <c r="H134" s="147">
        <v>0</v>
      </c>
      <c r="I134" s="147">
        <v>0</v>
      </c>
      <c r="J134" s="147">
        <v>0</v>
      </c>
      <c r="K134" s="147">
        <f>E134-D134</f>
        <v>2.8899999999999997</v>
      </c>
      <c r="L134" s="92">
        <f>IF(D134=0,0,K134/D134)</f>
        <v>0.72249999999999992</v>
      </c>
      <c r="M134" s="155" t="s">
        <v>181</v>
      </c>
      <c r="N134" s="41"/>
      <c r="O134" s="41"/>
      <c r="P134" s="41"/>
      <c r="Q134" s="41"/>
      <c r="R134" s="283"/>
      <c r="S134" s="42"/>
      <c r="T134" s="42"/>
      <c r="U134" s="42"/>
      <c r="V134" s="42"/>
      <c r="W134" s="42"/>
      <c r="X134" s="265" t="s">
        <v>161</v>
      </c>
      <c r="Y134" s="136"/>
      <c r="Z134" s="136"/>
      <c r="AA134" s="136"/>
      <c r="AB134" s="157"/>
      <c r="AC134" s="157">
        <f>AC135:AC135</f>
        <v>6890</v>
      </c>
      <c r="AD134" s="158" t="s">
        <v>26</v>
      </c>
      <c r="AE134" s="1"/>
    </row>
    <row r="135" spans="1:31" ht="21" customHeight="1">
      <c r="A135" s="54"/>
      <c r="B135" s="55" t="s">
        <v>178</v>
      </c>
      <c r="C135" s="55" t="s">
        <v>178</v>
      </c>
      <c r="D135" s="241"/>
      <c r="E135" s="147"/>
      <c r="F135" s="147"/>
      <c r="G135" s="147"/>
      <c r="H135" s="147"/>
      <c r="I135" s="147"/>
      <c r="J135" s="147"/>
      <c r="K135" s="147"/>
      <c r="L135" s="92"/>
      <c r="M135" s="321" t="s">
        <v>254</v>
      </c>
      <c r="N135" s="60"/>
      <c r="O135" s="60"/>
      <c r="P135" s="60"/>
      <c r="Q135" s="61"/>
      <c r="R135" s="348"/>
      <c r="S135" s="61"/>
      <c r="T135" s="61"/>
      <c r="U135" s="61"/>
      <c r="V135" s="61"/>
      <c r="W135" s="61"/>
      <c r="X135" s="61"/>
      <c r="Y135" s="61"/>
      <c r="Z135" s="61"/>
      <c r="AA135" s="167"/>
      <c r="AB135" s="61"/>
      <c r="AC135" s="61">
        <v>6890</v>
      </c>
      <c r="AD135" s="68" t="s">
        <v>26</v>
      </c>
    </row>
    <row r="136" spans="1:31" s="15" customFormat="1" ht="21" customHeight="1">
      <c r="A136" s="54"/>
      <c r="B136" s="70"/>
      <c r="C136" s="56"/>
      <c r="D136" s="241"/>
      <c r="E136" s="147"/>
      <c r="F136" s="147"/>
      <c r="G136" s="147"/>
      <c r="H136" s="147"/>
      <c r="I136" s="147"/>
      <c r="J136" s="147"/>
      <c r="K136" s="147"/>
      <c r="L136" s="92"/>
      <c r="M136" s="60"/>
      <c r="N136" s="60"/>
      <c r="O136" s="60"/>
      <c r="P136" s="60"/>
      <c r="Q136" s="60"/>
      <c r="R136" s="349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1"/>
      <c r="AD136" s="68"/>
      <c r="AE136" s="4"/>
    </row>
    <row r="137" spans="1:31" s="12" customFormat="1" ht="21" customHeight="1">
      <c r="A137" s="44" t="s">
        <v>123</v>
      </c>
      <c r="B137" s="426" t="s">
        <v>21</v>
      </c>
      <c r="C137" s="427"/>
      <c r="D137" s="262">
        <f>D138</f>
        <v>0</v>
      </c>
      <c r="E137" s="262">
        <f>E138</f>
        <v>0</v>
      </c>
      <c r="F137" s="262">
        <f t="shared" ref="F137:J137" si="17">F138</f>
        <v>0</v>
      </c>
      <c r="G137" s="262">
        <f t="shared" si="17"/>
        <v>0</v>
      </c>
      <c r="H137" s="262">
        <f t="shared" si="17"/>
        <v>0</v>
      </c>
      <c r="I137" s="262">
        <f t="shared" si="17"/>
        <v>0</v>
      </c>
      <c r="J137" s="262">
        <f t="shared" si="17"/>
        <v>0</v>
      </c>
      <c r="K137" s="262">
        <f>E137-D137</f>
        <v>0</v>
      </c>
      <c r="L137" s="263">
        <f>IF(D137=0,0,K137/D137)</f>
        <v>0</v>
      </c>
      <c r="M137" s="264" t="s">
        <v>123</v>
      </c>
      <c r="N137" s="264"/>
      <c r="O137" s="264"/>
      <c r="P137" s="264"/>
      <c r="Q137" s="265"/>
      <c r="R137" s="346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>
        <f>SUM(AC138)</f>
        <v>0</v>
      </c>
      <c r="AD137" s="266" t="s">
        <v>26</v>
      </c>
      <c r="AE137" s="1"/>
    </row>
    <row r="138" spans="1:31" s="12" customFormat="1" ht="21" customHeight="1">
      <c r="A138" s="54"/>
      <c r="B138" s="55" t="s">
        <v>123</v>
      </c>
      <c r="C138" s="55" t="s">
        <v>123</v>
      </c>
      <c r="D138" s="241">
        <f>AC138/1000</f>
        <v>0</v>
      </c>
      <c r="E138" s="147">
        <f>AC138/1000</f>
        <v>0</v>
      </c>
      <c r="F138" s="147">
        <v>0</v>
      </c>
      <c r="G138" s="147">
        <v>0</v>
      </c>
      <c r="H138" s="147">
        <v>0</v>
      </c>
      <c r="I138" s="147">
        <v>0</v>
      </c>
      <c r="J138" s="147">
        <v>0</v>
      </c>
      <c r="K138" s="147">
        <f>E138-D138</f>
        <v>0</v>
      </c>
      <c r="L138" s="92">
        <f>IF(D138=0,0,K138/D138)</f>
        <v>0</v>
      </c>
      <c r="M138" s="155" t="s">
        <v>124</v>
      </c>
      <c r="N138" s="41"/>
      <c r="O138" s="41"/>
      <c r="P138" s="41"/>
      <c r="Q138" s="41"/>
      <c r="R138" s="283"/>
      <c r="S138" s="42"/>
      <c r="T138" s="42"/>
      <c r="U138" s="42"/>
      <c r="V138" s="42"/>
      <c r="W138" s="42"/>
      <c r="X138" s="265" t="s">
        <v>161</v>
      </c>
      <c r="Y138" s="136"/>
      <c r="Z138" s="136"/>
      <c r="AA138" s="136"/>
      <c r="AB138" s="157"/>
      <c r="AC138" s="157">
        <f>AC139</f>
        <v>0</v>
      </c>
      <c r="AD138" s="158" t="s">
        <v>26</v>
      </c>
      <c r="AE138" s="1"/>
    </row>
    <row r="139" spans="1:31" s="12" customFormat="1" ht="21" customHeight="1">
      <c r="A139" s="54"/>
      <c r="B139" s="55"/>
      <c r="C139" s="55"/>
      <c r="D139" s="241"/>
      <c r="E139" s="147"/>
      <c r="F139" s="147"/>
      <c r="G139" s="147"/>
      <c r="H139" s="147"/>
      <c r="I139" s="147"/>
      <c r="J139" s="147"/>
      <c r="K139" s="147"/>
      <c r="L139" s="92"/>
      <c r="M139" s="238" t="s">
        <v>128</v>
      </c>
      <c r="N139" s="60"/>
      <c r="O139" s="60"/>
      <c r="P139" s="60"/>
      <c r="Q139" s="61"/>
      <c r="R139" s="348"/>
      <c r="S139" s="61"/>
      <c r="T139" s="61"/>
      <c r="U139" s="61"/>
      <c r="V139" s="61"/>
      <c r="W139" s="61"/>
      <c r="X139" s="61"/>
      <c r="Y139" s="61"/>
      <c r="Z139" s="61"/>
      <c r="AA139" s="215"/>
      <c r="AB139" s="61"/>
      <c r="AC139" s="61">
        <v>0</v>
      </c>
      <c r="AD139" s="68" t="s">
        <v>98</v>
      </c>
      <c r="AE139" s="1"/>
    </row>
    <row r="140" spans="1:31" s="1" customFormat="1" ht="21" customHeight="1" thickBot="1">
      <c r="A140" s="192"/>
      <c r="B140" s="55"/>
      <c r="C140" s="55"/>
      <c r="D140" s="241"/>
      <c r="E140" s="147"/>
      <c r="F140" s="147"/>
      <c r="G140" s="147"/>
      <c r="H140" s="147"/>
      <c r="I140" s="147"/>
      <c r="J140" s="147"/>
      <c r="K140" s="147"/>
      <c r="L140" s="92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195"/>
    </row>
    <row r="141" spans="1:31" s="12" customFormat="1" ht="21" customHeight="1">
      <c r="A141" s="44" t="s">
        <v>22</v>
      </c>
      <c r="B141" s="424" t="s">
        <v>21</v>
      </c>
      <c r="C141" s="425"/>
      <c r="D141" s="297">
        <f>SUM(D142)</f>
        <v>0</v>
      </c>
      <c r="E141" s="297">
        <f>SUM(E142)</f>
        <v>0</v>
      </c>
      <c r="F141" s="297">
        <v>0</v>
      </c>
      <c r="G141" s="297">
        <v>0</v>
      </c>
      <c r="H141" s="297">
        <v>0</v>
      </c>
      <c r="I141" s="297">
        <f t="shared" ref="I141:J141" si="18">SUM(I142)</f>
        <v>0</v>
      </c>
      <c r="J141" s="297">
        <f t="shared" si="18"/>
        <v>0</v>
      </c>
      <c r="K141" s="297">
        <f>E141-D141</f>
        <v>0</v>
      </c>
      <c r="L141" s="298">
        <f>IF(D141=0,0,K141/D141)</f>
        <v>0</v>
      </c>
      <c r="M141" s="253" t="s">
        <v>22</v>
      </c>
      <c r="N141" s="254"/>
      <c r="O141" s="254"/>
      <c r="P141" s="254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>
        <f>AC142</f>
        <v>0</v>
      </c>
      <c r="AD141" s="256" t="s">
        <v>26</v>
      </c>
      <c r="AE141" s="1"/>
    </row>
    <row r="142" spans="1:31" s="12" customFormat="1" ht="21" customHeight="1">
      <c r="A142" s="54"/>
      <c r="B142" s="55" t="s">
        <v>22</v>
      </c>
      <c r="C142" s="55" t="s">
        <v>22</v>
      </c>
      <c r="D142" s="241">
        <f>AC142/1000</f>
        <v>0</v>
      </c>
      <c r="E142" s="147">
        <f>AC142/1000</f>
        <v>0</v>
      </c>
      <c r="F142" s="147">
        <v>0</v>
      </c>
      <c r="G142" s="147">
        <v>0</v>
      </c>
      <c r="H142" s="147">
        <v>0</v>
      </c>
      <c r="I142" s="147">
        <v>0</v>
      </c>
      <c r="J142" s="147">
        <v>0</v>
      </c>
      <c r="K142" s="147">
        <f>E142-D142</f>
        <v>0</v>
      </c>
      <c r="L142" s="92">
        <f>IF(D142=0,0,K142/D142)</f>
        <v>0</v>
      </c>
      <c r="M142" s="155" t="s">
        <v>55</v>
      </c>
      <c r="N142" s="41"/>
      <c r="O142" s="41"/>
      <c r="P142" s="41"/>
      <c r="Q142" s="41"/>
      <c r="R142" s="283"/>
      <c r="S142" s="42"/>
      <c r="T142" s="42"/>
      <c r="U142" s="42"/>
      <c r="V142" s="42"/>
      <c r="W142" s="42"/>
      <c r="X142" s="265" t="s">
        <v>161</v>
      </c>
      <c r="Y142" s="136"/>
      <c r="Z142" s="136"/>
      <c r="AA142" s="136"/>
      <c r="AB142" s="157"/>
      <c r="AC142" s="157">
        <f>AC143</f>
        <v>0</v>
      </c>
      <c r="AD142" s="158" t="s">
        <v>26</v>
      </c>
      <c r="AE142" s="1"/>
    </row>
    <row r="143" spans="1:31" s="12" customFormat="1" ht="21" customHeight="1">
      <c r="A143" s="54"/>
      <c r="B143" s="55"/>
      <c r="C143" s="55"/>
      <c r="D143" s="241"/>
      <c r="E143" s="147"/>
      <c r="F143" s="147"/>
      <c r="G143" s="147"/>
      <c r="H143" s="147"/>
      <c r="I143" s="147"/>
      <c r="J143" s="147"/>
      <c r="K143" s="147"/>
      <c r="L143" s="92"/>
      <c r="M143" s="334" t="s">
        <v>258</v>
      </c>
      <c r="N143" s="198"/>
      <c r="O143" s="198"/>
      <c r="P143" s="198"/>
      <c r="Q143" s="198"/>
      <c r="R143" s="349"/>
      <c r="S143" s="197"/>
      <c r="T143" s="197"/>
      <c r="U143" s="197"/>
      <c r="V143" s="197"/>
      <c r="W143" s="197"/>
      <c r="X143" s="197"/>
      <c r="Y143" s="197"/>
      <c r="Z143" s="197"/>
      <c r="AA143" s="197"/>
      <c r="AB143" s="89"/>
      <c r="AC143" s="89">
        <v>0</v>
      </c>
      <c r="AD143" s="68" t="s">
        <v>73</v>
      </c>
      <c r="AE143" s="2"/>
    </row>
    <row r="144" spans="1:31" s="12" customFormat="1" ht="21" customHeight="1">
      <c r="A144" s="54"/>
      <c r="B144" s="55"/>
      <c r="C144" s="55"/>
      <c r="D144" s="241"/>
      <c r="E144" s="147"/>
      <c r="F144" s="147"/>
      <c r="G144" s="147"/>
      <c r="H144" s="147"/>
      <c r="I144" s="147"/>
      <c r="J144" s="147"/>
      <c r="K144" s="147"/>
      <c r="L144" s="92"/>
      <c r="M144" s="159">
        <v>2</v>
      </c>
      <c r="N144" s="198"/>
      <c r="O144" s="198"/>
      <c r="P144" s="198"/>
      <c r="Q144" s="198"/>
      <c r="R144" s="349"/>
      <c r="S144" s="197"/>
      <c r="T144" s="197"/>
      <c r="U144" s="197"/>
      <c r="V144" s="197"/>
      <c r="W144" s="197"/>
      <c r="X144" s="197"/>
      <c r="Y144" s="197"/>
      <c r="Z144" s="197"/>
      <c r="AA144" s="197"/>
      <c r="AB144" s="89"/>
      <c r="AC144" s="89">
        <v>0</v>
      </c>
      <c r="AD144" s="68" t="s">
        <v>73</v>
      </c>
      <c r="AE144" s="2"/>
    </row>
    <row r="145" spans="1:30" s="1" customFormat="1" ht="21" customHeight="1" thickBot="1">
      <c r="A145" s="192"/>
      <c r="B145" s="139"/>
      <c r="C145" s="139"/>
      <c r="D145" s="246"/>
      <c r="E145" s="193"/>
      <c r="F145" s="193"/>
      <c r="G145" s="193"/>
      <c r="H145" s="193"/>
      <c r="I145" s="193"/>
      <c r="J145" s="193"/>
      <c r="K145" s="193"/>
      <c r="L145" s="194"/>
      <c r="M145" s="85"/>
      <c r="N145" s="85"/>
      <c r="O145" s="85"/>
      <c r="P145" s="85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7"/>
    </row>
  </sheetData>
  <mergeCells count="16">
    <mergeCell ref="U71:V71"/>
    <mergeCell ref="U49:V49"/>
    <mergeCell ref="U53:V53"/>
    <mergeCell ref="M2:AD3"/>
    <mergeCell ref="A1:C1"/>
    <mergeCell ref="B5:C5"/>
    <mergeCell ref="A4:C4"/>
    <mergeCell ref="K2:L2"/>
    <mergeCell ref="A2:C2"/>
    <mergeCell ref="D2:D3"/>
    <mergeCell ref="E2:J2"/>
    <mergeCell ref="B141:C141"/>
    <mergeCell ref="B137:C137"/>
    <mergeCell ref="B133:C133"/>
    <mergeCell ref="B88:C88"/>
    <mergeCell ref="B75:C75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topLeftCell="E1" workbookViewId="0">
      <selection activeCell="L14" sqref="L14"/>
    </sheetView>
  </sheetViews>
  <sheetFormatPr defaultRowHeight="13.5"/>
  <cols>
    <col min="1" max="1" width="12.109375" customWidth="1"/>
    <col min="2" max="2" width="13.88671875" customWidth="1"/>
    <col min="3" max="3" width="14.5546875" customWidth="1"/>
    <col min="4" max="4" width="14.33203125" customWidth="1"/>
    <col min="5" max="5" width="13.88671875" customWidth="1"/>
    <col min="6" max="6" width="32.88671875" customWidth="1"/>
    <col min="7" max="7" width="10.33203125" customWidth="1"/>
    <col min="8" max="8" width="14.5546875" customWidth="1"/>
    <col min="9" max="9" width="17.109375" customWidth="1"/>
    <col min="10" max="10" width="17.21875" customWidth="1"/>
    <col min="11" max="11" width="15.109375" customWidth="1"/>
    <col min="12" max="12" width="14" customWidth="1"/>
  </cols>
  <sheetData>
    <row r="1" spans="1:12" ht="26.25">
      <c r="A1" s="356" t="s">
        <v>341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8" t="s">
        <v>342</v>
      </c>
    </row>
    <row r="2" spans="1:12" ht="17.25" thickBo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12" ht="16.5">
      <c r="A3" s="462" t="s">
        <v>343</v>
      </c>
      <c r="B3" s="463"/>
      <c r="C3" s="463"/>
      <c r="D3" s="463"/>
      <c r="E3" s="464"/>
      <c r="F3" s="464"/>
      <c r="G3" s="462" t="s">
        <v>344</v>
      </c>
      <c r="H3" s="463"/>
      <c r="I3" s="463"/>
      <c r="J3" s="463"/>
      <c r="K3" s="464"/>
      <c r="L3" s="465"/>
    </row>
    <row r="4" spans="1:12">
      <c r="A4" s="466" t="s">
        <v>345</v>
      </c>
      <c r="B4" s="467"/>
      <c r="C4" s="470" t="s">
        <v>346</v>
      </c>
      <c r="D4" s="470" t="s">
        <v>347</v>
      </c>
      <c r="E4" s="456" t="s">
        <v>348</v>
      </c>
      <c r="F4" s="472" t="s">
        <v>349</v>
      </c>
      <c r="G4" s="466" t="s">
        <v>345</v>
      </c>
      <c r="H4" s="467"/>
      <c r="I4" s="470" t="s">
        <v>346</v>
      </c>
      <c r="J4" s="470" t="s">
        <v>347</v>
      </c>
      <c r="K4" s="456"/>
      <c r="L4" s="458" t="s">
        <v>350</v>
      </c>
    </row>
    <row r="5" spans="1:12" ht="42.75" customHeight="1" thickBot="1">
      <c r="A5" s="468"/>
      <c r="B5" s="469"/>
      <c r="C5" s="471"/>
      <c r="D5" s="471"/>
      <c r="E5" s="457"/>
      <c r="F5" s="473"/>
      <c r="G5" s="468"/>
      <c r="H5" s="469"/>
      <c r="I5" s="471"/>
      <c r="J5" s="471"/>
      <c r="K5" s="457"/>
      <c r="L5" s="459"/>
    </row>
    <row r="6" spans="1:12" ht="33.75" customHeight="1" thickTop="1">
      <c r="A6" s="449" t="s">
        <v>351</v>
      </c>
      <c r="B6" s="460"/>
      <c r="C6" s="359">
        <f t="shared" ref="C6:E6" si="0">SUM(C7:C15)</f>
        <v>64669297</v>
      </c>
      <c r="D6" s="359">
        <f t="shared" si="0"/>
        <v>61753280</v>
      </c>
      <c r="E6" s="360">
        <f t="shared" si="0"/>
        <v>-2916017</v>
      </c>
      <c r="F6" s="361"/>
      <c r="G6" s="449" t="s">
        <v>351</v>
      </c>
      <c r="H6" s="460"/>
      <c r="I6" s="359">
        <f t="shared" ref="I6:J6" si="1">SUM(I7:I21)</f>
        <v>64669297</v>
      </c>
      <c r="J6" s="359">
        <f t="shared" si="1"/>
        <v>61753280</v>
      </c>
      <c r="K6" s="360">
        <f>SUM(K7:K21)</f>
        <v>-2916017</v>
      </c>
      <c r="L6" s="362"/>
    </row>
    <row r="7" spans="1:12" ht="54.75" customHeight="1">
      <c r="A7" s="363" t="s">
        <v>352</v>
      </c>
      <c r="B7" s="364" t="s">
        <v>353</v>
      </c>
      <c r="C7" s="365">
        <v>9000000</v>
      </c>
      <c r="D7" s="365">
        <v>9000000</v>
      </c>
      <c r="E7" s="366">
        <f>D7-C7</f>
        <v>0</v>
      </c>
      <c r="F7" s="366"/>
      <c r="G7" s="447" t="s">
        <v>354</v>
      </c>
      <c r="H7" s="364" t="s">
        <v>355</v>
      </c>
      <c r="I7" s="365">
        <v>34502700</v>
      </c>
      <c r="J7" s="365">
        <v>36486390</v>
      </c>
      <c r="K7" s="367">
        <f>J7-I7</f>
        <v>1983690</v>
      </c>
      <c r="L7" s="377" t="s">
        <v>393</v>
      </c>
    </row>
    <row r="8" spans="1:12" ht="86.25" customHeight="1">
      <c r="A8" s="461" t="s">
        <v>356</v>
      </c>
      <c r="B8" s="364" t="s">
        <v>357</v>
      </c>
      <c r="C8" s="365">
        <v>50683000</v>
      </c>
      <c r="D8" s="365">
        <v>47633000</v>
      </c>
      <c r="E8" s="366">
        <f t="shared" ref="E8:E15" si="2">D8-C8</f>
        <v>-3050000</v>
      </c>
      <c r="F8" s="366" t="s">
        <v>388</v>
      </c>
      <c r="G8" s="448"/>
      <c r="H8" s="364" t="s">
        <v>358</v>
      </c>
      <c r="I8" s="365">
        <v>118300</v>
      </c>
      <c r="J8" s="365">
        <v>60000</v>
      </c>
      <c r="K8" s="367">
        <f t="shared" ref="K8:K20" si="3">J8-I8</f>
        <v>-58300</v>
      </c>
      <c r="L8" s="368"/>
    </row>
    <row r="9" spans="1:12" ht="27">
      <c r="A9" s="461"/>
      <c r="B9" s="364" t="s">
        <v>359</v>
      </c>
      <c r="C9" s="365">
        <v>0</v>
      </c>
      <c r="D9" s="365">
        <v>0</v>
      </c>
      <c r="E9" s="366">
        <f t="shared" si="2"/>
        <v>0</v>
      </c>
      <c r="F9" s="366"/>
      <c r="G9" s="449"/>
      <c r="H9" s="364" t="s">
        <v>360</v>
      </c>
      <c r="I9" s="365">
        <v>6881850</v>
      </c>
      <c r="J9" s="365">
        <v>4875000</v>
      </c>
      <c r="K9" s="367">
        <f t="shared" si="3"/>
        <v>-2006850</v>
      </c>
      <c r="L9" s="368" t="s">
        <v>391</v>
      </c>
    </row>
    <row r="10" spans="1:12" ht="16.5">
      <c r="A10" s="461"/>
      <c r="B10" s="364" t="s">
        <v>361</v>
      </c>
      <c r="C10" s="365">
        <v>0</v>
      </c>
      <c r="D10" s="365">
        <v>0</v>
      </c>
      <c r="E10" s="366">
        <f t="shared" si="2"/>
        <v>0</v>
      </c>
      <c r="F10" s="369"/>
      <c r="G10" s="447" t="s">
        <v>362</v>
      </c>
      <c r="H10" s="364" t="s">
        <v>363</v>
      </c>
      <c r="I10" s="365">
        <v>0</v>
      </c>
      <c r="J10" s="365">
        <v>0</v>
      </c>
      <c r="K10" s="367">
        <f t="shared" si="3"/>
        <v>0</v>
      </c>
      <c r="L10" s="368"/>
    </row>
    <row r="11" spans="1:12" ht="16.5">
      <c r="A11" s="461" t="s">
        <v>364</v>
      </c>
      <c r="B11" s="364" t="s">
        <v>365</v>
      </c>
      <c r="C11" s="365"/>
      <c r="D11" s="365"/>
      <c r="E11" s="366">
        <f t="shared" si="2"/>
        <v>0</v>
      </c>
      <c r="F11" s="366"/>
      <c r="G11" s="448"/>
      <c r="H11" s="364" t="s">
        <v>366</v>
      </c>
      <c r="I11" s="365">
        <v>3300000</v>
      </c>
      <c r="J11" s="365">
        <v>0</v>
      </c>
      <c r="K11" s="367">
        <f t="shared" si="3"/>
        <v>-3300000</v>
      </c>
      <c r="L11" s="368" t="s">
        <v>394</v>
      </c>
    </row>
    <row r="12" spans="1:12" ht="16.5">
      <c r="A12" s="461"/>
      <c r="B12" s="364" t="s">
        <v>367</v>
      </c>
      <c r="C12" s="365">
        <v>100000</v>
      </c>
      <c r="D12" s="365">
        <v>0</v>
      </c>
      <c r="E12" s="366">
        <f t="shared" ref="E12" si="4">D12-C12</f>
        <v>-100000</v>
      </c>
      <c r="F12" s="366"/>
      <c r="G12" s="449"/>
      <c r="H12" s="364" t="s">
        <v>368</v>
      </c>
      <c r="I12" s="365"/>
      <c r="J12" s="365">
        <v>0</v>
      </c>
      <c r="K12" s="367">
        <f t="shared" si="3"/>
        <v>0</v>
      </c>
      <c r="L12" s="368"/>
    </row>
    <row r="13" spans="1:12" ht="16.5">
      <c r="A13" s="363" t="s">
        <v>369</v>
      </c>
      <c r="B13" s="364" t="s">
        <v>370</v>
      </c>
      <c r="C13" s="365">
        <v>4182628</v>
      </c>
      <c r="D13" s="365">
        <v>4413690</v>
      </c>
      <c r="E13" s="366">
        <f t="shared" si="2"/>
        <v>231062</v>
      </c>
      <c r="F13" s="369" t="s">
        <v>389</v>
      </c>
      <c r="G13" s="447" t="s">
        <v>371</v>
      </c>
      <c r="H13" s="364" t="s">
        <v>372</v>
      </c>
      <c r="I13" s="365">
        <v>12533360</v>
      </c>
      <c r="J13" s="365">
        <v>11427800</v>
      </c>
      <c r="K13" s="367">
        <f t="shared" si="3"/>
        <v>-1105560</v>
      </c>
      <c r="L13" s="370" t="s">
        <v>395</v>
      </c>
    </row>
    <row r="14" spans="1:12" ht="27">
      <c r="A14" s="363" t="s">
        <v>373</v>
      </c>
      <c r="B14" s="364" t="s">
        <v>374</v>
      </c>
      <c r="C14" s="365">
        <v>695669</v>
      </c>
      <c r="D14" s="365">
        <v>698590</v>
      </c>
      <c r="E14" s="366">
        <f t="shared" si="2"/>
        <v>2921</v>
      </c>
      <c r="F14" s="369" t="s">
        <v>390</v>
      </c>
      <c r="G14" s="448"/>
      <c r="H14" s="364" t="s">
        <v>375</v>
      </c>
      <c r="I14" s="365">
        <v>1182550</v>
      </c>
      <c r="J14" s="365">
        <v>609200</v>
      </c>
      <c r="K14" s="367">
        <f t="shared" si="3"/>
        <v>-573350</v>
      </c>
      <c r="L14" s="370"/>
    </row>
    <row r="15" spans="1:12" ht="16.5">
      <c r="A15" s="363" t="s">
        <v>376</v>
      </c>
      <c r="B15" s="364" t="s">
        <v>377</v>
      </c>
      <c r="C15" s="365">
        <v>8000</v>
      </c>
      <c r="D15" s="365">
        <v>8000</v>
      </c>
      <c r="E15" s="366">
        <f t="shared" si="2"/>
        <v>0</v>
      </c>
      <c r="F15" s="366"/>
      <c r="G15" s="448"/>
      <c r="H15" s="364" t="s">
        <v>378</v>
      </c>
      <c r="I15" s="365">
        <v>500000</v>
      </c>
      <c r="J15" s="365">
        <v>500000</v>
      </c>
      <c r="K15" s="367">
        <f t="shared" si="3"/>
        <v>0</v>
      </c>
      <c r="L15" s="370"/>
    </row>
    <row r="16" spans="1:12" ht="16.5">
      <c r="A16" s="450"/>
      <c r="B16" s="451"/>
      <c r="C16" s="451"/>
      <c r="D16" s="451"/>
      <c r="E16" s="451"/>
      <c r="F16" s="451"/>
      <c r="G16" s="448"/>
      <c r="H16" s="364" t="s">
        <v>379</v>
      </c>
      <c r="I16" s="365">
        <v>469730</v>
      </c>
      <c r="J16" s="365">
        <v>500000</v>
      </c>
      <c r="K16" s="367">
        <f t="shared" si="3"/>
        <v>30270</v>
      </c>
      <c r="L16" s="370"/>
    </row>
    <row r="17" spans="1:12" ht="16.5">
      <c r="A17" s="452"/>
      <c r="B17" s="453"/>
      <c r="C17" s="453"/>
      <c r="D17" s="453"/>
      <c r="E17" s="453"/>
      <c r="F17" s="453"/>
      <c r="G17" s="448"/>
      <c r="H17" s="364" t="s">
        <v>380</v>
      </c>
      <c r="I17" s="365">
        <v>84620</v>
      </c>
      <c r="J17" s="365">
        <v>84000</v>
      </c>
      <c r="K17" s="367">
        <f t="shared" si="3"/>
        <v>-620</v>
      </c>
      <c r="L17" s="370"/>
    </row>
    <row r="18" spans="1:12" ht="16.5">
      <c r="A18" s="452"/>
      <c r="B18" s="453"/>
      <c r="C18" s="453"/>
      <c r="D18" s="453"/>
      <c r="E18" s="453"/>
      <c r="F18" s="453"/>
      <c r="G18" s="449"/>
      <c r="H18" s="364" t="s">
        <v>381</v>
      </c>
      <c r="I18" s="365">
        <v>5092220</v>
      </c>
      <c r="J18" s="365">
        <v>7204000</v>
      </c>
      <c r="K18" s="367">
        <f t="shared" si="3"/>
        <v>2111780</v>
      </c>
      <c r="L18" s="370" t="s">
        <v>392</v>
      </c>
    </row>
    <row r="19" spans="1:12" ht="16.5">
      <c r="A19" s="452"/>
      <c r="B19" s="453"/>
      <c r="C19" s="453"/>
      <c r="D19" s="453"/>
      <c r="E19" s="453"/>
      <c r="F19" s="453"/>
      <c r="G19" s="371" t="s">
        <v>382</v>
      </c>
      <c r="H19" s="364" t="s">
        <v>383</v>
      </c>
      <c r="I19" s="365">
        <v>3967</v>
      </c>
      <c r="J19" s="365">
        <v>6890</v>
      </c>
      <c r="K19" s="367">
        <f t="shared" si="3"/>
        <v>2923</v>
      </c>
      <c r="L19" s="370"/>
    </row>
    <row r="20" spans="1:12" ht="16.5">
      <c r="A20" s="452"/>
      <c r="B20" s="453"/>
      <c r="C20" s="453"/>
      <c r="D20" s="453"/>
      <c r="E20" s="453"/>
      <c r="F20" s="453"/>
      <c r="G20" s="363" t="s">
        <v>384</v>
      </c>
      <c r="H20" s="364" t="s">
        <v>385</v>
      </c>
      <c r="I20" s="365">
        <v>0</v>
      </c>
      <c r="J20" s="365">
        <v>0</v>
      </c>
      <c r="K20" s="367">
        <f t="shared" si="3"/>
        <v>0</v>
      </c>
      <c r="L20" s="370"/>
    </row>
    <row r="21" spans="1:12" ht="17.25" thickBot="1">
      <c r="A21" s="454"/>
      <c r="B21" s="455"/>
      <c r="C21" s="455"/>
      <c r="D21" s="455"/>
      <c r="E21" s="455"/>
      <c r="F21" s="455"/>
      <c r="G21" s="372" t="s">
        <v>386</v>
      </c>
      <c r="H21" s="373" t="s">
        <v>387</v>
      </c>
      <c r="I21" s="374">
        <v>0</v>
      </c>
      <c r="J21" s="374">
        <v>0</v>
      </c>
      <c r="K21" s="375">
        <f>J21-I21</f>
        <v>0</v>
      </c>
      <c r="L21" s="376"/>
    </row>
  </sheetData>
  <mergeCells count="20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G13:G18"/>
    <mergeCell ref="A16:F21"/>
    <mergeCell ref="K4:K5"/>
    <mergeCell ref="L4:L5"/>
    <mergeCell ref="A6:B6"/>
    <mergeCell ref="G6:H6"/>
    <mergeCell ref="G7:G9"/>
    <mergeCell ref="A8:A10"/>
    <mergeCell ref="G10:G12"/>
    <mergeCell ref="A11:A1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2013-03-28T22:23:37Z</cp:lastPrinted>
  <dcterms:created xsi:type="dcterms:W3CDTF">2003-12-18T04:11:57Z</dcterms:created>
  <dcterms:modified xsi:type="dcterms:W3CDTF">2013-04-23T05:31:27Z</dcterms:modified>
</cp:coreProperties>
</file>