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70" yWindow="180" windowWidth="9540" windowHeight="11640" tabRatio="487"/>
  </bookViews>
  <sheets>
    <sheet name="세입세출총괄표" sheetId="16" r:id="rId1"/>
    <sheet name="세입" sheetId="4" r:id="rId2"/>
    <sheet name="세출" sheetId="5" r:id="rId3"/>
    <sheet name="증감사유" sheetId="17" r:id="rId4"/>
  </sheets>
  <definedNames>
    <definedName name="가계보조비" localSheetId="1">세입!#REF!</definedName>
    <definedName name="가계보조수당" localSheetId="1">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>세입!#REF!</definedName>
    <definedName name="급여총액" localSheetId="1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2">세출!#REF!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세출!$AB$11</definedName>
    <definedName name="명절휴가비1" localSheetId="1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>세입!#REF!</definedName>
    <definedName name="연장근로수당" localSheetId="2">세출!$AB$14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직원급식비">세입!#REF!</definedName>
    <definedName name="직책보조비" localSheetId="1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>세입!#REF!</definedName>
    <definedName name="특수근무수당1" localSheetId="1">세입!#REF!</definedName>
    <definedName name="특수근무수당1">세입!#REF!</definedName>
    <definedName name="특수근무수당2" localSheetId="1">세입!#REF!</definedName>
    <definedName name="특수근무수당2">세입!#REF!</definedName>
    <definedName name="특수근무수당3" localSheetId="1">세입!#REF!</definedName>
    <definedName name="특수근무수당3">세입!#REF!</definedName>
    <definedName name="프로그램지원금" localSheetId="1">세입!#REF!</definedName>
    <definedName name="_xlnm.Print_Area" localSheetId="1">세입!$A$1:$AC$34</definedName>
    <definedName name="_xlnm.Print_Titles" localSheetId="1">세입!$2:$3</definedName>
    <definedName name="_xlnm.Print_Titles" localSheetId="2">세출!$2:$3</definedName>
  </definedNames>
  <calcPr calcId="125725"/>
</workbook>
</file>

<file path=xl/calcChain.xml><?xml version="1.0" encoding="utf-8"?>
<calcChain xmlns="http://schemas.openxmlformats.org/spreadsheetml/2006/main">
  <c r="C6" i="17"/>
  <c r="K21" l="1"/>
  <c r="K20"/>
  <c r="K19"/>
  <c r="K18"/>
  <c r="K17"/>
  <c r="K16"/>
  <c r="K6" s="1"/>
  <c r="K15"/>
  <c r="E15"/>
  <c r="K14"/>
  <c r="E14"/>
  <c r="K13"/>
  <c r="E13"/>
  <c r="K12"/>
  <c r="E12"/>
  <c r="K11"/>
  <c r="E11"/>
  <c r="K10"/>
  <c r="E10"/>
  <c r="K9"/>
  <c r="E9"/>
  <c r="K8"/>
  <c r="E8"/>
  <c r="K7"/>
  <c r="E7"/>
  <c r="J6"/>
  <c r="I6"/>
  <c r="E6"/>
  <c r="D6"/>
  <c r="E4" i="4" l="1"/>
  <c r="F26"/>
  <c r="H31" i="5"/>
  <c r="E42"/>
  <c r="H42"/>
  <c r="F42"/>
  <c r="E47"/>
  <c r="H47"/>
  <c r="F47"/>
  <c r="E52"/>
  <c r="F52"/>
  <c r="E63"/>
  <c r="H63"/>
  <c r="E79"/>
  <c r="E81"/>
  <c r="F81"/>
  <c r="H81"/>
  <c r="E86"/>
  <c r="F86"/>
  <c r="H86"/>
  <c r="E89"/>
  <c r="H89"/>
  <c r="F89"/>
  <c r="E92"/>
  <c r="F92"/>
  <c r="H92"/>
  <c r="E96"/>
  <c r="H96"/>
  <c r="F96"/>
  <c r="E100"/>
  <c r="H100"/>
  <c r="H140"/>
  <c r="F132"/>
  <c r="AB132"/>
  <c r="AB96"/>
  <c r="AB91"/>
  <c r="AB52"/>
  <c r="AB47"/>
  <c r="AB22"/>
  <c r="AB121"/>
  <c r="AB125"/>
  <c r="AB122"/>
  <c r="AB14" i="4" l="1"/>
  <c r="AB16"/>
  <c r="AB15"/>
  <c r="AB11"/>
  <c r="AB15" i="5"/>
  <c r="H67"/>
  <c r="H66" s="1"/>
  <c r="AB116" l="1"/>
  <c r="AB117"/>
  <c r="AB41"/>
  <c r="AB139" l="1"/>
  <c r="D139"/>
  <c r="D99"/>
  <c r="D80"/>
  <c r="D66"/>
  <c r="D39"/>
  <c r="D31"/>
  <c r="D6"/>
  <c r="H18" i="4"/>
  <c r="G80" i="5"/>
  <c r="H80"/>
  <c r="I80"/>
  <c r="J80"/>
  <c r="F67"/>
  <c r="F66" s="1"/>
  <c r="G67"/>
  <c r="G66" s="1"/>
  <c r="I67"/>
  <c r="I66" s="1"/>
  <c r="J67"/>
  <c r="J66" s="1"/>
  <c r="F39"/>
  <c r="G39"/>
  <c r="I39"/>
  <c r="J39"/>
  <c r="F31"/>
  <c r="G31"/>
  <c r="J31"/>
  <c r="H6"/>
  <c r="J6"/>
  <c r="F139"/>
  <c r="AB127"/>
  <c r="AB123"/>
  <c r="AB111"/>
  <c r="AB110" s="1"/>
  <c r="AB108"/>
  <c r="AB105"/>
  <c r="AB104"/>
  <c r="AB103"/>
  <c r="AB90"/>
  <c r="AB83"/>
  <c r="AB63"/>
  <c r="AB61"/>
  <c r="AB55"/>
  <c r="AB56"/>
  <c r="AB57"/>
  <c r="AB54"/>
  <c r="AB53"/>
  <c r="AB40"/>
  <c r="H40" s="1"/>
  <c r="H39" s="1"/>
  <c r="AB37"/>
  <c r="AB36" s="1"/>
  <c r="AB81" l="1"/>
  <c r="J5"/>
  <c r="H5"/>
  <c r="D79"/>
  <c r="D5"/>
  <c r="AB18"/>
  <c r="AB14"/>
  <c r="AB12"/>
  <c r="AB8"/>
  <c r="AB7" l="1"/>
  <c r="AB17"/>
  <c r="G10" s="1"/>
  <c r="G6" s="1"/>
  <c r="G5" s="1"/>
  <c r="AB11"/>
  <c r="F10" s="1"/>
  <c r="F7" l="1"/>
  <c r="E7"/>
  <c r="F9" i="4"/>
  <c r="F18"/>
  <c r="H8" l="1"/>
  <c r="H7" s="1"/>
  <c r="I8"/>
  <c r="I7" s="1"/>
  <c r="J8"/>
  <c r="J7" s="1"/>
  <c r="D8"/>
  <c r="D7" s="1"/>
  <c r="AB107" i="5"/>
  <c r="K22" i="16"/>
  <c r="K9"/>
  <c r="K10"/>
  <c r="K11"/>
  <c r="K12"/>
  <c r="K13"/>
  <c r="K14"/>
  <c r="K15"/>
  <c r="K16"/>
  <c r="K17"/>
  <c r="K18"/>
  <c r="K19"/>
  <c r="K20"/>
  <c r="K21"/>
  <c r="K8"/>
  <c r="F9"/>
  <c r="F10"/>
  <c r="F11"/>
  <c r="F12"/>
  <c r="F13"/>
  <c r="F14"/>
  <c r="F15"/>
  <c r="F16"/>
  <c r="F8"/>
  <c r="G139" i="5"/>
  <c r="H139"/>
  <c r="I139"/>
  <c r="J139"/>
  <c r="F135"/>
  <c r="G135"/>
  <c r="H135"/>
  <c r="I135"/>
  <c r="J135"/>
  <c r="AB136"/>
  <c r="D136" s="1"/>
  <c r="D135" s="1"/>
  <c r="H131"/>
  <c r="I131"/>
  <c r="J131"/>
  <c r="G131"/>
  <c r="F131"/>
  <c r="D131"/>
  <c r="D4" s="1"/>
  <c r="G99"/>
  <c r="G79" s="1"/>
  <c r="H99"/>
  <c r="H79" s="1"/>
  <c r="H4" s="1"/>
  <c r="I99"/>
  <c r="I79" s="1"/>
  <c r="J99"/>
  <c r="J79" s="1"/>
  <c r="J4" s="1"/>
  <c r="AB126"/>
  <c r="AB97"/>
  <c r="AB86"/>
  <c r="AB77"/>
  <c r="AB71"/>
  <c r="L68"/>
  <c r="AB68"/>
  <c r="E68" s="1"/>
  <c r="K68" s="1"/>
  <c r="AB60"/>
  <c r="AB49"/>
  <c r="AB48"/>
  <c r="I32"/>
  <c r="I31" s="1"/>
  <c r="F7" i="16" l="1"/>
  <c r="G4" i="5"/>
  <c r="G9" i="4"/>
  <c r="G8" s="1"/>
  <c r="G7" s="1"/>
  <c r="AB9"/>
  <c r="AB75" i="5"/>
  <c r="AB67" s="1"/>
  <c r="E9" i="4" l="1"/>
  <c r="L100" i="5"/>
  <c r="J18" i="4"/>
  <c r="AB102" i="5"/>
  <c r="AB100" l="1"/>
  <c r="F99"/>
  <c r="AB89"/>
  <c r="AB99" l="1"/>
  <c r="D26" i="4"/>
  <c r="D4" s="1"/>
  <c r="G4"/>
  <c r="H26"/>
  <c r="I26"/>
  <c r="E99" i="5" l="1"/>
  <c r="K100"/>
  <c r="E29" i="4"/>
  <c r="K29" s="1"/>
  <c r="L29" s="1"/>
  <c r="E27"/>
  <c r="K27" s="1"/>
  <c r="E24"/>
  <c r="K24" s="1"/>
  <c r="E18"/>
  <c r="AB6"/>
  <c r="AB5" s="1"/>
  <c r="H5" s="1"/>
  <c r="E5" l="1"/>
  <c r="K5" s="1"/>
  <c r="H4"/>
  <c r="K18"/>
  <c r="K7" i="5"/>
  <c r="I6" l="1"/>
  <c r="I5" s="1"/>
  <c r="I4" s="1"/>
  <c r="AB10"/>
  <c r="Q25" l="1"/>
  <c r="Q21"/>
  <c r="E10"/>
  <c r="L67"/>
  <c r="J7" i="16"/>
  <c r="I7"/>
  <c r="E7"/>
  <c r="D7"/>
  <c r="Q29" i="5" l="1"/>
  <c r="Q28"/>
  <c r="AB28" s="1"/>
  <c r="Q26"/>
  <c r="AB21"/>
  <c r="AB20" s="1"/>
  <c r="AB29"/>
  <c r="AB25"/>
  <c r="AB26"/>
  <c r="Q27" s="1"/>
  <c r="AB27" s="1"/>
  <c r="F20"/>
  <c r="E20"/>
  <c r="K7" i="16"/>
  <c r="AB131" i="5"/>
  <c r="AB93"/>
  <c r="L24" i="4"/>
  <c r="AB23" i="5" l="1"/>
  <c r="AB6" s="1"/>
  <c r="AB92"/>
  <c r="K92" s="1"/>
  <c r="L92" s="1"/>
  <c r="F80"/>
  <c r="F79" s="1"/>
  <c r="E71"/>
  <c r="K71" s="1"/>
  <c r="L71" s="1"/>
  <c r="K52"/>
  <c r="L52" s="1"/>
  <c r="AB31"/>
  <c r="K20"/>
  <c r="L20" s="1"/>
  <c r="AB31" i="4"/>
  <c r="AB26" s="1"/>
  <c r="AB4" s="1"/>
  <c r="L18"/>
  <c r="L7" i="5"/>
  <c r="E75"/>
  <c r="AB42"/>
  <c r="E32"/>
  <c r="E40"/>
  <c r="K86"/>
  <c r="L86" s="1"/>
  <c r="E36"/>
  <c r="K36" s="1"/>
  <c r="L36" s="1"/>
  <c r="E23" l="1"/>
  <c r="E6" s="1"/>
  <c r="F23"/>
  <c r="F6" s="1"/>
  <c r="F5" s="1"/>
  <c r="F4" s="1"/>
  <c r="K23"/>
  <c r="L23" s="1"/>
  <c r="AB39"/>
  <c r="AB5" s="1"/>
  <c r="J31" i="4"/>
  <c r="E31" s="1"/>
  <c r="K81" i="5"/>
  <c r="L81" s="1"/>
  <c r="AB80"/>
  <c r="AB79" s="1"/>
  <c r="K40"/>
  <c r="L40" s="1"/>
  <c r="K89"/>
  <c r="L89" s="1"/>
  <c r="K75"/>
  <c r="L75" s="1"/>
  <c r="E67"/>
  <c r="E66" s="1"/>
  <c r="AB66"/>
  <c r="K63"/>
  <c r="L63" s="1"/>
  <c r="E60"/>
  <c r="K60" s="1"/>
  <c r="L60" s="1"/>
  <c r="K32"/>
  <c r="L32" s="1"/>
  <c r="J26" i="4"/>
  <c r="J4" s="1"/>
  <c r="K47" i="5"/>
  <c r="L47" s="1"/>
  <c r="K96"/>
  <c r="L96" s="1"/>
  <c r="K132"/>
  <c r="L132" s="1"/>
  <c r="E131"/>
  <c r="K131" s="1"/>
  <c r="L131" s="1"/>
  <c r="K99"/>
  <c r="L99" s="1"/>
  <c r="E34"/>
  <c r="K34" s="1"/>
  <c r="L34" s="1"/>
  <c r="L5" i="4"/>
  <c r="E31" i="5" l="1"/>
  <c r="I14" i="4"/>
  <c r="E136" i="5"/>
  <c r="AB135"/>
  <c r="AB4" s="1"/>
  <c r="E80"/>
  <c r="K66"/>
  <c r="L66" s="1"/>
  <c r="K67"/>
  <c r="K31"/>
  <c r="L31" s="1"/>
  <c r="K31" i="4"/>
  <c r="L31" s="1"/>
  <c r="E26"/>
  <c r="K10" i="5"/>
  <c r="L10" s="1"/>
  <c r="E39"/>
  <c r="K140"/>
  <c r="L140" s="1"/>
  <c r="E139"/>
  <c r="K139" s="1"/>
  <c r="L139" s="1"/>
  <c r="E5" l="1"/>
  <c r="E14" i="4"/>
  <c r="K14" s="1"/>
  <c r="L14" s="1"/>
  <c r="I4"/>
  <c r="K80" i="5"/>
  <c r="L80" s="1"/>
  <c r="K136"/>
  <c r="L136" s="1"/>
  <c r="E135"/>
  <c r="K135" s="1"/>
  <c r="L135" s="1"/>
  <c r="K42"/>
  <c r="L42" s="1"/>
  <c r="K39"/>
  <c r="L39" s="1"/>
  <c r="K26" i="4"/>
  <c r="L26" s="1"/>
  <c r="K6" i="5"/>
  <c r="L6" s="1"/>
  <c r="E4" l="1"/>
  <c r="K4" s="1"/>
  <c r="L4" s="1"/>
  <c r="K79"/>
  <c r="L79" s="1"/>
  <c r="F8" i="4"/>
  <c r="F7" s="1"/>
  <c r="F4" s="1"/>
  <c r="K5" i="5" l="1"/>
  <c r="L5" s="1"/>
  <c r="E8" i="4"/>
  <c r="E7" s="1"/>
  <c r="K9" l="1"/>
  <c r="L9" s="1"/>
  <c r="K8"/>
  <c r="L8" s="1"/>
  <c r="K7" l="1"/>
  <c r="L7" s="1"/>
  <c r="K4"/>
</calcChain>
</file>

<file path=xl/sharedStrings.xml><?xml version="1.0" encoding="utf-8"?>
<sst xmlns="http://schemas.openxmlformats.org/spreadsheetml/2006/main" count="758" uniqueCount="396">
  <si>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</si>
  <si>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</si>
  <si>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</si>
  <si>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</si>
  <si>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</si>
  <si>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</si>
  <si>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</si>
  <si>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</si>
  <si>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</si>
  <si>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</si>
  <si>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</si>
  <si>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</si>
  <si>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</si>
  <si>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</si>
  <si>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</si>
  <si>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</si>
  <si>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</si>
  <si>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</si>
  <si>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</si>
  <si>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</si>
  <si>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</si>
  <si>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</si>
  <si>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</si>
  <si>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</si>
  <si>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</si>
  <si>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</si>
  <si>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</si>
  <si>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</si>
  <si>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</si>
  <si>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</si>
  <si>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</si>
  <si>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</si>
  <si>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</si>
  <si>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※ 기타잡수입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</si>
  <si>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</si>
  <si>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</si>
  <si>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</si>
  <si>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</si>
  <si>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</si>
  <si>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</si>
  <si>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</si>
  <si>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</si>
  <si>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</si>
  <si>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</si>
  <si>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</si>
  <si>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</si>
  <si>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</si>
  <si>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</si>
  <si>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</si>
  <si>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</si>
  <si>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</si>
  <si>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</si>
  <si>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</si>
  <si>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</si>
  <si>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</si>
  <si>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</si>
  <si>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</si>
  <si>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</si>
  <si>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</si>
  <si>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</si>
  <si>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</si>
  <si>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</si>
  <si>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</si>
  <si>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</si>
  <si>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</si>
  <si>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</si>
  <si>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※ 입소비용수입</t>
    <phoneticPr fontId="6" type="noConversion"/>
  </si>
  <si>
    <t>합  계 :</t>
    <phoneticPr fontId="6" type="noConversion"/>
  </si>
  <si>
    <t>잡수입</t>
    <phoneticPr fontId="6" type="noConversion"/>
  </si>
  <si>
    <t>* 입소비용수입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</si>
  <si>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</si>
  <si>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</si>
  <si>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&lt;보조금수입 합계&gt;</t>
    <phoneticPr fontId="6" type="noConversion"/>
  </si>
  <si>
    <t>원</t>
    <phoneticPr fontId="6" type="noConversion"/>
  </si>
  <si>
    <t>경  상</t>
    <phoneticPr fontId="6" type="noConversion"/>
  </si>
  <si>
    <t>계</t>
    <phoneticPr fontId="6" type="noConversion"/>
  </si>
  <si>
    <t>&lt;경상보조금수입 합계&gt;</t>
    <phoneticPr fontId="6" type="noConversion"/>
  </si>
  <si>
    <t>총  계 :</t>
    <phoneticPr fontId="6" type="noConversion"/>
  </si>
  <si>
    <t>보조금</t>
    <phoneticPr fontId="6" type="noConversion"/>
  </si>
  <si>
    <t>총  계 :</t>
    <phoneticPr fontId="6" type="noConversion"/>
  </si>
  <si>
    <t>합    계 :</t>
    <phoneticPr fontId="6" type="noConversion"/>
  </si>
  <si>
    <t>÷</t>
    <phoneticPr fontId="6" type="noConversion"/>
  </si>
  <si>
    <t>=</t>
    <phoneticPr fontId="6" type="noConversion"/>
  </si>
  <si>
    <t>회</t>
    <phoneticPr fontId="6" type="noConversion"/>
  </si>
  <si>
    <t>전입금</t>
    <phoneticPr fontId="6" type="noConversion"/>
  </si>
  <si>
    <t>전년도</t>
    <phoneticPr fontId="6" type="noConversion"/>
  </si>
  <si>
    <t>이  월</t>
    <phoneticPr fontId="6" type="noConversion"/>
  </si>
  <si>
    <t>사업비</t>
    <phoneticPr fontId="6" type="noConversion"/>
  </si>
  <si>
    <t>잡수입</t>
    <phoneticPr fontId="6" type="noConversion"/>
  </si>
  <si>
    <t>소계</t>
    <phoneticPr fontId="6" type="noConversion"/>
  </si>
  <si>
    <t>&lt;잡수입 합계&gt;</t>
    <phoneticPr fontId="6" type="noConversion"/>
  </si>
  <si>
    <t>원</t>
    <phoneticPr fontId="6" type="noConversion"/>
  </si>
  <si>
    <t>※ 불용품매각대</t>
    <phoneticPr fontId="6" type="noConversion"/>
  </si>
  <si>
    <t>매각대</t>
    <phoneticPr fontId="6" type="noConversion"/>
  </si>
  <si>
    <t>※ 예금이자수입</t>
    <phoneticPr fontId="6" type="noConversion"/>
  </si>
  <si>
    <t>원</t>
    <phoneticPr fontId="6" type="noConversion"/>
  </si>
  <si>
    <t>※기본급</t>
    <phoneticPr fontId="6" type="noConversion"/>
  </si>
  <si>
    <t>원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</si>
  <si>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</si>
  <si>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</si>
  <si>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</si>
  <si>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</si>
  <si>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</si>
  <si>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</si>
  <si>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</si>
  <si>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</si>
  <si>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</si>
  <si>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월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</si>
  <si>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</si>
  <si>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</si>
  <si>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</si>
  <si>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</si>
  <si>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</si>
  <si>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</si>
  <si>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</si>
  <si>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</si>
  <si>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</si>
  <si>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</si>
  <si>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</si>
  <si>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</si>
  <si>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</si>
  <si>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</si>
  <si>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</si>
  <si>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잡지출</t>
    <phoneticPr fontId="6" type="noConversion"/>
  </si>
  <si>
    <t>※ 잡지출</t>
    <phoneticPr fontId="6" type="noConversion"/>
  </si>
  <si>
    <t>입소</t>
    <phoneticPr fontId="6" type="noConversion"/>
  </si>
  <si>
    <t>2.주부식비(보충액)</t>
    <phoneticPr fontId="6" type="noConversion"/>
  </si>
  <si>
    <t>1. 후원금</t>
    <phoneticPr fontId="6" type="noConversion"/>
  </si>
  <si>
    <t>2. 입소비용수입</t>
    <phoneticPr fontId="6" type="noConversion"/>
  </si>
  <si>
    <t>□ 세 입 · 세 출 총  괄  표</t>
    <phoneticPr fontId="29" type="noConversion"/>
  </si>
  <si>
    <t>(단위:원)</t>
    <phoneticPr fontId="29" type="noConversion"/>
  </si>
  <si>
    <t>세       입</t>
    <phoneticPr fontId="29" type="noConversion"/>
  </si>
  <si>
    <t>세       출</t>
    <phoneticPr fontId="29" type="noConversion"/>
  </si>
  <si>
    <t>구        분</t>
    <phoneticPr fontId="29" type="noConversion"/>
  </si>
  <si>
    <t>증감</t>
    <phoneticPr fontId="29" type="noConversion"/>
  </si>
  <si>
    <t>합        계</t>
    <phoneticPr fontId="29" type="noConversion"/>
  </si>
  <si>
    <t>입소비용수입</t>
    <phoneticPr fontId="29" type="noConversion"/>
  </si>
  <si>
    <t>입소비용   수입</t>
    <phoneticPr fontId="29" type="noConversion"/>
  </si>
  <si>
    <t>사   무   비</t>
    <phoneticPr fontId="29" type="noConversion"/>
  </si>
  <si>
    <t>인      건      비</t>
    <phoneticPr fontId="29" type="noConversion"/>
  </si>
  <si>
    <t>보조금  수입</t>
    <phoneticPr fontId="29" type="noConversion"/>
  </si>
  <si>
    <t>경상보조금수입</t>
    <phoneticPr fontId="29" type="noConversion"/>
  </si>
  <si>
    <t>업 무   추 진 비</t>
    <phoneticPr fontId="29" type="noConversion"/>
  </si>
  <si>
    <t>자본보조금수입</t>
    <phoneticPr fontId="29" type="noConversion"/>
  </si>
  <si>
    <t>운      영      비</t>
    <phoneticPr fontId="29" type="noConversion"/>
  </si>
  <si>
    <t>재산조성비</t>
    <phoneticPr fontId="29" type="noConversion"/>
  </si>
  <si>
    <t>시      설      비</t>
    <phoneticPr fontId="29" type="noConversion"/>
  </si>
  <si>
    <t>후원금  수입</t>
    <phoneticPr fontId="29" type="noConversion"/>
  </si>
  <si>
    <t>지정      후원금</t>
    <phoneticPr fontId="29" type="noConversion"/>
  </si>
  <si>
    <t>자 산   취 득 비</t>
    <phoneticPr fontId="29" type="noConversion"/>
  </si>
  <si>
    <t>비지정   후원금</t>
    <phoneticPr fontId="29" type="noConversion"/>
  </si>
  <si>
    <t>시설장비유지비</t>
    <phoneticPr fontId="29" type="noConversion"/>
  </si>
  <si>
    <t>전    입    금</t>
    <phoneticPr fontId="29" type="noConversion"/>
  </si>
  <si>
    <t>법인      전입금</t>
    <phoneticPr fontId="29" type="noConversion"/>
  </si>
  <si>
    <t>생      계      비</t>
    <phoneticPr fontId="29" type="noConversion"/>
  </si>
  <si>
    <t>이    월    금</t>
    <phoneticPr fontId="29" type="noConversion"/>
  </si>
  <si>
    <t>전년도   이월금</t>
    <phoneticPr fontId="29" type="noConversion"/>
  </si>
  <si>
    <t>수용기관   경비</t>
    <phoneticPr fontId="29" type="noConversion"/>
  </si>
  <si>
    <t>잡    수    입</t>
    <phoneticPr fontId="29" type="noConversion"/>
  </si>
  <si>
    <t>잡      수      입</t>
    <phoneticPr fontId="29" type="noConversion"/>
  </si>
  <si>
    <t>피      복      비</t>
    <phoneticPr fontId="29" type="noConversion"/>
  </si>
  <si>
    <t>의      료      비</t>
    <phoneticPr fontId="29" type="noConversion"/>
  </si>
  <si>
    <t>연      료      비</t>
    <phoneticPr fontId="29" type="noConversion"/>
  </si>
  <si>
    <t>프로그램사업비</t>
    <phoneticPr fontId="29" type="noConversion"/>
  </si>
  <si>
    <t>보조금   반납금</t>
    <phoneticPr fontId="29" type="noConversion"/>
  </si>
  <si>
    <t>잡   지   출</t>
    <phoneticPr fontId="29" type="noConversion"/>
  </si>
  <si>
    <t>잡      지      출</t>
    <phoneticPr fontId="29" type="noConversion"/>
  </si>
  <si>
    <t>예   비   비</t>
    <phoneticPr fontId="29" type="noConversion"/>
  </si>
  <si>
    <t>예      비      비</t>
    <phoneticPr fontId="29" type="noConversion"/>
  </si>
  <si>
    <t>원</t>
    <phoneticPr fontId="6" type="noConversion"/>
  </si>
  <si>
    <t>*결연 후원금 지급</t>
    <phoneticPr fontId="6" type="noConversion"/>
  </si>
  <si>
    <t>원</t>
    <phoneticPr fontId="6" type="noConversion"/>
  </si>
  <si>
    <t>원</t>
    <phoneticPr fontId="6" type="noConversion"/>
  </si>
  <si>
    <t>입소자
부담금</t>
    <phoneticPr fontId="6" type="noConversion"/>
  </si>
  <si>
    <t>잡수입</t>
    <phoneticPr fontId="6" type="noConversion"/>
  </si>
  <si>
    <t>비  용</t>
  </si>
  <si>
    <t>법인
전입금</t>
    <phoneticPr fontId="6" type="noConversion"/>
  </si>
  <si>
    <t>이월금</t>
    <phoneticPr fontId="6" type="noConversion"/>
  </si>
  <si>
    <t xml:space="preserve">총  계 : </t>
    <phoneticPr fontId="6" type="noConversion"/>
  </si>
  <si>
    <t>※ 이월 사업비</t>
    <phoneticPr fontId="6" type="noConversion"/>
  </si>
  <si>
    <t>합계:</t>
    <phoneticPr fontId="6" type="noConversion"/>
  </si>
  <si>
    <t>법인</t>
    <phoneticPr fontId="6" type="noConversion"/>
  </si>
  <si>
    <t>전입금</t>
    <phoneticPr fontId="6" type="noConversion"/>
  </si>
  <si>
    <t>기타</t>
    <phoneticPr fontId="6" type="noConversion"/>
  </si>
  <si>
    <t>예금</t>
    <phoneticPr fontId="6" type="noConversion"/>
  </si>
  <si>
    <t>이자</t>
    <phoneticPr fontId="6" type="noConversion"/>
  </si>
  <si>
    <t>불용품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</si>
  <si>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</si>
  <si>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</si>
  <si>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</si>
  <si>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</si>
  <si>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부담금</t>
    <phoneticPr fontId="6" type="noConversion"/>
  </si>
  <si>
    <t>업   무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</si>
  <si>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</si>
  <si>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</si>
  <si>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</si>
  <si>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</si>
  <si>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</si>
  <si>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</si>
  <si>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</si>
  <si>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</si>
  <si>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</si>
  <si>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</si>
  <si>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인건비</t>
    <phoneticPr fontId="6" type="noConversion"/>
  </si>
  <si>
    <t>사무비</t>
    <phoneticPr fontId="6" type="noConversion"/>
  </si>
  <si>
    <t>세출총계</t>
    <phoneticPr fontId="6" type="noConversion"/>
  </si>
  <si>
    <t>운영비</t>
    <phoneticPr fontId="6" type="noConversion"/>
  </si>
  <si>
    <t xml:space="preserve"> * 교육 및 출장여비</t>
    <phoneticPr fontId="6" type="noConversion"/>
  </si>
  <si>
    <t>명</t>
  </si>
  <si>
    <t>회</t>
    <phoneticPr fontId="6" type="noConversion"/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</si>
  <si>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</si>
  <si>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</si>
  <si>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</si>
  <si>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</si>
  <si>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</si>
  <si>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</si>
  <si>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</si>
  <si>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</si>
  <si>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</si>
  <si>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</si>
  <si>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</si>
  <si>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</si>
  <si>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※ 보조금 반환금(수원시)</t>
    <phoneticPr fontId="6" type="noConversion"/>
  </si>
  <si>
    <t>유지비</t>
    <phoneticPr fontId="6" type="noConversion"/>
  </si>
  <si>
    <t>보조금반환</t>
    <phoneticPr fontId="29" type="noConversion"/>
  </si>
  <si>
    <t>보조금</t>
    <phoneticPr fontId="6" type="noConversion"/>
  </si>
  <si>
    <t>※ 2012년 공동생활가정 지원금</t>
    <phoneticPr fontId="6" type="noConversion"/>
  </si>
  <si>
    <t>* 2012년 공동생활가정 지원금</t>
    <phoneticPr fontId="6" type="noConversion"/>
  </si>
  <si>
    <t>원</t>
    <phoneticPr fontId="6" type="noConversion"/>
  </si>
  <si>
    <t>원</t>
    <phoneticPr fontId="6" type="noConversion"/>
  </si>
  <si>
    <t>* 종사자근무수당</t>
    <phoneticPr fontId="6" type="noConversion"/>
  </si>
  <si>
    <t>* 환경개선사업비(7종)</t>
    <phoneticPr fontId="6" type="noConversion"/>
  </si>
  <si>
    <t>* 연장근로수당</t>
    <phoneticPr fontId="6" type="noConversion"/>
  </si>
  <si>
    <t>×</t>
    <phoneticPr fontId="6" type="noConversion"/>
  </si>
  <si>
    <t>÷</t>
    <phoneticPr fontId="6" type="noConversion"/>
  </si>
  <si>
    <t>=</t>
    <phoneticPr fontId="6" type="noConversion"/>
  </si>
  <si>
    <t>원</t>
    <phoneticPr fontId="6" type="noConversion"/>
  </si>
  <si>
    <t>2. 입소비용</t>
    <phoneticPr fontId="6" type="noConversion"/>
  </si>
  <si>
    <t>3. 법인전입금</t>
    <phoneticPr fontId="6" type="noConversion"/>
  </si>
  <si>
    <t>1. 보조금 이월금(예금이자)</t>
    <phoneticPr fontId="6" type="noConversion"/>
  </si>
  <si>
    <t>보조금
(7종)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</si>
  <si>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</si>
  <si>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</si>
  <si>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</si>
  <si>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</si>
  <si>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*사회재활교사</t>
    <phoneticPr fontId="6" type="noConversion"/>
  </si>
  <si>
    <t>월</t>
    <phoneticPr fontId="6" type="noConversion"/>
  </si>
  <si>
    <t>1.명절휴가비(보조금)</t>
    <phoneticPr fontId="6" type="noConversion"/>
  </si>
  <si>
    <t>* 건강보험부담금</t>
    <phoneticPr fontId="6" type="noConversion"/>
  </si>
  <si>
    <t>* 장기용양보험부담금</t>
    <phoneticPr fontId="6" type="noConversion"/>
  </si>
  <si>
    <t>* 고용보험부담금</t>
    <phoneticPr fontId="6" type="noConversion"/>
  </si>
  <si>
    <t>* 산재보험부담금</t>
    <phoneticPr fontId="6" type="noConversion"/>
  </si>
  <si>
    <t>* 국민연금부담금</t>
    <phoneticPr fontId="6" type="noConversion"/>
  </si>
  <si>
    <t>* 회의관련 다과비등</t>
    <phoneticPr fontId="6" type="noConversion"/>
  </si>
  <si>
    <t>회</t>
    <phoneticPr fontId="6" type="noConversion"/>
  </si>
  <si>
    <t>소계:</t>
    <phoneticPr fontId="6" type="noConversion"/>
  </si>
  <si>
    <t>1. 사무용품비(문구류 )</t>
    <phoneticPr fontId="6" type="noConversion"/>
  </si>
  <si>
    <t>월</t>
    <phoneticPr fontId="6" type="noConversion"/>
  </si>
  <si>
    <t>1. 전화료 인터넷 요금</t>
    <phoneticPr fontId="6" type="noConversion"/>
  </si>
  <si>
    <t>2. 아파트관리비</t>
    <phoneticPr fontId="6" type="noConversion"/>
  </si>
  <si>
    <t>3. 우편물발송료 및 택배료</t>
    <phoneticPr fontId="6" type="noConversion"/>
  </si>
  <si>
    <t>원</t>
    <phoneticPr fontId="6" type="noConversion"/>
  </si>
  <si>
    <t>1. 화재보험료</t>
    <phoneticPr fontId="6" type="noConversion"/>
  </si>
  <si>
    <t>2. 상해보험료</t>
    <phoneticPr fontId="6" type="noConversion"/>
  </si>
  <si>
    <t>3. 소방안전점검</t>
    <phoneticPr fontId="6" type="noConversion"/>
  </si>
  <si>
    <t>4. 전기안전점검</t>
    <phoneticPr fontId="6" type="noConversion"/>
  </si>
  <si>
    <t>5. 가스안전점검</t>
    <phoneticPr fontId="6" type="noConversion"/>
  </si>
  <si>
    <t>* 차량유류대</t>
    <phoneticPr fontId="6" type="noConversion"/>
  </si>
  <si>
    <t>* 직원 외부교육비</t>
    <phoneticPr fontId="6" type="noConversion"/>
  </si>
  <si>
    <t xml:space="preserve">* </t>
    <phoneticPr fontId="6" type="noConversion"/>
  </si>
  <si>
    <t>* 환경개선 수선비 등</t>
    <phoneticPr fontId="6" type="noConversion"/>
  </si>
  <si>
    <t>*</t>
    <phoneticPr fontId="6" type="noConversion"/>
  </si>
  <si>
    <t>1.주부식비</t>
    <phoneticPr fontId="6" type="noConversion"/>
  </si>
  <si>
    <t>* 일상생활용품</t>
    <phoneticPr fontId="6" type="noConversion"/>
  </si>
  <si>
    <t>* 피복비</t>
    <phoneticPr fontId="6" type="noConversion"/>
  </si>
  <si>
    <t>명</t>
    <phoneticPr fontId="6" type="noConversion"/>
  </si>
  <si>
    <t>=</t>
    <phoneticPr fontId="6" type="noConversion"/>
  </si>
  <si>
    <t>* 입소자 건강진단비</t>
    <phoneticPr fontId="6" type="noConversion"/>
  </si>
  <si>
    <t>* 외래진료 및 의약품비 등</t>
    <phoneticPr fontId="6" type="noConversion"/>
  </si>
  <si>
    <t>* 취사용 연료비</t>
    <phoneticPr fontId="6" type="noConversion"/>
  </si>
  <si>
    <t>1. 찜질방 이용</t>
    <phoneticPr fontId="6" type="noConversion"/>
  </si>
  <si>
    <t>2. 지역사회 미용실 이용</t>
    <phoneticPr fontId="6" type="noConversion"/>
  </si>
  <si>
    <t>3. 지역사회 식당 이용 외식</t>
    <phoneticPr fontId="6" type="noConversion"/>
  </si>
  <si>
    <t>B. 정서안정지원 프로그램</t>
    <phoneticPr fontId="6" type="noConversion"/>
  </si>
  <si>
    <t>1. 생일축하 파티(선물 및 케익 등)</t>
    <phoneticPr fontId="6" type="noConversion"/>
  </si>
  <si>
    <t>C. 지역사회유대 지원 프로그램</t>
    <phoneticPr fontId="6" type="noConversion"/>
  </si>
  <si>
    <t>1. 경기도장애인종합복지관 송년회</t>
    <phoneticPr fontId="6" type="noConversion"/>
  </si>
  <si>
    <t>2. 부활달걀 나눔 행사</t>
    <phoneticPr fontId="6" type="noConversion"/>
  </si>
  <si>
    <t>D. 여가프로그램</t>
    <phoneticPr fontId="6" type="noConversion"/>
  </si>
  <si>
    <t>E. 계절별 프로그램</t>
    <phoneticPr fontId="6" type="noConversion"/>
  </si>
  <si>
    <t>1. 여름캠프</t>
    <phoneticPr fontId="6" type="noConversion"/>
  </si>
  <si>
    <t>3. 원가정 테마여행</t>
    <phoneticPr fontId="6" type="noConversion"/>
  </si>
  <si>
    <t>회</t>
    <phoneticPr fontId="6" type="noConversion"/>
  </si>
  <si>
    <t>F. 기타 프로그램 지원사업</t>
    <phoneticPr fontId="6" type="noConversion"/>
  </si>
  <si>
    <t>2. 바다의별 사회적응 훈련(A)</t>
    <phoneticPr fontId="6" type="noConversion"/>
  </si>
  <si>
    <t>3. 바다의별 사회적응 훈련(B)</t>
    <phoneticPr fontId="6" type="noConversion"/>
  </si>
  <si>
    <t>1.보조금 예금이자 이월금</t>
    <phoneticPr fontId="6" type="noConversion"/>
  </si>
  <si>
    <t>3.종사자근무수당(7종)</t>
    <phoneticPr fontId="6" type="noConversion"/>
  </si>
  <si>
    <t>3호</t>
    <phoneticPr fontId="6" type="noConversion"/>
  </si>
  <si>
    <t>* 붙박이장/TV받침/서랍장 등(환경개선사업비)</t>
    <phoneticPr fontId="6" type="noConversion"/>
  </si>
  <si>
    <t>* 붙박이장/TV받침/서랍장 등(환경개선사업비) - 자담</t>
    <phoneticPr fontId="6" type="noConversion"/>
  </si>
  <si>
    <t>2. 주방용품 구입 및 소규모수선비</t>
    <phoneticPr fontId="6" type="noConversion"/>
  </si>
  <si>
    <t>3. 기타 수용비 및 수수료</t>
    <phoneticPr fontId="6" type="noConversion"/>
  </si>
  <si>
    <t>3.김장비</t>
    <phoneticPr fontId="6" type="noConversion"/>
  </si>
  <si>
    <t>원</t>
    <phoneticPr fontId="6" type="noConversion"/>
  </si>
  <si>
    <t>2.연장근로수당</t>
    <phoneticPr fontId="6" type="noConversion"/>
  </si>
  <si>
    <t>A. 자립생활 프로그램</t>
    <phoneticPr fontId="6" type="noConversion"/>
  </si>
  <si>
    <t>2. 테마여행</t>
    <phoneticPr fontId="6" type="noConversion"/>
  </si>
  <si>
    <t>3. 오픈하우스</t>
    <phoneticPr fontId="6" type="noConversion"/>
  </si>
  <si>
    <t>1. 문화체험</t>
    <phoneticPr fontId="6" type="noConversion"/>
  </si>
  <si>
    <t>회</t>
    <phoneticPr fontId="6" type="noConversion"/>
  </si>
  <si>
    <t>2. 크리스마스 및 송년회</t>
    <phoneticPr fontId="6" type="noConversion"/>
  </si>
  <si>
    <t>원</t>
    <phoneticPr fontId="6" type="noConversion"/>
  </si>
  <si>
    <t>1. 개인별교재</t>
    <phoneticPr fontId="6" type="noConversion"/>
  </si>
  <si>
    <t>* 퇴직적립금</t>
    <phoneticPr fontId="6" type="noConversion"/>
  </si>
  <si>
    <t>3호</t>
    <phoneticPr fontId="6" type="noConversion"/>
  </si>
  <si>
    <t>=</t>
    <phoneticPr fontId="6" type="noConversion"/>
  </si>
  <si>
    <t>원</t>
    <phoneticPr fontId="6" type="noConversion"/>
  </si>
  <si>
    <t>2012년
2차추경
예산액(A)
(단위:천원)</t>
    <phoneticPr fontId="6" type="noConversion"/>
  </si>
  <si>
    <t>2013년 예산액(단위:천원)</t>
    <phoneticPr fontId="6" type="noConversion"/>
  </si>
  <si>
    <t>&lt;2013년도 세입내역&gt;</t>
    <phoneticPr fontId="6" type="noConversion"/>
  </si>
  <si>
    <t>&lt;2013년도 세출내역&gt;</t>
    <phoneticPr fontId="6" type="noConversion"/>
  </si>
  <si>
    <t>보조</t>
    <phoneticPr fontId="6" type="noConversion"/>
  </si>
  <si>
    <t>법인</t>
    <phoneticPr fontId="6" type="noConversion"/>
  </si>
  <si>
    <t>보조</t>
    <phoneticPr fontId="6" type="noConversion"/>
  </si>
  <si>
    <t>4.가을여행</t>
    <phoneticPr fontId="6" type="noConversion"/>
  </si>
  <si>
    <t>보조</t>
    <phoneticPr fontId="6" type="noConversion"/>
  </si>
  <si>
    <t>법인</t>
    <phoneticPr fontId="6" type="noConversion"/>
  </si>
  <si>
    <t>보조</t>
    <phoneticPr fontId="6" type="noConversion"/>
  </si>
  <si>
    <t>(보조금 : 1,500,000원 / 입소비용 : 1,086,000원)</t>
    <phoneticPr fontId="6" type="noConversion"/>
  </si>
  <si>
    <t>4.공공요금(자부담)</t>
    <phoneticPr fontId="6" type="noConversion"/>
  </si>
  <si>
    <t>6.기타제세공과금</t>
    <phoneticPr fontId="6" type="noConversion"/>
  </si>
  <si>
    <t>정수기대여료+일상용품</t>
    <phoneticPr fontId="6" type="noConversion"/>
  </si>
  <si>
    <t>피복비(자부담)</t>
    <phoneticPr fontId="6" type="noConversion"/>
  </si>
  <si>
    <t>취사용연료(자부담)</t>
    <phoneticPr fontId="6" type="noConversion"/>
  </si>
  <si>
    <t>2013년
본예산</t>
    <phoneticPr fontId="29" type="noConversion"/>
  </si>
  <si>
    <t>2012년
2차추경예산</t>
    <phoneticPr fontId="29" type="noConversion"/>
  </si>
  <si>
    <t>기타보조금수입</t>
    <phoneticPr fontId="29" type="noConversion"/>
  </si>
  <si>
    <t>사업비</t>
    <phoneticPr fontId="6" type="noConversion"/>
  </si>
  <si>
    <t>※ 이월금</t>
    <phoneticPr fontId="6" type="noConversion"/>
  </si>
  <si>
    <t>원</t>
    <phoneticPr fontId="6" type="noConversion"/>
  </si>
  <si>
    <t>□ 2013년도 세 입 · 세 출 총  괄  표</t>
    <phoneticPr fontId="29" type="noConversion"/>
  </si>
  <si>
    <t>(단위:원)</t>
    <phoneticPr fontId="29" type="noConversion"/>
  </si>
  <si>
    <t>세       입</t>
    <phoneticPr fontId="29" type="noConversion"/>
  </si>
  <si>
    <t>세       출</t>
    <phoneticPr fontId="29" type="noConversion"/>
  </si>
  <si>
    <t>구        분</t>
    <phoneticPr fontId="29" type="noConversion"/>
  </si>
  <si>
    <t>2012년
2차 추경 예산</t>
    <phoneticPr fontId="29" type="noConversion"/>
  </si>
  <si>
    <t>2013년
본예산</t>
    <phoneticPr fontId="29" type="noConversion"/>
  </si>
  <si>
    <t>증감</t>
    <phoneticPr fontId="6" type="noConversion"/>
  </si>
  <si>
    <t>증감사유</t>
    <phoneticPr fontId="29" type="noConversion"/>
  </si>
  <si>
    <t>증감</t>
    <phoneticPr fontId="29" type="noConversion"/>
  </si>
  <si>
    <t>합        계</t>
    <phoneticPr fontId="29" type="noConversion"/>
  </si>
  <si>
    <t>입소비용수입</t>
    <phoneticPr fontId="29" type="noConversion"/>
  </si>
  <si>
    <t>입소비용   수입</t>
    <phoneticPr fontId="29" type="noConversion"/>
  </si>
  <si>
    <t>사   무   비</t>
    <phoneticPr fontId="29" type="noConversion"/>
  </si>
  <si>
    <t>인      건      비</t>
    <phoneticPr fontId="29" type="noConversion"/>
  </si>
  <si>
    <t>인건비인상분</t>
    <phoneticPr fontId="6" type="noConversion"/>
  </si>
  <si>
    <t>보조금  수입</t>
    <phoneticPr fontId="29" type="noConversion"/>
  </si>
  <si>
    <t>경상보조금수입</t>
    <phoneticPr fontId="29" type="noConversion"/>
  </si>
  <si>
    <t>환경개선사업비 예산감액</t>
    <phoneticPr fontId="6" type="noConversion"/>
  </si>
  <si>
    <t>업 무   추 진 비</t>
    <phoneticPr fontId="29" type="noConversion"/>
  </si>
  <si>
    <t>자본보조금수입</t>
    <phoneticPr fontId="29" type="noConversion"/>
  </si>
  <si>
    <t>운      영      비</t>
    <phoneticPr fontId="29" type="noConversion"/>
  </si>
  <si>
    <t>여비/수용비 및 수수료 등 감액</t>
    <phoneticPr fontId="6" type="noConversion"/>
  </si>
  <si>
    <t>기타보조금수입</t>
    <phoneticPr fontId="29" type="noConversion"/>
  </si>
  <si>
    <t>재산조성비</t>
    <phoneticPr fontId="29" type="noConversion"/>
  </si>
  <si>
    <t>시      설      비</t>
    <phoneticPr fontId="29" type="noConversion"/>
  </si>
  <si>
    <t>후원금  수입</t>
    <phoneticPr fontId="29" type="noConversion"/>
  </si>
  <si>
    <t>지정      후원금</t>
    <phoneticPr fontId="29" type="noConversion"/>
  </si>
  <si>
    <t>자 산   취 득 비</t>
    <phoneticPr fontId="29" type="noConversion"/>
  </si>
  <si>
    <t>환경개선비 삭감</t>
    <phoneticPr fontId="6" type="noConversion"/>
  </si>
  <si>
    <t>비지정   후원금</t>
    <phoneticPr fontId="29" type="noConversion"/>
  </si>
  <si>
    <t>시설장비유지비</t>
    <phoneticPr fontId="29" type="noConversion"/>
  </si>
  <si>
    <t>전    입    금</t>
    <phoneticPr fontId="29" type="noConversion"/>
  </si>
  <si>
    <t>법인      전입금</t>
    <phoneticPr fontId="29" type="noConversion"/>
  </si>
  <si>
    <t>연장근로수당 증액</t>
    <phoneticPr fontId="6" type="noConversion"/>
  </si>
  <si>
    <t>사   업   비</t>
    <phoneticPr fontId="29" type="noConversion"/>
  </si>
  <si>
    <t>생      계      비</t>
    <phoneticPr fontId="29" type="noConversion"/>
  </si>
  <si>
    <t>생계비 삭감</t>
    <phoneticPr fontId="6" type="noConversion"/>
  </si>
  <si>
    <t>이    월    금</t>
    <phoneticPr fontId="29" type="noConversion"/>
  </si>
  <si>
    <t>전년도   이월금</t>
    <phoneticPr fontId="29" type="noConversion"/>
  </si>
  <si>
    <t>수용기관   경비</t>
    <phoneticPr fontId="29" type="noConversion"/>
  </si>
  <si>
    <t>잡    수    입</t>
    <phoneticPr fontId="29" type="noConversion"/>
  </si>
  <si>
    <t>잡      수      입</t>
    <phoneticPr fontId="29" type="noConversion"/>
  </si>
  <si>
    <t>피      복      비</t>
    <phoneticPr fontId="29" type="noConversion"/>
  </si>
  <si>
    <t>의      료      비</t>
    <phoneticPr fontId="29" type="noConversion"/>
  </si>
  <si>
    <t>연      료      비</t>
    <phoneticPr fontId="29" type="noConversion"/>
  </si>
  <si>
    <t>프로그램사업비</t>
    <phoneticPr fontId="29" type="noConversion"/>
  </si>
  <si>
    <t>프로그램비 증액</t>
    <phoneticPr fontId="6" type="noConversion"/>
  </si>
  <si>
    <t>보조금반환</t>
    <phoneticPr fontId="29" type="noConversion"/>
  </si>
  <si>
    <t>보조금   반납금</t>
    <phoneticPr fontId="29" type="noConversion"/>
  </si>
  <si>
    <t>잡   지   출</t>
    <phoneticPr fontId="29" type="noConversion"/>
  </si>
  <si>
    <t>잡      지      출</t>
    <phoneticPr fontId="29" type="noConversion"/>
  </si>
  <si>
    <t>예   비   비</t>
    <phoneticPr fontId="29" type="noConversion"/>
  </si>
  <si>
    <t>예      비      비</t>
    <phoneticPr fontId="29" type="noConversion"/>
  </si>
  <si>
    <t>보조금이월금         7,251원
 입소비용        4,558,000원</t>
    <phoneticPr fontId="6" type="noConversion"/>
  </si>
</sst>
</file>

<file path=xl/styles.xml><?xml version="1.0" encoding="utf-8"?>
<styleSheet xmlns="http://schemas.openxmlformats.org/spreadsheetml/2006/main">
  <numFmts count="1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</numFmts>
  <fonts count="3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73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41" fontId="7" fillId="0" borderId="0" xfId="2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2" fillId="0" borderId="16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178" fontId="12" fillId="0" borderId="23" xfId="3" applyNumberFormat="1" applyFont="1" applyFill="1" applyBorder="1" applyAlignment="1">
      <alignment vertical="center"/>
    </xf>
    <xf numFmtId="177" fontId="12" fillId="0" borderId="23" xfId="3" applyNumberFormat="1" applyFont="1" applyFill="1" applyBorder="1" applyAlignment="1">
      <alignment vertical="center"/>
    </xf>
    <xf numFmtId="9" fontId="12" fillId="0" borderId="23" xfId="3" applyNumberFormat="1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vertical="center"/>
    </xf>
    <xf numFmtId="176" fontId="15" fillId="0" borderId="22" xfId="3" applyNumberFormat="1" applyFont="1" applyFill="1" applyBorder="1" applyAlignment="1">
      <alignment horizontal="center" vertical="center"/>
    </xf>
    <xf numFmtId="176" fontId="15" fillId="0" borderId="22" xfId="3" applyNumberFormat="1" applyFont="1" applyFill="1" applyBorder="1" applyAlignment="1">
      <alignment vertical="center"/>
    </xf>
    <xf numFmtId="176" fontId="15" fillId="0" borderId="24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 wrapText="1"/>
    </xf>
    <xf numFmtId="9" fontId="16" fillId="0" borderId="27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9" fontId="12" fillId="0" borderId="27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7" fillId="0" borderId="31" xfId="3" applyNumberFormat="1" applyFont="1" applyFill="1" applyBorder="1" applyAlignment="1">
      <alignment vertical="center"/>
    </xf>
    <xf numFmtId="176" fontId="15" fillId="0" borderId="31" xfId="3" applyNumberFormat="1" applyFont="1" applyFill="1" applyBorder="1" applyAlignment="1">
      <alignment vertical="center"/>
    </xf>
    <xf numFmtId="176" fontId="15" fillId="0" borderId="31" xfId="3" applyNumberFormat="1" applyFont="1" applyFill="1" applyBorder="1" applyAlignment="1">
      <alignment horizontal="right" vertical="center"/>
    </xf>
    <xf numFmtId="176" fontId="15" fillId="0" borderId="32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8" fontId="12" fillId="0" borderId="27" xfId="3" applyNumberFormat="1" applyFont="1" applyFill="1" applyBorder="1" applyAlignment="1">
      <alignment vertical="center"/>
    </xf>
    <xf numFmtId="177" fontId="12" fillId="0" borderId="27" xfId="3" applyNumberFormat="1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2" fillId="0" borderId="34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7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5" fillId="0" borderId="35" xfId="3" applyFont="1" applyFill="1" applyBorder="1" applyAlignment="1">
      <alignment vertical="center"/>
    </xf>
    <xf numFmtId="0" fontId="15" fillId="0" borderId="31" xfId="3" applyFont="1" applyFill="1" applyBorder="1" applyAlignment="1">
      <alignment horizontal="center" vertical="center"/>
    </xf>
    <xf numFmtId="0" fontId="15" fillId="0" borderId="31" xfId="3" applyFont="1" applyFill="1" applyBorder="1" applyAlignment="1">
      <alignment vertical="center"/>
    </xf>
    <xf numFmtId="0" fontId="12" fillId="0" borderId="33" xfId="3" applyFont="1" applyFill="1" applyBorder="1" applyAlignment="1">
      <alignment vertical="center" wrapText="1"/>
    </xf>
    <xf numFmtId="0" fontId="18" fillId="0" borderId="29" xfId="3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176" fontId="19" fillId="0" borderId="31" xfId="3" applyNumberFormat="1" applyFont="1" applyFill="1" applyBorder="1" applyAlignment="1">
      <alignment vertical="center"/>
    </xf>
    <xf numFmtId="176" fontId="18" fillId="0" borderId="31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6" xfId="3" applyNumberFormat="1" applyFont="1" applyFill="1" applyBorder="1" applyAlignment="1">
      <alignment vertical="center"/>
    </xf>
    <xf numFmtId="178" fontId="12" fillId="0" borderId="11" xfId="3" applyNumberFormat="1" applyFont="1" applyFill="1" applyBorder="1" applyAlignment="1">
      <alignment vertical="center"/>
    </xf>
    <xf numFmtId="177" fontId="12" fillId="0" borderId="11" xfId="3" applyNumberFormat="1" applyFont="1" applyFill="1" applyBorder="1" applyAlignment="1">
      <alignment vertical="center"/>
    </xf>
    <xf numFmtId="0" fontId="12" fillId="0" borderId="39" xfId="3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176" fontId="12" fillId="0" borderId="40" xfId="3" applyNumberFormat="1" applyFont="1" applyFill="1" applyBorder="1" applyAlignment="1">
      <alignment vertical="center"/>
    </xf>
    <xf numFmtId="0" fontId="12" fillId="0" borderId="34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7" xfId="1" applyFont="1" applyFill="1" applyBorder="1" applyAlignment="1">
      <alignment horizontal="center" vertical="center"/>
    </xf>
    <xf numFmtId="0" fontId="12" fillId="0" borderId="37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8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180" fontId="12" fillId="0" borderId="0" xfId="1" applyNumberFormat="1" applyFont="1" applyFill="1" applyBorder="1" applyAlignment="1">
      <alignment vertical="center"/>
    </xf>
    <xf numFmtId="9" fontId="12" fillId="0" borderId="0" xfId="1" applyFont="1" applyFill="1" applyBorder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  <xf numFmtId="42" fontId="23" fillId="0" borderId="0" xfId="3" applyNumberFormat="1" applyFont="1" applyFill="1" applyBorder="1" applyAlignment="1">
      <alignment horizontal="center" vertical="center"/>
    </xf>
    <xf numFmtId="179" fontId="23" fillId="0" borderId="0" xfId="2" applyNumberFormat="1" applyFont="1" applyFill="1" applyBorder="1" applyAlignment="1">
      <alignment horizontal="center" vertical="center"/>
    </xf>
    <xf numFmtId="178" fontId="24" fillId="0" borderId="0" xfId="0" applyNumberFormat="1" applyFont="1" applyBorder="1">
      <alignment vertical="center"/>
    </xf>
    <xf numFmtId="179" fontId="12" fillId="0" borderId="0" xfId="2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21" fillId="0" borderId="30" xfId="3" applyFont="1" applyFill="1" applyBorder="1" applyAlignment="1">
      <alignment vertical="center"/>
    </xf>
    <xf numFmtId="176" fontId="21" fillId="0" borderId="31" xfId="3" applyNumberFormat="1" applyFont="1" applyFill="1" applyBorder="1" applyAlignment="1">
      <alignment vertical="center"/>
    </xf>
    <xf numFmtId="176" fontId="20" fillId="0" borderId="31" xfId="3" applyNumberFormat="1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horizontal="right" vertical="center"/>
    </xf>
    <xf numFmtId="176" fontId="20" fillId="0" borderId="36" xfId="3" applyNumberFormat="1" applyFont="1" applyFill="1" applyBorder="1" applyAlignment="1">
      <alignment vertical="center"/>
    </xf>
    <xf numFmtId="9" fontId="12" fillId="0" borderId="11" xfId="1" applyFont="1" applyFill="1" applyBorder="1" applyAlignment="1">
      <alignment horizontal="center" vertical="center"/>
    </xf>
    <xf numFmtId="0" fontId="12" fillId="0" borderId="14" xfId="3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1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7" xfId="3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6" xfId="3" applyNumberFormat="1" applyFont="1" applyFill="1" applyBorder="1" applyAlignment="1">
      <alignment vertical="center"/>
    </xf>
    <xf numFmtId="0" fontId="15" fillId="0" borderId="42" xfId="3" applyFont="1" applyFill="1" applyBorder="1" applyAlignment="1">
      <alignment vertical="center"/>
    </xf>
    <xf numFmtId="0" fontId="14" fillId="0" borderId="31" xfId="3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right" vertical="center"/>
    </xf>
    <xf numFmtId="176" fontId="14" fillId="0" borderId="32" xfId="3" applyNumberFormat="1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0" fontId="14" fillId="0" borderId="42" xfId="3" applyFont="1" applyFill="1" applyBorder="1" applyAlignment="1">
      <alignment vertical="center"/>
    </xf>
    <xf numFmtId="0" fontId="12" fillId="0" borderId="26" xfId="3" applyFont="1" applyFill="1" applyBorder="1" applyAlignment="1">
      <alignment vertical="center"/>
    </xf>
    <xf numFmtId="0" fontId="14" fillId="0" borderId="37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vertical="center" wrapText="1"/>
    </xf>
    <xf numFmtId="0" fontId="12" fillId="0" borderId="7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vertical="center"/>
    </xf>
    <xf numFmtId="177" fontId="12" fillId="0" borderId="7" xfId="3" applyNumberFormat="1" applyFont="1" applyFill="1" applyBorder="1" applyAlignment="1">
      <alignment vertical="center"/>
    </xf>
    <xf numFmtId="9" fontId="12" fillId="0" borderId="7" xfId="3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horizontal="center" vertical="center"/>
    </xf>
    <xf numFmtId="38" fontId="12" fillId="0" borderId="13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8" fontId="12" fillId="0" borderId="27" xfId="3" applyNumberFormat="1" applyFont="1" applyFill="1" applyBorder="1" applyAlignment="1">
      <alignment vertical="center"/>
    </xf>
    <xf numFmtId="3" fontId="26" fillId="0" borderId="0" xfId="0" applyNumberFormat="1" applyFont="1" applyFill="1" applyAlignment="1">
      <alignment vertical="center"/>
    </xf>
    <xf numFmtId="0" fontId="12" fillId="0" borderId="43" xfId="3" applyFont="1" applyFill="1" applyBorder="1" applyAlignment="1">
      <alignment horizontal="center" vertical="center" wrapText="1"/>
    </xf>
    <xf numFmtId="38" fontId="12" fillId="0" borderId="11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8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vertical="center"/>
    </xf>
    <xf numFmtId="176" fontId="12" fillId="0" borderId="32" xfId="3" applyNumberFormat="1" applyFont="1" applyFill="1" applyBorder="1" applyAlignment="1">
      <alignment vertical="center"/>
    </xf>
    <xf numFmtId="9" fontId="12" fillId="0" borderId="0" xfId="3" applyNumberFormat="1" applyFont="1" applyFill="1" applyBorder="1" applyAlignment="1">
      <alignment vertical="center"/>
    </xf>
    <xf numFmtId="0" fontId="27" fillId="0" borderId="1" xfId="3" applyFont="1" applyFill="1" applyBorder="1" applyAlignment="1">
      <alignment horizontal="center" vertical="center" wrapText="1"/>
    </xf>
    <xf numFmtId="38" fontId="27" fillId="0" borderId="1" xfId="3" applyNumberFormat="1" applyFont="1" applyFill="1" applyBorder="1" applyAlignment="1">
      <alignment vertical="center"/>
    </xf>
    <xf numFmtId="0" fontId="12" fillId="0" borderId="38" xfId="0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3" fontId="13" fillId="0" borderId="14" xfId="0" applyNumberFormat="1" applyFont="1" applyFill="1" applyBorder="1" applyAlignment="1">
      <alignment vertical="center"/>
    </xf>
    <xf numFmtId="176" fontId="13" fillId="0" borderId="38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/>
    </xf>
    <xf numFmtId="38" fontId="12" fillId="0" borderId="14" xfId="3" applyNumberFormat="1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38" fontId="12" fillId="0" borderId="31" xfId="3" applyNumberFormat="1" applyFont="1" applyFill="1" applyBorder="1" applyAlignment="1">
      <alignment vertical="center"/>
    </xf>
    <xf numFmtId="38" fontId="12" fillId="0" borderId="0" xfId="3" applyNumberFormat="1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left" vertical="center"/>
    </xf>
    <xf numFmtId="3" fontId="12" fillId="0" borderId="0" xfId="0" applyNumberFormat="1" applyFont="1" applyFill="1" applyAlignment="1">
      <alignment vertical="center"/>
    </xf>
    <xf numFmtId="176" fontId="27" fillId="0" borderId="0" xfId="4" applyNumberFormat="1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38" fontId="27" fillId="0" borderId="11" xfId="4" applyNumberFormat="1" applyFont="1" applyFill="1" applyBorder="1" applyAlignment="1">
      <alignment vertical="center"/>
    </xf>
    <xf numFmtId="0" fontId="27" fillId="0" borderId="0" xfId="4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right" vertical="center"/>
    </xf>
    <xf numFmtId="176" fontId="27" fillId="0" borderId="5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178" fontId="12" fillId="0" borderId="0" xfId="0" applyNumberFormat="1" applyFont="1" applyFill="1" applyAlignment="1">
      <alignment horizontal="right" vertical="center"/>
    </xf>
    <xf numFmtId="0" fontId="12" fillId="0" borderId="5" xfId="0" applyFont="1" applyFill="1" applyBorder="1">
      <alignment vertical="center"/>
    </xf>
    <xf numFmtId="0" fontId="12" fillId="0" borderId="6" xfId="3" applyFont="1" applyFill="1" applyBorder="1" applyAlignment="1">
      <alignment horizontal="center" vertical="center" wrapText="1"/>
    </xf>
    <xf numFmtId="38" fontId="12" fillId="0" borderId="7" xfId="3" applyNumberFormat="1" applyFont="1" applyFill="1" applyBorder="1" applyAlignment="1">
      <alignment vertical="center"/>
    </xf>
    <xf numFmtId="9" fontId="12" fillId="0" borderId="7" xfId="1" applyFont="1" applyFill="1" applyBorder="1" applyAlignment="1">
      <alignment horizontal="center" vertical="center"/>
    </xf>
    <xf numFmtId="0" fontId="12" fillId="0" borderId="4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4" fillId="0" borderId="0" xfId="5">
      <alignment vertical="center"/>
    </xf>
    <xf numFmtId="0" fontId="28" fillId="0" borderId="0" xfId="5" applyFont="1">
      <alignment vertical="center"/>
    </xf>
    <xf numFmtId="0" fontId="30" fillId="0" borderId="0" xfId="5" applyFont="1" applyAlignment="1">
      <alignment horizontal="right"/>
    </xf>
    <xf numFmtId="41" fontId="0" fillId="0" borderId="11" xfId="6" applyFont="1" applyBorder="1" applyAlignment="1">
      <alignment vertical="center"/>
    </xf>
    <xf numFmtId="181" fontId="0" fillId="0" borderId="37" xfId="6" applyNumberFormat="1" applyFont="1" applyBorder="1" applyAlignment="1">
      <alignment vertical="center"/>
    </xf>
    <xf numFmtId="181" fontId="0" fillId="0" borderId="12" xfId="6" applyNumberFormat="1" applyFont="1" applyBorder="1" applyAlignment="1">
      <alignment vertical="center"/>
    </xf>
    <xf numFmtId="0" fontId="4" fillId="0" borderId="15" xfId="5" applyBorder="1" applyAlignment="1">
      <alignment horizontal="center" vertical="center"/>
    </xf>
    <xf numFmtId="0" fontId="4" fillId="0" borderId="20" xfId="5" applyBorder="1" applyAlignment="1">
      <alignment horizontal="center" vertical="center"/>
    </xf>
    <xf numFmtId="41" fontId="0" fillId="0" borderId="20" xfId="6" applyFont="1" applyBorder="1">
      <alignment vertical="center"/>
    </xf>
    <xf numFmtId="181" fontId="0" fillId="0" borderId="42" xfId="6" applyNumberFormat="1" applyFont="1" applyBorder="1">
      <alignment vertical="center"/>
    </xf>
    <xf numFmtId="181" fontId="0" fillId="0" borderId="18" xfId="6" applyNumberFormat="1" applyFont="1" applyBorder="1">
      <alignment vertical="center"/>
    </xf>
    <xf numFmtId="0" fontId="4" fillId="0" borderId="16" xfId="5" applyBorder="1" applyAlignment="1">
      <alignment horizontal="center" vertical="center"/>
    </xf>
    <xf numFmtId="0" fontId="4" fillId="0" borderId="3" xfId="5" applyBorder="1" applyAlignment="1">
      <alignment horizontal="center" vertical="center"/>
    </xf>
    <xf numFmtId="41" fontId="0" fillId="0" borderId="3" xfId="6" applyFont="1" applyBorder="1">
      <alignment vertical="center"/>
    </xf>
    <xf numFmtId="181" fontId="0" fillId="0" borderId="4" xfId="6" applyNumberFormat="1" applyFont="1" applyBorder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7" fillId="0" borderId="31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176" fontId="14" fillId="0" borderId="31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20" fillId="0" borderId="29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12" fillId="0" borderId="55" xfId="3" applyNumberFormat="1" applyFont="1" applyFill="1" applyBorder="1" applyAlignment="1">
      <alignment vertical="center"/>
    </xf>
    <xf numFmtId="176" fontId="12" fillId="0" borderId="55" xfId="3" applyNumberFormat="1" applyFont="1" applyFill="1" applyBorder="1" applyAlignment="1">
      <alignment horizontal="right" vertical="center"/>
    </xf>
    <xf numFmtId="176" fontId="12" fillId="0" borderId="56" xfId="3" applyNumberFormat="1" applyFont="1" applyFill="1" applyBorder="1" applyAlignment="1">
      <alignment vertical="center"/>
    </xf>
    <xf numFmtId="0" fontId="12" fillId="0" borderId="55" xfId="3" applyFont="1" applyFill="1" applyBorder="1" applyAlignment="1">
      <alignment vertical="center"/>
    </xf>
    <xf numFmtId="0" fontId="15" fillId="0" borderId="34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14" xfId="3" applyFont="1" applyFill="1" applyBorder="1" applyAlignment="1">
      <alignment vertical="center"/>
    </xf>
    <xf numFmtId="0" fontId="14" fillId="0" borderId="31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38" fontId="12" fillId="0" borderId="34" xfId="3" applyNumberFormat="1" applyFont="1" applyFill="1" applyBorder="1" applyAlignment="1">
      <alignment vertical="center"/>
    </xf>
    <xf numFmtId="38" fontId="12" fillId="0" borderId="37" xfId="3" applyNumberFormat="1" applyFont="1" applyFill="1" applyBorder="1" applyAlignment="1">
      <alignment vertical="center"/>
    </xf>
    <xf numFmtId="38" fontId="12" fillId="0" borderId="35" xfId="3" applyNumberFormat="1" applyFont="1" applyFill="1" applyBorder="1" applyAlignment="1">
      <alignment vertical="center"/>
    </xf>
    <xf numFmtId="3" fontId="26" fillId="0" borderId="34" xfId="0" applyNumberFormat="1" applyFont="1" applyFill="1" applyBorder="1" applyAlignment="1">
      <alignment vertical="center"/>
    </xf>
    <xf numFmtId="3" fontId="26" fillId="0" borderId="37" xfId="0" applyNumberFormat="1" applyFont="1" applyFill="1" applyBorder="1" applyAlignment="1">
      <alignment vertical="center"/>
    </xf>
    <xf numFmtId="38" fontId="12" fillId="0" borderId="39" xfId="3" applyNumberFormat="1" applyFont="1" applyFill="1" applyBorder="1" applyAlignment="1">
      <alignment vertical="center"/>
    </xf>
    <xf numFmtId="0" fontId="12" fillId="0" borderId="31" xfId="3" applyFont="1" applyFill="1" applyBorder="1" applyAlignment="1">
      <alignment vertical="center"/>
    </xf>
    <xf numFmtId="41" fontId="14" fillId="0" borderId="27" xfId="0" applyNumberFormat="1" applyFont="1" applyFill="1" applyBorder="1" applyAlignment="1">
      <alignment vertical="center"/>
    </xf>
    <xf numFmtId="38" fontId="27" fillId="0" borderId="11" xfId="4" applyNumberFormat="1" applyFont="1" applyFill="1" applyBorder="1" applyAlignment="1">
      <alignment horizontal="center" vertical="center" wrapText="1"/>
    </xf>
    <xf numFmtId="38" fontId="14" fillId="0" borderId="8" xfId="3" applyNumberFormat="1" applyFont="1" applyFill="1" applyBorder="1" applyAlignment="1">
      <alignment vertical="center"/>
    </xf>
    <xf numFmtId="41" fontId="14" fillId="0" borderId="8" xfId="0" applyNumberFormat="1" applyFont="1" applyFill="1" applyBorder="1" applyAlignment="1">
      <alignment vertical="center"/>
    </xf>
    <xf numFmtId="9" fontId="14" fillId="0" borderId="8" xfId="3" applyNumberFormat="1" applyFont="1" applyFill="1" applyBorder="1" applyAlignment="1">
      <alignment horizontal="center" vertical="center"/>
    </xf>
    <xf numFmtId="0" fontId="14" fillId="0" borderId="10" xfId="3" applyFont="1" applyFill="1" applyBorder="1" applyAlignment="1">
      <alignment vertical="center"/>
    </xf>
    <xf numFmtId="0" fontId="14" fillId="0" borderId="45" xfId="3" applyFont="1" applyFill="1" applyBorder="1" applyAlignment="1">
      <alignment vertical="center"/>
    </xf>
    <xf numFmtId="176" fontId="14" fillId="0" borderId="45" xfId="3" applyNumberFormat="1" applyFont="1" applyFill="1" applyBorder="1" applyAlignment="1">
      <alignment vertical="center"/>
    </xf>
    <xf numFmtId="176" fontId="14" fillId="0" borderId="46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9" fontId="12" fillId="0" borderId="13" xfId="1" applyFont="1" applyFill="1" applyBorder="1" applyAlignment="1">
      <alignment horizontal="center" vertical="center"/>
    </xf>
    <xf numFmtId="176" fontId="12" fillId="0" borderId="20" xfId="0" applyNumberFormat="1" applyFont="1" applyFill="1" applyBorder="1" applyAlignment="1">
      <alignment vertical="center"/>
    </xf>
    <xf numFmtId="0" fontId="12" fillId="0" borderId="20" xfId="3" applyFont="1" applyFill="1" applyBorder="1" applyAlignment="1">
      <alignment horizontal="center" vertical="center" wrapText="1"/>
    </xf>
    <xf numFmtId="38" fontId="12" fillId="0" borderId="42" xfId="3" applyNumberFormat="1" applyFont="1" applyFill="1" applyBorder="1" applyAlignment="1">
      <alignment vertical="center"/>
    </xf>
    <xf numFmtId="38" fontId="12" fillId="0" borderId="20" xfId="3" applyNumberFormat="1" applyFont="1" applyFill="1" applyBorder="1" applyAlignment="1">
      <alignment vertical="center"/>
    </xf>
    <xf numFmtId="9" fontId="12" fillId="0" borderId="20" xfId="1" applyFont="1" applyFill="1" applyBorder="1" applyAlignment="1">
      <alignment horizontal="center" vertical="center"/>
    </xf>
    <xf numFmtId="0" fontId="14" fillId="0" borderId="55" xfId="3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vertical="center"/>
    </xf>
    <xf numFmtId="176" fontId="14" fillId="0" borderId="56" xfId="3" applyNumberFormat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31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8" fontId="25" fillId="0" borderId="1" xfId="3" applyNumberFormat="1" applyFont="1" applyFill="1" applyBorder="1" applyAlignment="1">
      <alignment vertical="center"/>
    </xf>
    <xf numFmtId="177" fontId="25" fillId="0" borderId="1" xfId="3" applyNumberFormat="1" applyFont="1" applyFill="1" applyBorder="1" applyAlignment="1">
      <alignment vertical="center"/>
    </xf>
    <xf numFmtId="9" fontId="25" fillId="0" borderId="1" xfId="3" applyNumberFormat="1" applyFont="1" applyFill="1" applyBorder="1" applyAlignment="1">
      <alignment horizontal="center" vertical="center"/>
    </xf>
    <xf numFmtId="176" fontId="27" fillId="0" borderId="0" xfId="4" applyNumberFormat="1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31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41" fontId="12" fillId="0" borderId="0" xfId="2" applyFont="1" applyFill="1" applyAlignment="1">
      <alignment vertical="center"/>
    </xf>
    <xf numFmtId="0" fontId="14" fillId="0" borderId="55" xfId="3" applyFont="1" applyFill="1" applyBorder="1" applyAlignment="1">
      <alignment horizontal="center" vertical="center"/>
    </xf>
    <xf numFmtId="38" fontId="25" fillId="0" borderId="1" xfId="3" applyNumberFormat="1" applyFont="1" applyFill="1" applyBorder="1" applyAlignment="1">
      <alignment vertical="center"/>
    </xf>
    <xf numFmtId="9" fontId="25" fillId="0" borderId="1" xfId="1" applyFont="1" applyFill="1" applyBorder="1" applyAlignment="1">
      <alignment horizontal="center" vertical="center"/>
    </xf>
    <xf numFmtId="0" fontId="14" fillId="0" borderId="33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38" fontId="12" fillId="0" borderId="8" xfId="3" applyNumberFormat="1" applyFont="1" applyFill="1" applyBorder="1" applyAlignment="1">
      <alignment vertical="center"/>
    </xf>
    <xf numFmtId="9" fontId="12" fillId="0" borderId="8" xfId="1" applyFont="1" applyFill="1" applyBorder="1" applyAlignment="1">
      <alignment horizontal="center" vertical="center"/>
    </xf>
    <xf numFmtId="0" fontId="3" fillId="0" borderId="15" xfId="5" applyFont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vertical="center"/>
    </xf>
    <xf numFmtId="0" fontId="14" fillId="0" borderId="55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vertical="center"/>
    </xf>
    <xf numFmtId="0" fontId="25" fillId="0" borderId="34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176" fontId="25" fillId="0" borderId="0" xfId="3" applyNumberFormat="1" applyFont="1" applyFill="1" applyBorder="1" applyAlignment="1">
      <alignment horizontal="right" vertical="center"/>
    </xf>
    <xf numFmtId="176" fontId="25" fillId="0" borderId="5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182" fontId="12" fillId="0" borderId="0" xfId="3" applyNumberFormat="1" applyFont="1" applyFill="1" applyBorder="1" applyAlignment="1">
      <alignment horizontal="center" vertical="center"/>
    </xf>
    <xf numFmtId="183" fontId="12" fillId="0" borderId="0" xfId="2" applyNumberFormat="1" applyFont="1" applyFill="1" applyBorder="1" applyAlignment="1">
      <alignment horizontal="center" vertical="center"/>
    </xf>
    <xf numFmtId="184" fontId="12" fillId="0" borderId="0" xfId="2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vertical="center"/>
    </xf>
    <xf numFmtId="185" fontId="12" fillId="0" borderId="0" xfId="3" applyNumberFormat="1" applyFont="1" applyFill="1" applyBorder="1" applyAlignment="1">
      <alignment horizontal="right" vertical="center"/>
    </xf>
    <xf numFmtId="178" fontId="12" fillId="0" borderId="0" xfId="2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horizontal="center" vertical="center"/>
    </xf>
    <xf numFmtId="9" fontId="12" fillId="0" borderId="0" xfId="3" applyNumberFormat="1" applyFont="1" applyFill="1" applyBorder="1" applyAlignment="1">
      <alignment horizontal="center" vertical="center"/>
    </xf>
    <xf numFmtId="187" fontId="12" fillId="0" borderId="0" xfId="2" applyNumberFormat="1" applyFont="1" applyFill="1" applyBorder="1" applyAlignment="1">
      <alignment horizontal="center" vertical="center"/>
    </xf>
    <xf numFmtId="178" fontId="12" fillId="0" borderId="0" xfId="3" applyNumberFormat="1" applyFont="1" applyFill="1" applyBorder="1" applyAlignment="1">
      <alignment horizontal="left" vertical="center"/>
    </xf>
    <xf numFmtId="0" fontId="12" fillId="0" borderId="35" xfId="3" applyFont="1" applyFill="1" applyBorder="1" applyAlignment="1">
      <alignment vertical="center"/>
    </xf>
    <xf numFmtId="0" fontId="12" fillId="0" borderId="34" xfId="3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80" fontId="12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3" fontId="12" fillId="0" borderId="0" xfId="3" applyNumberFormat="1" applyFont="1" applyFill="1" applyBorder="1" applyAlignment="1">
      <alignment vertical="center"/>
    </xf>
    <xf numFmtId="0" fontId="2" fillId="0" borderId="20" xfId="5" applyFont="1" applyBorder="1" applyAlignment="1">
      <alignment horizontal="center" vertical="center"/>
    </xf>
    <xf numFmtId="0" fontId="28" fillId="0" borderId="0" xfId="7" applyFont="1">
      <alignment vertical="center"/>
    </xf>
    <xf numFmtId="0" fontId="1" fillId="0" borderId="0" xfId="7">
      <alignment vertical="center"/>
    </xf>
    <xf numFmtId="0" fontId="30" fillId="0" borderId="0" xfId="7" applyFont="1" applyAlignment="1">
      <alignment horizontal="right"/>
    </xf>
    <xf numFmtId="41" fontId="0" fillId="0" borderId="11" xfId="9" applyFont="1" applyBorder="1" applyAlignment="1">
      <alignment vertical="center"/>
    </xf>
    <xf numFmtId="181" fontId="0" fillId="0" borderId="58" xfId="10" applyNumberFormat="1" applyFont="1" applyBorder="1" applyAlignment="1">
      <alignment vertical="center"/>
    </xf>
    <xf numFmtId="181" fontId="0" fillId="0" borderId="14" xfId="10" applyNumberFormat="1" applyFont="1" applyBorder="1" applyAlignment="1">
      <alignment vertical="center"/>
    </xf>
    <xf numFmtId="181" fontId="0" fillId="0" borderId="38" xfId="10" applyNumberFormat="1" applyFont="1" applyBorder="1" applyAlignment="1">
      <alignment vertical="center"/>
    </xf>
    <xf numFmtId="0" fontId="1" fillId="0" borderId="15" xfId="7" applyBorder="1" applyAlignment="1">
      <alignment horizontal="center" vertical="center"/>
    </xf>
    <xf numFmtId="0" fontId="1" fillId="0" borderId="20" xfId="7" applyBorder="1" applyAlignment="1">
      <alignment horizontal="center" vertical="center"/>
    </xf>
    <xf numFmtId="41" fontId="0" fillId="0" borderId="20" xfId="9" applyFont="1" applyBorder="1">
      <alignment vertical="center"/>
    </xf>
    <xf numFmtId="181" fontId="0" fillId="0" borderId="42" xfId="10" applyNumberFormat="1" applyFont="1" applyBorder="1">
      <alignment vertical="center"/>
    </xf>
    <xf numFmtId="181" fontId="0" fillId="0" borderId="20" xfId="10" applyNumberFormat="1" applyFont="1" applyBorder="1">
      <alignment vertical="center"/>
    </xf>
    <xf numFmtId="181" fontId="0" fillId="0" borderId="18" xfId="10" applyNumberFormat="1" applyFont="1" applyBorder="1" applyAlignment="1">
      <alignment horizontal="center" vertical="center"/>
    </xf>
    <xf numFmtId="181" fontId="0" fillId="0" borderId="56" xfId="10" applyNumberFormat="1" applyFont="1" applyBorder="1" applyAlignment="1">
      <alignment vertical="center" wrapText="1"/>
    </xf>
    <xf numFmtId="181" fontId="0" fillId="0" borderId="42" xfId="10" applyNumberFormat="1" applyFont="1" applyBorder="1" applyAlignment="1">
      <alignment vertical="center" wrapText="1"/>
    </xf>
    <xf numFmtId="181" fontId="0" fillId="0" borderId="56" xfId="10" applyNumberFormat="1" applyFont="1" applyBorder="1">
      <alignment vertical="center"/>
    </xf>
    <xf numFmtId="0" fontId="1" fillId="0" borderId="15" xfId="7" applyFont="1" applyBorder="1" applyAlignment="1">
      <alignment horizontal="center" vertical="center"/>
    </xf>
    <xf numFmtId="0" fontId="1" fillId="0" borderId="16" xfId="7" applyBorder="1" applyAlignment="1">
      <alignment horizontal="center" vertical="center"/>
    </xf>
    <xf numFmtId="0" fontId="1" fillId="0" borderId="3" xfId="7" applyBorder="1" applyAlignment="1">
      <alignment horizontal="center" vertical="center"/>
    </xf>
    <xf numFmtId="41" fontId="0" fillId="0" borderId="3" xfId="9" applyFont="1" applyBorder="1">
      <alignment vertical="center"/>
    </xf>
    <xf numFmtId="41" fontId="0" fillId="0" borderId="3" xfId="10" applyFont="1" applyBorder="1">
      <alignment vertical="center"/>
    </xf>
    <xf numFmtId="181" fontId="0" fillId="0" borderId="36" xfId="10" applyNumberFormat="1" applyFont="1" applyBorder="1">
      <alignment vertical="center"/>
    </xf>
    <xf numFmtId="0" fontId="31" fillId="0" borderId="44" xfId="5" applyFont="1" applyBorder="1" applyAlignment="1">
      <alignment horizontal="center" vertical="center"/>
    </xf>
    <xf numFmtId="0" fontId="31" fillId="0" borderId="8" xfId="5" applyFont="1" applyBorder="1" applyAlignment="1">
      <alignment horizontal="center" vertical="center"/>
    </xf>
    <xf numFmtId="0" fontId="31" fillId="0" borderId="10" xfId="5" applyFont="1" applyBorder="1" applyAlignment="1">
      <alignment horizontal="center" vertical="center"/>
    </xf>
    <xf numFmtId="0" fontId="31" fillId="0" borderId="9" xfId="5" applyFont="1" applyBorder="1" applyAlignment="1">
      <alignment horizontal="center" vertical="center"/>
    </xf>
    <xf numFmtId="0" fontId="31" fillId="0" borderId="15" xfId="5" applyFont="1" applyBorder="1" applyAlignment="1">
      <alignment horizontal="center" vertical="center"/>
    </xf>
    <xf numFmtId="0" fontId="31" fillId="0" borderId="20" xfId="5" applyFont="1" applyBorder="1" applyAlignment="1">
      <alignment horizontal="center" vertical="center"/>
    </xf>
    <xf numFmtId="0" fontId="31" fillId="0" borderId="49" xfId="5" applyFont="1" applyBorder="1" applyAlignment="1">
      <alignment horizontal="center" vertical="center"/>
    </xf>
    <xf numFmtId="0" fontId="31" fillId="0" borderId="50" xfId="5" applyFont="1" applyBorder="1" applyAlignment="1">
      <alignment horizontal="center" vertical="center"/>
    </xf>
    <xf numFmtId="0" fontId="31" fillId="0" borderId="20" xfId="5" applyFont="1" applyBorder="1" applyAlignment="1">
      <alignment horizontal="center" vertical="center" wrapText="1"/>
    </xf>
    <xf numFmtId="0" fontId="31" fillId="0" borderId="50" xfId="5" applyFont="1" applyBorder="1" applyAlignment="1">
      <alignment horizontal="center" vertical="center" wrapText="1"/>
    </xf>
    <xf numFmtId="0" fontId="31" fillId="0" borderId="42" xfId="5" applyFont="1" applyBorder="1" applyAlignment="1">
      <alignment horizontal="center" vertical="center"/>
    </xf>
    <xf numFmtId="0" fontId="31" fillId="0" borderId="51" xfId="5" applyFont="1" applyBorder="1" applyAlignment="1">
      <alignment horizontal="center" vertical="center"/>
    </xf>
    <xf numFmtId="0" fontId="31" fillId="0" borderId="18" xfId="5" applyFont="1" applyBorder="1" applyAlignment="1">
      <alignment horizontal="center" vertical="center"/>
    </xf>
    <xf numFmtId="0" fontId="31" fillId="0" borderId="52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4" fillId="0" borderId="33" xfId="5" applyBorder="1" applyAlignment="1">
      <alignment horizontal="center" vertical="center"/>
    </xf>
    <xf numFmtId="0" fontId="4" fillId="0" borderId="17" xfId="5" applyBorder="1" applyAlignment="1">
      <alignment horizontal="center" vertical="center"/>
    </xf>
    <xf numFmtId="0" fontId="4" fillId="0" borderId="53" xfId="5" applyBorder="1" applyAlignment="1">
      <alignment horizontal="center" vertical="center"/>
    </xf>
    <xf numFmtId="0" fontId="4" fillId="0" borderId="31" xfId="5" applyBorder="1" applyAlignment="1">
      <alignment horizontal="center" vertical="center"/>
    </xf>
    <xf numFmtId="0" fontId="4" fillId="0" borderId="25" xfId="5" applyBorder="1" applyAlignment="1">
      <alignment horizontal="center" vertical="center"/>
    </xf>
    <xf numFmtId="0" fontId="4" fillId="0" borderId="0" xfId="5" applyBorder="1" applyAlignment="1">
      <alignment horizontal="center" vertical="center"/>
    </xf>
    <xf numFmtId="0" fontId="4" fillId="0" borderId="47" xfId="5" applyBorder="1" applyAlignment="1">
      <alignment horizontal="center" vertical="center"/>
    </xf>
    <xf numFmtId="0" fontId="4" fillId="0" borderId="13" xfId="5" applyBorder="1" applyAlignment="1">
      <alignment horizontal="center" vertical="center"/>
    </xf>
    <xf numFmtId="0" fontId="4" fillId="0" borderId="11" xfId="5" applyBorder="1" applyAlignment="1">
      <alignment horizontal="center" vertical="center"/>
    </xf>
    <xf numFmtId="0" fontId="4" fillId="0" borderId="2" xfId="5" applyBorder="1" applyAlignment="1">
      <alignment horizontal="center" vertical="center"/>
    </xf>
    <xf numFmtId="0" fontId="4" fillId="0" borderId="15" xfId="5" applyBorder="1" applyAlignment="1">
      <alignment horizontal="center" vertical="center"/>
    </xf>
    <xf numFmtId="0" fontId="12" fillId="0" borderId="35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left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178" fontId="13" fillId="0" borderId="8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8" fontId="13" fillId="0" borderId="10" xfId="3" applyNumberFormat="1" applyFont="1" applyFill="1" applyBorder="1" applyAlignment="1">
      <alignment horizontal="center" vertical="center" wrapText="1"/>
    </xf>
    <xf numFmtId="178" fontId="13" fillId="0" borderId="45" xfId="3" applyNumberFormat="1" applyFont="1" applyFill="1" applyBorder="1" applyAlignment="1">
      <alignment horizontal="center" vertical="center" wrapText="1"/>
    </xf>
    <xf numFmtId="178" fontId="13" fillId="0" borderId="54" xfId="3" applyNumberFormat="1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22" xfId="3" applyFont="1" applyFill="1" applyBorder="1" applyAlignment="1">
      <alignment horizontal="center" vertical="center" wrapText="1"/>
    </xf>
    <xf numFmtId="0" fontId="12" fillId="0" borderId="48" xfId="3" applyFont="1" applyFill="1" applyBorder="1" applyAlignment="1">
      <alignment horizontal="center" vertical="center" wrapText="1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vertical="center"/>
    </xf>
    <xf numFmtId="0" fontId="14" fillId="0" borderId="55" xfId="3" applyFont="1" applyFill="1" applyBorder="1" applyAlignment="1">
      <alignment vertical="center"/>
    </xf>
    <xf numFmtId="0" fontId="12" fillId="0" borderId="41" xfId="3" applyFont="1" applyFill="1" applyBorder="1" applyAlignment="1">
      <alignment horizontal="center" vertical="center"/>
    </xf>
    <xf numFmtId="0" fontId="12" fillId="0" borderId="22" xfId="3" applyFont="1" applyFill="1" applyBorder="1" applyAlignment="1">
      <alignment horizontal="center" vertical="center"/>
    </xf>
    <xf numFmtId="0" fontId="12" fillId="0" borderId="24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40" xfId="3" applyFont="1" applyFill="1" applyBorder="1" applyAlignment="1">
      <alignment horizontal="center" vertical="center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0" fontId="14" fillId="0" borderId="44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42" xfId="3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/>
    </xf>
    <xf numFmtId="0" fontId="14" fillId="0" borderId="35" xfId="3" applyFont="1" applyFill="1" applyBorder="1" applyAlignment="1">
      <alignment horizontal="center" vertical="center" wrapText="1"/>
    </xf>
    <xf numFmtId="0" fontId="14" fillId="0" borderId="28" xfId="3" applyFont="1" applyFill="1" applyBorder="1" applyAlignment="1">
      <alignment horizontal="center" vertical="center" wrapText="1"/>
    </xf>
    <xf numFmtId="0" fontId="14" fillId="0" borderId="20" xfId="3" applyFont="1" applyFill="1" applyBorder="1" applyAlignment="1">
      <alignment horizontal="center" vertical="center" wrapText="1"/>
    </xf>
    <xf numFmtId="0" fontId="1" fillId="0" borderId="2" xfId="7" applyBorder="1" applyAlignment="1">
      <alignment horizontal="center" vertical="center"/>
    </xf>
    <xf numFmtId="0" fontId="1" fillId="0" borderId="33" xfId="7" applyBorder="1" applyAlignment="1">
      <alignment horizontal="center" vertical="center"/>
    </xf>
    <xf numFmtId="0" fontId="1" fillId="0" borderId="17" xfId="7" applyBorder="1" applyAlignment="1">
      <alignment horizontal="center" vertical="center"/>
    </xf>
    <xf numFmtId="0" fontId="1" fillId="0" borderId="53" xfId="7" applyBorder="1" applyAlignment="1">
      <alignment horizontal="center" vertical="center"/>
    </xf>
    <xf numFmtId="0" fontId="1" fillId="0" borderId="31" xfId="7" applyBorder="1" applyAlignment="1">
      <alignment horizontal="center" vertical="center"/>
    </xf>
    <xf numFmtId="0" fontId="1" fillId="0" borderId="25" xfId="7" applyBorder="1" applyAlignment="1">
      <alignment horizontal="center" vertical="center"/>
    </xf>
    <xf numFmtId="0" fontId="1" fillId="0" borderId="0" xfId="7" applyBorder="1" applyAlignment="1">
      <alignment horizontal="center" vertical="center"/>
    </xf>
    <xf numFmtId="0" fontId="1" fillId="0" borderId="47" xfId="7" applyBorder="1" applyAlignment="1">
      <alignment horizontal="center" vertical="center"/>
    </xf>
    <xf numFmtId="0" fontId="1" fillId="0" borderId="13" xfId="7" applyBorder="1" applyAlignment="1">
      <alignment horizontal="center" vertical="center"/>
    </xf>
    <xf numFmtId="0" fontId="31" fillId="0" borderId="18" xfId="7" applyFont="1" applyBorder="1" applyAlignment="1">
      <alignment horizontal="center" vertical="center"/>
    </xf>
    <xf numFmtId="0" fontId="31" fillId="0" borderId="52" xfId="7" applyFont="1" applyBorder="1" applyAlignment="1">
      <alignment horizontal="center" vertical="center"/>
    </xf>
    <xf numFmtId="0" fontId="1" fillId="0" borderId="11" xfId="7" applyBorder="1" applyAlignment="1">
      <alignment horizontal="center" vertical="center"/>
    </xf>
    <xf numFmtId="0" fontId="1" fillId="0" borderId="15" xfId="7" applyBorder="1" applyAlignment="1">
      <alignment horizontal="center" vertical="center"/>
    </xf>
    <xf numFmtId="0" fontId="31" fillId="0" borderId="44" xfId="7" applyFont="1" applyBorder="1" applyAlignment="1">
      <alignment horizontal="center" vertical="center"/>
    </xf>
    <xf numFmtId="0" fontId="31" fillId="0" borderId="8" xfId="7" applyFont="1" applyBorder="1" applyAlignment="1">
      <alignment horizontal="center" vertical="center"/>
    </xf>
    <xf numFmtId="0" fontId="31" fillId="0" borderId="10" xfId="7" applyFont="1" applyBorder="1" applyAlignment="1">
      <alignment horizontal="center" vertical="center"/>
    </xf>
    <xf numFmtId="0" fontId="31" fillId="0" borderId="9" xfId="7" applyFont="1" applyBorder="1" applyAlignment="1">
      <alignment horizontal="center" vertical="center"/>
    </xf>
    <xf numFmtId="0" fontId="31" fillId="0" borderId="15" xfId="7" applyFont="1" applyBorder="1" applyAlignment="1">
      <alignment horizontal="center" vertical="center"/>
    </xf>
    <xf numFmtId="0" fontId="31" fillId="0" borderId="20" xfId="7" applyFont="1" applyBorder="1" applyAlignment="1">
      <alignment horizontal="center" vertical="center"/>
    </xf>
    <xf numFmtId="0" fontId="31" fillId="0" borderId="49" xfId="7" applyFont="1" applyBorder="1" applyAlignment="1">
      <alignment horizontal="center" vertical="center"/>
    </xf>
    <xf numFmtId="0" fontId="31" fillId="0" borderId="50" xfId="7" applyFont="1" applyBorder="1" applyAlignment="1">
      <alignment horizontal="center" vertical="center"/>
    </xf>
    <xf numFmtId="0" fontId="31" fillId="0" borderId="20" xfId="8" applyFont="1" applyBorder="1" applyAlignment="1">
      <alignment horizontal="center" vertical="center" wrapText="1"/>
    </xf>
    <xf numFmtId="0" fontId="31" fillId="0" borderId="50" xfId="8" applyFont="1" applyBorder="1" applyAlignment="1">
      <alignment horizontal="center" vertical="center" wrapText="1"/>
    </xf>
    <xf numFmtId="0" fontId="31" fillId="0" borderId="1" xfId="7" applyFont="1" applyBorder="1" applyAlignment="1">
      <alignment horizontal="center" vertical="center" wrapText="1"/>
    </xf>
    <xf numFmtId="0" fontId="31" fillId="0" borderId="57" xfId="7" applyFont="1" applyBorder="1" applyAlignment="1">
      <alignment horizontal="center" vertical="center" wrapText="1"/>
    </xf>
    <xf numFmtId="0" fontId="31" fillId="0" borderId="42" xfId="7" applyFont="1" applyBorder="1" applyAlignment="1">
      <alignment horizontal="center" vertical="center"/>
    </xf>
    <xf numFmtId="0" fontId="31" fillId="0" borderId="51" xfId="7" applyFont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9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3" xfId="7"/>
    <cellStyle name="표준_2003경기장복예산안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2"/>
  <sheetViews>
    <sheetView tabSelected="1" topLeftCell="C8" workbookViewId="0">
      <selection activeCell="B17" sqref="B17:F22"/>
    </sheetView>
  </sheetViews>
  <sheetFormatPr defaultRowHeight="16.5"/>
  <cols>
    <col min="1" max="1" width="1.44140625" style="201" customWidth="1"/>
    <col min="2" max="2" width="11.5546875" style="201" bestFit="1" customWidth="1"/>
    <col min="3" max="3" width="13.33203125" style="201" bestFit="1" customWidth="1"/>
    <col min="4" max="5" width="15.44140625" style="201" bestFit="1" customWidth="1"/>
    <col min="6" max="6" width="14.21875" style="201" bestFit="1" customWidth="1"/>
    <col min="7" max="7" width="9.6640625" style="201" bestFit="1" customWidth="1"/>
    <col min="8" max="8" width="13.33203125" style="201" bestFit="1" customWidth="1"/>
    <col min="9" max="10" width="15.44140625" style="201" bestFit="1" customWidth="1"/>
    <col min="11" max="11" width="13.77734375" style="201" bestFit="1" customWidth="1"/>
    <col min="12" max="16384" width="8.88671875" style="201"/>
  </cols>
  <sheetData>
    <row r="1" spans="2:11" ht="9.9499999999999993" customHeight="1"/>
    <row r="2" spans="2:11" ht="26.25">
      <c r="B2" s="202" t="s">
        <v>129</v>
      </c>
      <c r="K2" s="203" t="s">
        <v>130</v>
      </c>
    </row>
    <row r="3" spans="2:11" ht="9.9499999999999993" customHeight="1" thickBot="1"/>
    <row r="4" spans="2:11" ht="30" customHeight="1">
      <c r="B4" s="380" t="s">
        <v>131</v>
      </c>
      <c r="C4" s="381"/>
      <c r="D4" s="381"/>
      <c r="E4" s="381"/>
      <c r="F4" s="382"/>
      <c r="G4" s="380" t="s">
        <v>132</v>
      </c>
      <c r="H4" s="381"/>
      <c r="I4" s="381"/>
      <c r="J4" s="381"/>
      <c r="K4" s="383"/>
    </row>
    <row r="5" spans="2:11" ht="16.5" customHeight="1">
      <c r="B5" s="384" t="s">
        <v>133</v>
      </c>
      <c r="C5" s="385"/>
      <c r="D5" s="388" t="s">
        <v>336</v>
      </c>
      <c r="E5" s="388" t="s">
        <v>335</v>
      </c>
      <c r="F5" s="390" t="s">
        <v>134</v>
      </c>
      <c r="G5" s="384" t="s">
        <v>133</v>
      </c>
      <c r="H5" s="385"/>
      <c r="I5" s="388" t="s">
        <v>336</v>
      </c>
      <c r="J5" s="388" t="s">
        <v>335</v>
      </c>
      <c r="K5" s="392" t="s">
        <v>134</v>
      </c>
    </row>
    <row r="6" spans="2:11" ht="22.5" customHeight="1" thickBot="1">
      <c r="B6" s="386"/>
      <c r="C6" s="387"/>
      <c r="D6" s="389"/>
      <c r="E6" s="389"/>
      <c r="F6" s="391"/>
      <c r="G6" s="386"/>
      <c r="H6" s="387"/>
      <c r="I6" s="389"/>
      <c r="J6" s="389"/>
      <c r="K6" s="393"/>
    </row>
    <row r="7" spans="2:11" ht="24.95" customHeight="1" thickTop="1">
      <c r="B7" s="396" t="s">
        <v>135</v>
      </c>
      <c r="C7" s="403"/>
      <c r="D7" s="204">
        <f>SUM(D8:D16)</f>
        <v>65309251</v>
      </c>
      <c r="E7" s="204">
        <f t="shared" ref="E7" si="0">SUM(E8:E16)</f>
        <v>62668581</v>
      </c>
      <c r="F7" s="205">
        <f>SUM(F8:F16)</f>
        <v>-2640670</v>
      </c>
      <c r="G7" s="396" t="s">
        <v>135</v>
      </c>
      <c r="H7" s="403"/>
      <c r="I7" s="204">
        <f>SUM(I8:I22)</f>
        <v>65309251</v>
      </c>
      <c r="J7" s="204">
        <f t="shared" ref="J7:K7" si="1">SUM(J8:J22)</f>
        <v>62668581</v>
      </c>
      <c r="K7" s="206">
        <f t="shared" si="1"/>
        <v>-2640670</v>
      </c>
    </row>
    <row r="8" spans="2:11" ht="24.95" customHeight="1">
      <c r="B8" s="207" t="s">
        <v>136</v>
      </c>
      <c r="C8" s="208" t="s">
        <v>137</v>
      </c>
      <c r="D8" s="209">
        <v>7200000</v>
      </c>
      <c r="E8" s="209">
        <v>7200000</v>
      </c>
      <c r="F8" s="210">
        <f>E8-D8</f>
        <v>0</v>
      </c>
      <c r="G8" s="404" t="s">
        <v>138</v>
      </c>
      <c r="H8" s="208" t="s">
        <v>139</v>
      </c>
      <c r="I8" s="209">
        <v>30237840</v>
      </c>
      <c r="J8" s="209">
        <v>30814000</v>
      </c>
      <c r="K8" s="211">
        <f>J8-I8</f>
        <v>576160</v>
      </c>
    </row>
    <row r="9" spans="2:11" ht="24.95" customHeight="1">
      <c r="B9" s="405" t="s">
        <v>140</v>
      </c>
      <c r="C9" s="208" t="s">
        <v>141</v>
      </c>
      <c r="D9" s="209">
        <v>50233000</v>
      </c>
      <c r="E9" s="209">
        <v>47033000</v>
      </c>
      <c r="F9" s="210">
        <f t="shared" ref="F9:F16" si="2">E9-D9</f>
        <v>-3200000</v>
      </c>
      <c r="G9" s="395"/>
      <c r="H9" s="208" t="s">
        <v>142</v>
      </c>
      <c r="I9" s="209">
        <v>90000</v>
      </c>
      <c r="J9" s="209">
        <v>60000</v>
      </c>
      <c r="K9" s="211">
        <f t="shared" ref="K9:K21" si="3">J9-I9</f>
        <v>-30000</v>
      </c>
    </row>
    <row r="10" spans="2:11" ht="24.95" customHeight="1">
      <c r="B10" s="405"/>
      <c r="C10" s="357" t="s">
        <v>143</v>
      </c>
      <c r="D10" s="209">
        <v>0</v>
      </c>
      <c r="E10" s="209">
        <v>0</v>
      </c>
      <c r="F10" s="210">
        <f t="shared" si="2"/>
        <v>0</v>
      </c>
      <c r="G10" s="396"/>
      <c r="H10" s="208" t="s">
        <v>144</v>
      </c>
      <c r="I10" s="209">
        <v>7654820</v>
      </c>
      <c r="J10" s="209">
        <v>8208500</v>
      </c>
      <c r="K10" s="211">
        <f t="shared" si="3"/>
        <v>553680</v>
      </c>
    </row>
    <row r="11" spans="2:11" ht="24.95" customHeight="1">
      <c r="B11" s="405"/>
      <c r="C11" s="357" t="s">
        <v>337</v>
      </c>
      <c r="D11" s="209">
        <v>0</v>
      </c>
      <c r="E11" s="209">
        <v>0</v>
      </c>
      <c r="F11" s="210">
        <f t="shared" si="2"/>
        <v>0</v>
      </c>
      <c r="G11" s="404" t="s">
        <v>145</v>
      </c>
      <c r="H11" s="208" t="s">
        <v>146</v>
      </c>
      <c r="I11" s="209">
        <v>0</v>
      </c>
      <c r="J11" s="209">
        <v>0</v>
      </c>
      <c r="K11" s="211">
        <f t="shared" si="3"/>
        <v>0</v>
      </c>
    </row>
    <row r="12" spans="2:11" ht="24.95" customHeight="1">
      <c r="B12" s="405" t="s">
        <v>147</v>
      </c>
      <c r="C12" s="208" t="s">
        <v>148</v>
      </c>
      <c r="D12" s="209">
        <v>0</v>
      </c>
      <c r="E12" s="209">
        <v>0</v>
      </c>
      <c r="F12" s="210">
        <f t="shared" si="2"/>
        <v>0</v>
      </c>
      <c r="G12" s="395"/>
      <c r="H12" s="208" t="s">
        <v>149</v>
      </c>
      <c r="I12" s="209">
        <v>3500000</v>
      </c>
      <c r="J12" s="209">
        <v>0</v>
      </c>
      <c r="K12" s="211">
        <f t="shared" si="3"/>
        <v>-3500000</v>
      </c>
    </row>
    <row r="13" spans="2:11" ht="24.95" customHeight="1">
      <c r="B13" s="405"/>
      <c r="C13" s="208" t="s">
        <v>150</v>
      </c>
      <c r="D13" s="209">
        <v>0</v>
      </c>
      <c r="E13" s="209">
        <v>0</v>
      </c>
      <c r="F13" s="210">
        <f t="shared" si="2"/>
        <v>0</v>
      </c>
      <c r="G13" s="396"/>
      <c r="H13" s="208" t="s">
        <v>151</v>
      </c>
      <c r="I13" s="209">
        <v>0</v>
      </c>
      <c r="J13" s="209">
        <v>0</v>
      </c>
      <c r="K13" s="211">
        <f t="shared" si="3"/>
        <v>0</v>
      </c>
    </row>
    <row r="14" spans="2:11" ht="24.95" customHeight="1">
      <c r="B14" s="207" t="s">
        <v>152</v>
      </c>
      <c r="C14" s="208" t="s">
        <v>153</v>
      </c>
      <c r="D14" s="209">
        <v>1647330</v>
      </c>
      <c r="E14" s="209">
        <v>3853330</v>
      </c>
      <c r="F14" s="210">
        <f t="shared" si="2"/>
        <v>2206000</v>
      </c>
      <c r="G14" s="394" t="s">
        <v>338</v>
      </c>
      <c r="H14" s="208" t="s">
        <v>154</v>
      </c>
      <c r="I14" s="209">
        <v>14870050</v>
      </c>
      <c r="J14" s="209">
        <v>11509830</v>
      </c>
      <c r="K14" s="211">
        <f t="shared" si="3"/>
        <v>-3360220</v>
      </c>
    </row>
    <row r="15" spans="2:11" ht="24.95" customHeight="1">
      <c r="B15" s="207" t="s">
        <v>155</v>
      </c>
      <c r="C15" s="208" t="s">
        <v>156</v>
      </c>
      <c r="D15" s="209">
        <v>6214921</v>
      </c>
      <c r="E15" s="209">
        <v>4565251</v>
      </c>
      <c r="F15" s="210">
        <f t="shared" si="2"/>
        <v>-1649670</v>
      </c>
      <c r="G15" s="395"/>
      <c r="H15" s="208" t="s">
        <v>157</v>
      </c>
      <c r="I15" s="209">
        <v>2418520</v>
      </c>
      <c r="J15" s="209">
        <v>2590000</v>
      </c>
      <c r="K15" s="211">
        <f t="shared" si="3"/>
        <v>171480</v>
      </c>
    </row>
    <row r="16" spans="2:11" ht="24.95" customHeight="1">
      <c r="B16" s="207" t="s">
        <v>158</v>
      </c>
      <c r="C16" s="208" t="s">
        <v>159</v>
      </c>
      <c r="D16" s="209">
        <v>14000</v>
      </c>
      <c r="E16" s="209">
        <v>17000</v>
      </c>
      <c r="F16" s="210">
        <f t="shared" si="2"/>
        <v>3000</v>
      </c>
      <c r="G16" s="395"/>
      <c r="H16" s="208" t="s">
        <v>160</v>
      </c>
      <c r="I16" s="209">
        <v>560000</v>
      </c>
      <c r="J16" s="209">
        <v>800000</v>
      </c>
      <c r="K16" s="211">
        <f t="shared" si="3"/>
        <v>240000</v>
      </c>
    </row>
    <row r="17" spans="2:11" ht="24.95" customHeight="1">
      <c r="B17" s="397"/>
      <c r="C17" s="398"/>
      <c r="D17" s="398"/>
      <c r="E17" s="398"/>
      <c r="F17" s="398"/>
      <c r="G17" s="395"/>
      <c r="H17" s="208" t="s">
        <v>161</v>
      </c>
      <c r="I17" s="209">
        <v>420000</v>
      </c>
      <c r="J17" s="209">
        <v>460000</v>
      </c>
      <c r="K17" s="211">
        <f t="shared" si="3"/>
        <v>40000</v>
      </c>
    </row>
    <row r="18" spans="2:11" ht="24.95" customHeight="1">
      <c r="B18" s="399"/>
      <c r="C18" s="400"/>
      <c r="D18" s="400"/>
      <c r="E18" s="400"/>
      <c r="F18" s="400"/>
      <c r="G18" s="395"/>
      <c r="H18" s="208" t="s">
        <v>162</v>
      </c>
      <c r="I18" s="209">
        <v>61040</v>
      </c>
      <c r="J18" s="209">
        <v>140000</v>
      </c>
      <c r="K18" s="211">
        <f t="shared" si="3"/>
        <v>78960</v>
      </c>
    </row>
    <row r="19" spans="2:11" ht="24.95" customHeight="1">
      <c r="B19" s="399"/>
      <c r="C19" s="400"/>
      <c r="D19" s="400"/>
      <c r="E19" s="400"/>
      <c r="F19" s="400"/>
      <c r="G19" s="396"/>
      <c r="H19" s="208" t="s">
        <v>163</v>
      </c>
      <c r="I19" s="209">
        <v>5487492</v>
      </c>
      <c r="J19" s="209">
        <v>8070000</v>
      </c>
      <c r="K19" s="211">
        <f t="shared" si="3"/>
        <v>2582508</v>
      </c>
    </row>
    <row r="20" spans="2:11" ht="24.95" customHeight="1">
      <c r="B20" s="399"/>
      <c r="C20" s="400"/>
      <c r="D20" s="400"/>
      <c r="E20" s="400"/>
      <c r="F20" s="400"/>
      <c r="G20" s="307" t="s">
        <v>224</v>
      </c>
      <c r="H20" s="208" t="s">
        <v>164</v>
      </c>
      <c r="I20" s="209">
        <v>4489</v>
      </c>
      <c r="J20" s="209">
        <v>7251</v>
      </c>
      <c r="K20" s="211">
        <f t="shared" si="3"/>
        <v>2762</v>
      </c>
    </row>
    <row r="21" spans="2:11" ht="24.95" customHeight="1">
      <c r="B21" s="399"/>
      <c r="C21" s="400"/>
      <c r="D21" s="400"/>
      <c r="E21" s="400"/>
      <c r="F21" s="400"/>
      <c r="G21" s="207" t="s">
        <v>165</v>
      </c>
      <c r="H21" s="208" t="s">
        <v>166</v>
      </c>
      <c r="I21" s="209">
        <v>0</v>
      </c>
      <c r="J21" s="209">
        <v>0</v>
      </c>
      <c r="K21" s="211">
        <f t="shared" si="3"/>
        <v>0</v>
      </c>
    </row>
    <row r="22" spans="2:11" ht="24.95" customHeight="1" thickBot="1">
      <c r="B22" s="401"/>
      <c r="C22" s="402"/>
      <c r="D22" s="402"/>
      <c r="E22" s="402"/>
      <c r="F22" s="402"/>
      <c r="G22" s="212" t="s">
        <v>167</v>
      </c>
      <c r="H22" s="213" t="s">
        <v>168</v>
      </c>
      <c r="I22" s="214">
        <v>5000</v>
      </c>
      <c r="J22" s="214">
        <v>9000</v>
      </c>
      <c r="K22" s="215">
        <f>J22-I22</f>
        <v>4000</v>
      </c>
    </row>
  </sheetData>
  <mergeCells count="18">
    <mergeCell ref="G14:G19"/>
    <mergeCell ref="B17:F22"/>
    <mergeCell ref="B7:C7"/>
    <mergeCell ref="G7:H7"/>
    <mergeCell ref="G8:G10"/>
    <mergeCell ref="B9:B11"/>
    <mergeCell ref="G11:G13"/>
    <mergeCell ref="B12:B13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45"/>
  <sheetViews>
    <sheetView zoomScale="85" zoomScaleNormal="85" zoomScaleSheetLayoutView="85" workbookViewId="0">
      <pane xSplit="4" ySplit="4" topLeftCell="E11" activePane="bottomRight" state="frozen"/>
      <selection pane="topRight" activeCell="E1" sqref="E1"/>
      <selection pane="bottomLeft" activeCell="A5" sqref="A5"/>
      <selection pane="bottomRight" activeCell="K18" sqref="K18"/>
    </sheetView>
  </sheetViews>
  <sheetFormatPr defaultColWidth="13.77734375" defaultRowHeight="19.5" customHeight="1"/>
  <cols>
    <col min="1" max="2" width="5.6640625" style="8" bestFit="1" customWidth="1"/>
    <col min="3" max="3" width="5.88671875" style="8" bestFit="1" customWidth="1"/>
    <col min="4" max="4" width="7.88671875" style="10" customWidth="1"/>
    <col min="5" max="7" width="8" style="10" bestFit="1" customWidth="1"/>
    <col min="8" max="8" width="6.109375" style="10" bestFit="1" customWidth="1"/>
    <col min="9" max="9" width="6.88671875" style="10" bestFit="1" customWidth="1"/>
    <col min="10" max="10" width="6.109375" style="10" bestFit="1" customWidth="1"/>
    <col min="11" max="11" width="7.44140625" style="11" customWidth="1"/>
    <col min="12" max="12" width="6" style="13" customWidth="1"/>
    <col min="13" max="13" width="16.109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1.33203125" style="2" bestFit="1" customWidth="1"/>
    <col min="29" max="29" width="2.77734375" style="2" customWidth="1"/>
    <col min="30" max="30" width="13.77734375" style="6"/>
    <col min="31" max="16384" width="13.77734375" style="1"/>
  </cols>
  <sheetData>
    <row r="1" spans="1:31" s="12" customFormat="1" ht="19.5" customHeight="1" thickBot="1">
      <c r="A1" s="413" t="s">
        <v>320</v>
      </c>
      <c r="B1" s="413"/>
      <c r="C1" s="413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1" s="3" customFormat="1" ht="27" customHeight="1">
      <c r="A2" s="414" t="s">
        <v>71</v>
      </c>
      <c r="B2" s="415"/>
      <c r="C2" s="415"/>
      <c r="D2" s="416" t="s">
        <v>318</v>
      </c>
      <c r="E2" s="418" t="s">
        <v>319</v>
      </c>
      <c r="F2" s="419"/>
      <c r="G2" s="419"/>
      <c r="H2" s="419"/>
      <c r="I2" s="419"/>
      <c r="J2" s="420"/>
      <c r="K2" s="409" t="s">
        <v>24</v>
      </c>
      <c r="L2" s="409"/>
      <c r="M2" s="409" t="s">
        <v>58</v>
      </c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10"/>
      <c r="AD2" s="9"/>
    </row>
    <row r="3" spans="1:31" s="3" customFormat="1" ht="32.25" customHeight="1" thickBot="1">
      <c r="A3" s="25" t="s">
        <v>1</v>
      </c>
      <c r="B3" s="26" t="s">
        <v>2</v>
      </c>
      <c r="C3" s="26" t="s">
        <v>3</v>
      </c>
      <c r="D3" s="417"/>
      <c r="E3" s="228" t="s">
        <v>188</v>
      </c>
      <c r="F3" s="309" t="s">
        <v>225</v>
      </c>
      <c r="G3" s="312" t="s">
        <v>240</v>
      </c>
      <c r="H3" s="228" t="s">
        <v>173</v>
      </c>
      <c r="I3" s="228" t="s">
        <v>176</v>
      </c>
      <c r="J3" s="228" t="s">
        <v>174</v>
      </c>
      <c r="K3" s="242" t="s">
        <v>189</v>
      </c>
      <c r="L3" s="27" t="s">
        <v>4</v>
      </c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2"/>
      <c r="AD3" s="9"/>
    </row>
    <row r="4" spans="1:31" s="3" customFormat="1" ht="19.5" customHeight="1">
      <c r="A4" s="421" t="s">
        <v>25</v>
      </c>
      <c r="B4" s="422"/>
      <c r="C4" s="423"/>
      <c r="D4" s="28">
        <f t="shared" ref="D4:J4" si="0">D5+D7+D14+D18+D26</f>
        <v>65308</v>
      </c>
      <c r="E4" s="28">
        <f>E5+E7+E14+E18+E26</f>
        <v>62668.33</v>
      </c>
      <c r="F4" s="28">
        <f t="shared" si="0"/>
        <v>45854</v>
      </c>
      <c r="G4" s="28">
        <f t="shared" si="0"/>
        <v>1200</v>
      </c>
      <c r="H4" s="28">
        <f t="shared" si="0"/>
        <v>11761</v>
      </c>
      <c r="I4" s="28">
        <f t="shared" si="0"/>
        <v>3853.33</v>
      </c>
      <c r="J4" s="28">
        <f t="shared" si="0"/>
        <v>0</v>
      </c>
      <c r="K4" s="29">
        <f>E4-D4</f>
        <v>-2639.6699999999983</v>
      </c>
      <c r="L4" s="30"/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3">
        <f>AB5+AB7+AB14+AB18+AB24+AB26</f>
        <v>62668581</v>
      </c>
      <c r="AC4" s="34"/>
      <c r="AD4" s="9"/>
    </row>
    <row r="5" spans="1:31" ht="21" customHeight="1" thickBot="1">
      <c r="A5" s="44" t="s">
        <v>63</v>
      </c>
      <c r="B5" s="45" t="s">
        <v>63</v>
      </c>
      <c r="C5" s="229" t="s">
        <v>187</v>
      </c>
      <c r="D5" s="46">
        <v>7200</v>
      </c>
      <c r="E5" s="46">
        <f>SUM(F5:J5)</f>
        <v>7200</v>
      </c>
      <c r="F5" s="46">
        <v>0</v>
      </c>
      <c r="G5" s="46">
        <v>0</v>
      </c>
      <c r="H5" s="46">
        <f>AB5/1000</f>
        <v>7200</v>
      </c>
      <c r="I5" s="46">
        <v>0</v>
      </c>
      <c r="J5" s="46">
        <v>0</v>
      </c>
      <c r="K5" s="47">
        <f>E5-D5</f>
        <v>0</v>
      </c>
      <c r="L5" s="48">
        <f>IF(D5=0,0,K5/D5)</f>
        <v>0</v>
      </c>
      <c r="M5" s="49" t="s">
        <v>66</v>
      </c>
      <c r="N5" s="226"/>
      <c r="O5" s="50"/>
      <c r="P5" s="50"/>
      <c r="Q5" s="50"/>
      <c r="R5" s="50"/>
      <c r="S5" s="50"/>
      <c r="T5" s="51"/>
      <c r="U5" s="51" t="s">
        <v>67</v>
      </c>
      <c r="V5" s="51"/>
      <c r="W5" s="51"/>
      <c r="X5" s="51"/>
      <c r="Y5" s="51"/>
      <c r="Z5" s="51"/>
      <c r="AA5" s="52"/>
      <c r="AB5" s="52">
        <f>AB6</f>
        <v>7200000</v>
      </c>
      <c r="AC5" s="53" t="s">
        <v>26</v>
      </c>
    </row>
    <row r="6" spans="1:31" ht="21" customHeight="1">
      <c r="A6" s="54" t="s">
        <v>64</v>
      </c>
      <c r="B6" s="55" t="s">
        <v>175</v>
      </c>
      <c r="C6" s="56" t="s">
        <v>175</v>
      </c>
      <c r="D6" s="57"/>
      <c r="E6" s="57"/>
      <c r="F6" s="57"/>
      <c r="G6" s="57"/>
      <c r="H6" s="57"/>
      <c r="I6" s="57"/>
      <c r="J6" s="57"/>
      <c r="K6" s="58"/>
      <c r="L6" s="40"/>
      <c r="M6" s="63" t="s">
        <v>69</v>
      </c>
      <c r="N6" s="64"/>
      <c r="O6" s="65"/>
      <c r="P6" s="65"/>
      <c r="Q6" s="231">
        <v>150000</v>
      </c>
      <c r="R6" s="231" t="s">
        <v>60</v>
      </c>
      <c r="S6" s="232" t="s">
        <v>61</v>
      </c>
      <c r="T6" s="231">
        <v>4</v>
      </c>
      <c r="U6" s="231" t="s">
        <v>59</v>
      </c>
      <c r="V6" s="232" t="s">
        <v>61</v>
      </c>
      <c r="W6" s="66">
        <v>12</v>
      </c>
      <c r="X6" s="227" t="s">
        <v>0</v>
      </c>
      <c r="Y6" s="227" t="s">
        <v>56</v>
      </c>
      <c r="Z6" s="227"/>
      <c r="AA6" s="231"/>
      <c r="AB6" s="231">
        <f>Q6*T6*W6</f>
        <v>7200000</v>
      </c>
      <c r="AC6" s="68" t="s">
        <v>60</v>
      </c>
    </row>
    <row r="7" spans="1:31" s="12" customFormat="1" ht="19.5" customHeight="1">
      <c r="A7" s="44" t="s">
        <v>31</v>
      </c>
      <c r="B7" s="406" t="s">
        <v>17</v>
      </c>
      <c r="C7" s="407"/>
      <c r="D7" s="285">
        <f>D8</f>
        <v>50233</v>
      </c>
      <c r="E7" s="285">
        <f t="shared" ref="E7:J7" si="1">E8</f>
        <v>47033</v>
      </c>
      <c r="F7" s="285">
        <f t="shared" si="1"/>
        <v>45833</v>
      </c>
      <c r="G7" s="285">
        <f t="shared" si="1"/>
        <v>1200</v>
      </c>
      <c r="H7" s="285">
        <f t="shared" si="1"/>
        <v>0</v>
      </c>
      <c r="I7" s="285">
        <f t="shared" si="1"/>
        <v>0</v>
      </c>
      <c r="J7" s="285">
        <f t="shared" si="1"/>
        <v>0</v>
      </c>
      <c r="K7" s="286">
        <f>E7-D7</f>
        <v>-3200</v>
      </c>
      <c r="L7" s="287">
        <f>IF(D7=0,0,K7/D7)</f>
        <v>-6.3703143351979769E-2</v>
      </c>
      <c r="M7" s="71" t="s">
        <v>72</v>
      </c>
      <c r="N7" s="51"/>
      <c r="O7" s="72"/>
      <c r="P7" s="72"/>
      <c r="Q7" s="51"/>
      <c r="R7" s="51"/>
      <c r="S7" s="51"/>
      <c r="T7" s="51"/>
      <c r="U7" s="51"/>
      <c r="V7" s="73"/>
      <c r="W7" s="73"/>
      <c r="X7" s="73"/>
      <c r="Y7" s="73"/>
      <c r="Z7" s="73"/>
      <c r="AA7" s="73"/>
      <c r="AB7" s="51">
        <v>47033000</v>
      </c>
      <c r="AC7" s="53" t="s">
        <v>26</v>
      </c>
      <c r="AD7" s="6"/>
    </row>
    <row r="8" spans="1:31" ht="21" customHeight="1" thickBot="1">
      <c r="A8" s="54"/>
      <c r="B8" s="45" t="s">
        <v>74</v>
      </c>
      <c r="C8" s="45" t="s">
        <v>75</v>
      </c>
      <c r="D8" s="46">
        <f>D9</f>
        <v>50233</v>
      </c>
      <c r="E8" s="46">
        <f t="shared" ref="E8:J8" si="2">E9</f>
        <v>47033</v>
      </c>
      <c r="F8" s="46">
        <f t="shared" si="2"/>
        <v>45833</v>
      </c>
      <c r="G8" s="46">
        <f t="shared" si="2"/>
        <v>1200</v>
      </c>
      <c r="H8" s="46">
        <f t="shared" si="2"/>
        <v>0</v>
      </c>
      <c r="I8" s="46">
        <f t="shared" si="2"/>
        <v>0</v>
      </c>
      <c r="J8" s="46">
        <f t="shared" si="2"/>
        <v>0</v>
      </c>
      <c r="K8" s="47">
        <f>E8-D8</f>
        <v>-3200</v>
      </c>
      <c r="L8" s="48">
        <f>IF(D8=0,0,K8/D8)</f>
        <v>-6.3703143351979769E-2</v>
      </c>
      <c r="M8" s="75" t="s">
        <v>76</v>
      </c>
      <c r="N8" s="76"/>
      <c r="O8" s="77"/>
      <c r="P8" s="77"/>
      <c r="Q8" s="77"/>
      <c r="R8" s="77"/>
      <c r="S8" s="77"/>
      <c r="T8" s="78"/>
      <c r="U8" s="79" t="s">
        <v>77</v>
      </c>
      <c r="V8" s="79"/>
      <c r="W8" s="79"/>
      <c r="X8" s="79"/>
      <c r="Y8" s="79"/>
      <c r="Z8" s="79"/>
      <c r="AA8" s="80"/>
      <c r="AB8" s="80">
        <v>47033000</v>
      </c>
      <c r="AC8" s="81" t="s">
        <v>73</v>
      </c>
    </row>
    <row r="9" spans="1:31" ht="21" customHeight="1" thickBot="1">
      <c r="A9" s="54"/>
      <c r="B9" s="55" t="s">
        <v>78</v>
      </c>
      <c r="C9" s="45" t="s">
        <v>225</v>
      </c>
      <c r="D9" s="46">
        <v>50233</v>
      </c>
      <c r="E9" s="46">
        <f>AB9/1000</f>
        <v>47033</v>
      </c>
      <c r="F9" s="46">
        <f>AB10/1000</f>
        <v>45833</v>
      </c>
      <c r="G9" s="46">
        <f>SUM(AB11:AB12)/1000</f>
        <v>1200</v>
      </c>
      <c r="H9" s="46">
        <v>0</v>
      </c>
      <c r="I9" s="46">
        <v>0</v>
      </c>
      <c r="J9" s="46">
        <v>0</v>
      </c>
      <c r="K9" s="47">
        <f>E9-D9</f>
        <v>-3200</v>
      </c>
      <c r="L9" s="48">
        <f>IF(D9=0,0,K9/D9)</f>
        <v>-6.3703143351979769E-2</v>
      </c>
      <c r="M9" s="234" t="s">
        <v>226</v>
      </c>
      <c r="N9" s="108"/>
      <c r="O9" s="235"/>
      <c r="P9" s="235"/>
      <c r="Q9" s="109"/>
      <c r="R9" s="109"/>
      <c r="S9" s="109"/>
      <c r="T9" s="110"/>
      <c r="U9" s="111" t="s">
        <v>79</v>
      </c>
      <c r="V9" s="111"/>
      <c r="W9" s="111"/>
      <c r="X9" s="111"/>
      <c r="Y9" s="111"/>
      <c r="Z9" s="111"/>
      <c r="AA9" s="112"/>
      <c r="AB9" s="112">
        <f>SUM(AB10:AB12)</f>
        <v>47033000</v>
      </c>
      <c r="AC9" s="113" t="s">
        <v>26</v>
      </c>
    </row>
    <row r="10" spans="1:31" ht="21" customHeight="1">
      <c r="A10" s="54"/>
      <c r="B10" s="55"/>
      <c r="C10" s="55"/>
      <c r="D10" s="57"/>
      <c r="E10" s="57"/>
      <c r="F10" s="57"/>
      <c r="G10" s="57"/>
      <c r="H10" s="57"/>
      <c r="I10" s="57"/>
      <c r="J10" s="57"/>
      <c r="K10" s="58"/>
      <c r="L10" s="40"/>
      <c r="M10" s="320" t="s">
        <v>227</v>
      </c>
      <c r="N10" s="318"/>
      <c r="O10" s="319"/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  <c r="AA10" s="321"/>
      <c r="AB10" s="322">
        <v>45833000</v>
      </c>
      <c r="AC10" s="323" t="s">
        <v>229</v>
      </c>
    </row>
    <row r="11" spans="1:31" ht="21" customHeight="1">
      <c r="A11" s="54"/>
      <c r="B11" s="55"/>
      <c r="C11" s="55"/>
      <c r="D11" s="57"/>
      <c r="E11" s="57"/>
      <c r="F11" s="57"/>
      <c r="G11" s="57"/>
      <c r="H11" s="57"/>
      <c r="I11" s="57"/>
      <c r="J11" s="57"/>
      <c r="K11" s="58"/>
      <c r="L11" s="40"/>
      <c r="M11" s="320" t="s">
        <v>230</v>
      </c>
      <c r="N11" s="318"/>
      <c r="O11" s="319"/>
      <c r="P11" s="319"/>
      <c r="Q11" s="310">
        <v>100000</v>
      </c>
      <c r="R11" s="310" t="s">
        <v>60</v>
      </c>
      <c r="S11" s="311" t="s">
        <v>61</v>
      </c>
      <c r="T11" s="310">
        <v>1</v>
      </c>
      <c r="U11" s="310" t="s">
        <v>59</v>
      </c>
      <c r="V11" s="311" t="s">
        <v>61</v>
      </c>
      <c r="W11" s="310">
        <v>12</v>
      </c>
      <c r="X11" s="310" t="s">
        <v>0</v>
      </c>
      <c r="Y11" s="310" t="s">
        <v>56</v>
      </c>
      <c r="Z11" s="310"/>
      <c r="AA11" s="89"/>
      <c r="AB11" s="89">
        <f>ROUNDUP(Q11*T11*W11,-3)</f>
        <v>1200000</v>
      </c>
      <c r="AC11" s="68" t="s">
        <v>60</v>
      </c>
    </row>
    <row r="12" spans="1:31" ht="21" customHeight="1">
      <c r="A12" s="54"/>
      <c r="B12" s="55"/>
      <c r="C12" s="55"/>
      <c r="D12" s="57"/>
      <c r="E12" s="57"/>
      <c r="F12" s="57"/>
      <c r="G12" s="57"/>
      <c r="H12" s="57"/>
      <c r="I12" s="57"/>
      <c r="J12" s="57"/>
      <c r="K12" s="58"/>
      <c r="L12" s="40"/>
      <c r="M12" s="320" t="s">
        <v>231</v>
      </c>
      <c r="N12" s="324"/>
      <c r="O12" s="325"/>
      <c r="P12" s="325"/>
      <c r="Q12" s="310"/>
      <c r="R12" s="310"/>
      <c r="S12" s="311"/>
      <c r="T12" s="310"/>
      <c r="U12" s="310"/>
      <c r="V12" s="311"/>
      <c r="W12" s="310"/>
      <c r="X12" s="310"/>
      <c r="Y12" s="310"/>
      <c r="Z12" s="310"/>
      <c r="AA12" s="89"/>
      <c r="AB12" s="89">
        <v>0</v>
      </c>
      <c r="AC12" s="68" t="s">
        <v>228</v>
      </c>
    </row>
    <row r="13" spans="1:31" s="12" customFormat="1" ht="19.5" customHeight="1">
      <c r="A13" s="69"/>
      <c r="B13" s="70"/>
      <c r="C13" s="55"/>
      <c r="D13" s="57"/>
      <c r="E13" s="57"/>
      <c r="F13" s="57"/>
      <c r="G13" s="57"/>
      <c r="H13" s="57"/>
      <c r="I13" s="57"/>
      <c r="J13" s="57"/>
      <c r="K13" s="58"/>
      <c r="L13" s="92"/>
      <c r="M13" s="93"/>
      <c r="N13" s="106"/>
      <c r="O13" s="115"/>
      <c r="P13" s="115"/>
      <c r="Q13" s="106"/>
      <c r="R13" s="106"/>
      <c r="S13" s="106"/>
      <c r="T13" s="106"/>
      <c r="U13" s="106"/>
      <c r="V13" s="107"/>
      <c r="W13" s="107"/>
      <c r="X13" s="107"/>
      <c r="Y13" s="107"/>
      <c r="Z13" s="107"/>
      <c r="AA13" s="107"/>
      <c r="AB13" s="106"/>
      <c r="AC13" s="95"/>
      <c r="AD13" s="6"/>
    </row>
    <row r="14" spans="1:31" ht="21" customHeight="1" thickBot="1">
      <c r="A14" s="44" t="s">
        <v>84</v>
      </c>
      <c r="B14" s="45" t="s">
        <v>13</v>
      </c>
      <c r="C14" s="45" t="s">
        <v>181</v>
      </c>
      <c r="D14" s="46">
        <v>1647</v>
      </c>
      <c r="E14" s="46">
        <f>SUM(F14:J14)</f>
        <v>3853.33</v>
      </c>
      <c r="F14" s="46">
        <v>0</v>
      </c>
      <c r="G14" s="46">
        <v>0</v>
      </c>
      <c r="H14" s="46">
        <v>0</v>
      </c>
      <c r="I14" s="46">
        <f>AB14/1000</f>
        <v>3853.33</v>
      </c>
      <c r="J14" s="46">
        <v>0</v>
      </c>
      <c r="K14" s="47">
        <f>E14-D14</f>
        <v>2206.33</v>
      </c>
      <c r="L14" s="48">
        <f>IF(D14=0,0,K14/D14)</f>
        <v>1.339605343047966</v>
      </c>
      <c r="M14" s="49" t="s">
        <v>32</v>
      </c>
      <c r="N14" s="122"/>
      <c r="O14" s="38"/>
      <c r="P14" s="38"/>
      <c r="Q14" s="38"/>
      <c r="R14" s="38"/>
      <c r="S14" s="38"/>
      <c r="T14" s="38"/>
      <c r="U14" s="123" t="s">
        <v>79</v>
      </c>
      <c r="V14" s="123"/>
      <c r="W14" s="123"/>
      <c r="X14" s="123"/>
      <c r="Y14" s="123"/>
      <c r="Z14" s="123"/>
      <c r="AA14" s="124"/>
      <c r="AB14" s="124">
        <f>SUM(AB15:AB16)</f>
        <v>3853330</v>
      </c>
      <c r="AC14" s="125" t="s">
        <v>26</v>
      </c>
      <c r="AD14" s="23"/>
      <c r="AE14" s="24"/>
    </row>
    <row r="15" spans="1:31" ht="21" customHeight="1">
      <c r="A15" s="54"/>
      <c r="B15" s="55"/>
      <c r="C15" s="55" t="s">
        <v>182</v>
      </c>
      <c r="D15" s="57"/>
      <c r="E15" s="57"/>
      <c r="F15" s="57"/>
      <c r="G15" s="57"/>
      <c r="H15" s="57"/>
      <c r="I15" s="57"/>
      <c r="J15" s="57"/>
      <c r="K15" s="58"/>
      <c r="L15" s="36"/>
      <c r="M15" s="311" t="s">
        <v>232</v>
      </c>
      <c r="N15" s="342" t="s">
        <v>298</v>
      </c>
      <c r="O15" s="310"/>
      <c r="P15" s="310"/>
      <c r="Q15" s="90">
        <v>1652000</v>
      </c>
      <c r="R15" s="91" t="s">
        <v>233</v>
      </c>
      <c r="S15" s="326">
        <v>25</v>
      </c>
      <c r="T15" s="96" t="s">
        <v>233</v>
      </c>
      <c r="U15" s="327">
        <v>12</v>
      </c>
      <c r="V15" s="328">
        <v>1.5</v>
      </c>
      <c r="W15" s="308" t="s">
        <v>234</v>
      </c>
      <c r="X15" s="308">
        <v>209</v>
      </c>
      <c r="Y15" s="308" t="s">
        <v>235</v>
      </c>
      <c r="Z15" s="310"/>
      <c r="AA15" s="89"/>
      <c r="AB15" s="89">
        <f>ROUNDDOWN(Q15*S15*V15/X15,-1)*U15</f>
        <v>3556920</v>
      </c>
      <c r="AC15" s="68" t="s">
        <v>236</v>
      </c>
      <c r="AD15" s="23"/>
      <c r="AE15" s="24"/>
    </row>
    <row r="16" spans="1:31" ht="21" customHeight="1">
      <c r="A16" s="54"/>
      <c r="B16" s="55"/>
      <c r="C16" s="55"/>
      <c r="D16" s="57"/>
      <c r="E16" s="57"/>
      <c r="F16" s="57"/>
      <c r="G16" s="57"/>
      <c r="H16" s="57"/>
      <c r="I16" s="57"/>
      <c r="J16" s="57"/>
      <c r="K16" s="58"/>
      <c r="L16" s="36"/>
      <c r="M16" s="349" t="s">
        <v>314</v>
      </c>
      <c r="N16" s="349" t="s">
        <v>315</v>
      </c>
      <c r="O16" s="348"/>
      <c r="P16" s="348"/>
      <c r="Q16" s="90">
        <v>3556920</v>
      </c>
      <c r="R16" s="91" t="s">
        <v>61</v>
      </c>
      <c r="S16" s="326">
        <v>1</v>
      </c>
      <c r="T16" s="96" t="s">
        <v>61</v>
      </c>
      <c r="U16" s="327">
        <v>1</v>
      </c>
      <c r="V16" s="328">
        <v>1</v>
      </c>
      <c r="W16" s="308" t="s">
        <v>81</v>
      </c>
      <c r="X16" s="308">
        <v>12</v>
      </c>
      <c r="Y16" s="308" t="s">
        <v>316</v>
      </c>
      <c r="Z16" s="348"/>
      <c r="AA16" s="89"/>
      <c r="AB16" s="89">
        <f>ROUNDDOWN(Q16*S16*V16/X16,-1)*U16</f>
        <v>296410</v>
      </c>
      <c r="AC16" s="68" t="s">
        <v>317</v>
      </c>
      <c r="AD16" s="23"/>
      <c r="AE16" s="24"/>
    </row>
    <row r="17" spans="1:30" s="4" customFormat="1" ht="21" customHeight="1">
      <c r="A17" s="54"/>
      <c r="B17" s="55"/>
      <c r="C17" s="55"/>
      <c r="D17" s="57"/>
      <c r="E17" s="57"/>
      <c r="F17" s="57"/>
      <c r="G17" s="57"/>
      <c r="H17" s="57"/>
      <c r="I17" s="57"/>
      <c r="J17" s="57"/>
      <c r="K17" s="58"/>
      <c r="L17" s="92"/>
      <c r="M17" s="349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295"/>
      <c r="AA17" s="60"/>
      <c r="AB17" s="350"/>
      <c r="AC17" s="68"/>
      <c r="AD17" s="7"/>
    </row>
    <row r="18" spans="1:30" ht="21" customHeight="1" thickBot="1">
      <c r="A18" s="44" t="s">
        <v>14</v>
      </c>
      <c r="B18" s="45" t="s">
        <v>14</v>
      </c>
      <c r="C18" s="45" t="s">
        <v>85</v>
      </c>
      <c r="D18" s="46">
        <v>6214</v>
      </c>
      <c r="E18" s="46">
        <f>SUM(F18:J18)</f>
        <v>4565</v>
      </c>
      <c r="F18" s="46">
        <f>ROUND(SUM(AB20),-3)/1000</f>
        <v>7</v>
      </c>
      <c r="G18" s="46">
        <v>0</v>
      </c>
      <c r="H18" s="46">
        <f>AB21/1000</f>
        <v>4558</v>
      </c>
      <c r="I18" s="46">
        <v>0</v>
      </c>
      <c r="J18" s="46">
        <f>ROUND(SUM(AB23:AB23),-3)/1000</f>
        <v>0</v>
      </c>
      <c r="K18" s="47">
        <f>E18-D18</f>
        <v>-1649</v>
      </c>
      <c r="L18" s="48">
        <f>IF(D18=0,0,K18/D18)</f>
        <v>-0.26536852269069844</v>
      </c>
      <c r="M18" s="49" t="s">
        <v>339</v>
      </c>
      <c r="N18" s="122"/>
      <c r="O18" s="51"/>
      <c r="P18" s="51"/>
      <c r="Q18" s="51"/>
      <c r="R18" s="51"/>
      <c r="S18" s="51"/>
      <c r="T18" s="51"/>
      <c r="U18" s="123" t="s">
        <v>77</v>
      </c>
      <c r="V18" s="123"/>
      <c r="W18" s="123"/>
      <c r="X18" s="123"/>
      <c r="Y18" s="123"/>
      <c r="Z18" s="123"/>
      <c r="AA18" s="124"/>
      <c r="AB18" s="124">
        <v>4565251</v>
      </c>
      <c r="AC18" s="125" t="s">
        <v>26</v>
      </c>
    </row>
    <row r="19" spans="1:30" ht="21" customHeight="1">
      <c r="A19" s="54"/>
      <c r="B19" s="55"/>
      <c r="C19" s="55" t="s">
        <v>177</v>
      </c>
      <c r="D19" s="57"/>
      <c r="E19" s="57"/>
      <c r="F19" s="57"/>
      <c r="G19" s="57"/>
      <c r="H19" s="57"/>
      <c r="I19" s="57"/>
      <c r="J19" s="57"/>
      <c r="K19" s="58"/>
      <c r="L19" s="40"/>
      <c r="M19" s="240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241"/>
      <c r="AB19" s="241"/>
      <c r="AC19" s="39"/>
    </row>
    <row r="20" spans="1:30" ht="21" customHeight="1">
      <c r="A20" s="54"/>
      <c r="B20" s="55"/>
      <c r="C20" s="55"/>
      <c r="D20" s="57"/>
      <c r="E20" s="57"/>
      <c r="F20" s="57"/>
      <c r="G20" s="57"/>
      <c r="H20" s="57"/>
      <c r="I20" s="57"/>
      <c r="J20" s="57"/>
      <c r="K20" s="58"/>
      <c r="L20" s="92"/>
      <c r="M20" s="88" t="s">
        <v>239</v>
      </c>
      <c r="N20" s="199"/>
      <c r="O20" s="198"/>
      <c r="P20" s="198"/>
      <c r="Q20" s="198"/>
      <c r="R20" s="198"/>
      <c r="S20" s="198"/>
      <c r="T20" s="198"/>
      <c r="U20" s="64"/>
      <c r="V20" s="64"/>
      <c r="W20" s="64"/>
      <c r="X20" s="198"/>
      <c r="Y20" s="198"/>
      <c r="Z20" s="198"/>
      <c r="AA20" s="89"/>
      <c r="AB20" s="89">
        <v>7251</v>
      </c>
      <c r="AC20" s="68" t="s">
        <v>228</v>
      </c>
    </row>
    <row r="21" spans="1:30" ht="21" customHeight="1">
      <c r="A21" s="54"/>
      <c r="B21" s="55"/>
      <c r="C21" s="55"/>
      <c r="D21" s="57"/>
      <c r="E21" s="57"/>
      <c r="F21" s="57"/>
      <c r="G21" s="57"/>
      <c r="H21" s="57"/>
      <c r="I21" s="57"/>
      <c r="J21" s="57"/>
      <c r="K21" s="58"/>
      <c r="L21" s="92"/>
      <c r="M21" s="88" t="s">
        <v>237</v>
      </c>
      <c r="N21" s="199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>
        <v>4558000</v>
      </c>
      <c r="AC21" s="68" t="s">
        <v>228</v>
      </c>
    </row>
    <row r="22" spans="1:30" ht="21" customHeight="1">
      <c r="A22" s="54"/>
      <c r="B22" s="55"/>
      <c r="C22" s="55"/>
      <c r="D22" s="57"/>
      <c r="E22" s="57"/>
      <c r="F22" s="57"/>
      <c r="G22" s="57"/>
      <c r="H22" s="57"/>
      <c r="I22" s="57"/>
      <c r="J22" s="57"/>
      <c r="K22" s="58"/>
      <c r="L22" s="92"/>
      <c r="M22" s="88" t="s">
        <v>238</v>
      </c>
      <c r="N22" s="199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>
        <v>0</v>
      </c>
      <c r="AC22" s="68" t="s">
        <v>228</v>
      </c>
    </row>
    <row r="23" spans="1:30" ht="21" customHeight="1">
      <c r="A23" s="54"/>
      <c r="B23" s="55"/>
      <c r="C23" s="55"/>
      <c r="D23" s="57"/>
      <c r="E23" s="57"/>
      <c r="F23" s="57"/>
      <c r="G23" s="57"/>
      <c r="H23" s="57"/>
      <c r="I23" s="57"/>
      <c r="J23" s="57"/>
      <c r="K23" s="58"/>
      <c r="L23" s="92"/>
      <c r="M23" s="88"/>
      <c r="N23" s="199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68"/>
    </row>
    <row r="24" spans="1:30" ht="21" customHeight="1">
      <c r="A24" s="54"/>
      <c r="B24" s="55"/>
      <c r="C24" s="45" t="s">
        <v>86</v>
      </c>
      <c r="D24" s="46">
        <v>0</v>
      </c>
      <c r="E24" s="46">
        <f>SUM(F24:J24)</f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7">
        <f>E24-D24</f>
        <v>0</v>
      </c>
      <c r="L24" s="48">
        <f>IF(D24=0,0,K24/D24)</f>
        <v>0</v>
      </c>
      <c r="M24" s="126" t="s">
        <v>179</v>
      </c>
      <c r="N24" s="73"/>
      <c r="O24" s="51"/>
      <c r="P24" s="51"/>
      <c r="Q24" s="51"/>
      <c r="R24" s="51"/>
      <c r="S24" s="51"/>
      <c r="T24" s="51"/>
      <c r="U24" s="51" t="s">
        <v>178</v>
      </c>
      <c r="V24" s="51"/>
      <c r="W24" s="51"/>
      <c r="X24" s="51"/>
      <c r="Y24" s="51"/>
      <c r="Z24" s="51"/>
      <c r="AA24" s="52"/>
      <c r="AB24" s="52">
        <v>0</v>
      </c>
      <c r="AC24" s="53" t="s">
        <v>26</v>
      </c>
    </row>
    <row r="25" spans="1:30" ht="21" customHeight="1">
      <c r="A25" s="69"/>
      <c r="B25" s="55"/>
      <c r="C25" s="55" t="s">
        <v>87</v>
      </c>
      <c r="D25" s="57"/>
      <c r="E25" s="57"/>
      <c r="F25" s="57"/>
      <c r="G25" s="57"/>
      <c r="H25" s="57"/>
      <c r="I25" s="57"/>
      <c r="J25" s="57"/>
      <c r="K25" s="58"/>
      <c r="L25" s="92"/>
      <c r="M25" s="59"/>
      <c r="N25" s="41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62"/>
      <c r="AB25" s="62"/>
      <c r="AC25" s="43"/>
    </row>
    <row r="26" spans="1:30" ht="21" customHeight="1">
      <c r="A26" s="54" t="s">
        <v>88</v>
      </c>
      <c r="B26" s="117" t="s">
        <v>16</v>
      </c>
      <c r="C26" s="117" t="s">
        <v>89</v>
      </c>
      <c r="D26" s="46">
        <f>SUM(D27,D29,D31)</f>
        <v>14</v>
      </c>
      <c r="E26" s="46">
        <f>SUM(E27,E29,E31)</f>
        <v>17</v>
      </c>
      <c r="F26" s="46">
        <f>F27+F29+F31</f>
        <v>14</v>
      </c>
      <c r="G26" s="46">
        <v>0</v>
      </c>
      <c r="H26" s="46">
        <f t="shared" ref="H26:J26" si="3">SUM(H27,H29,H31)</f>
        <v>3</v>
      </c>
      <c r="I26" s="46">
        <f t="shared" si="3"/>
        <v>0</v>
      </c>
      <c r="J26" s="46">
        <f t="shared" si="3"/>
        <v>0</v>
      </c>
      <c r="K26" s="47">
        <f>E26-D26</f>
        <v>3</v>
      </c>
      <c r="L26" s="48">
        <f>IF(D26=0,0,K26/D26)</f>
        <v>0.21428571428571427</v>
      </c>
      <c r="M26" s="71" t="s">
        <v>90</v>
      </c>
      <c r="N26" s="73"/>
      <c r="O26" s="51"/>
      <c r="P26" s="51"/>
      <c r="Q26" s="51"/>
      <c r="R26" s="51"/>
      <c r="S26" s="51"/>
      <c r="T26" s="51"/>
      <c r="U26" s="51" t="s">
        <v>178</v>
      </c>
      <c r="V26" s="51"/>
      <c r="W26" s="51"/>
      <c r="X26" s="51"/>
      <c r="Y26" s="51"/>
      <c r="Z26" s="51"/>
      <c r="AA26" s="52"/>
      <c r="AB26" s="52">
        <f>AB27+AB29+AB31</f>
        <v>17000</v>
      </c>
      <c r="AC26" s="53" t="s">
        <v>26</v>
      </c>
    </row>
    <row r="27" spans="1:30" ht="21" customHeight="1">
      <c r="A27" s="54"/>
      <c r="B27" s="130"/>
      <c r="C27" s="117" t="s">
        <v>186</v>
      </c>
      <c r="D27" s="46">
        <v>0</v>
      </c>
      <c r="E27" s="46">
        <f>SUM(F27:J27)</f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7">
        <f>E27-D27</f>
        <v>0</v>
      </c>
      <c r="L27" s="48"/>
      <c r="M27" s="131" t="s">
        <v>92</v>
      </c>
      <c r="N27" s="127"/>
      <c r="O27" s="119"/>
      <c r="P27" s="119"/>
      <c r="Q27" s="119"/>
      <c r="R27" s="119"/>
      <c r="S27" s="119"/>
      <c r="T27" s="119"/>
      <c r="U27" s="230" t="s">
        <v>180</v>
      </c>
      <c r="V27" s="119"/>
      <c r="W27" s="119"/>
      <c r="X27" s="119"/>
      <c r="Y27" s="119"/>
      <c r="Z27" s="119"/>
      <c r="AA27" s="128"/>
      <c r="AB27" s="128">
        <v>0</v>
      </c>
      <c r="AC27" s="129" t="s">
        <v>91</v>
      </c>
    </row>
    <row r="28" spans="1:30" s="12" customFormat="1" ht="19.5" customHeight="1">
      <c r="A28" s="74"/>
      <c r="B28" s="132"/>
      <c r="C28" s="70" t="s">
        <v>93</v>
      </c>
      <c r="D28" s="82"/>
      <c r="E28" s="82"/>
      <c r="F28" s="82"/>
      <c r="G28" s="82"/>
      <c r="H28" s="82"/>
      <c r="I28" s="82"/>
      <c r="J28" s="82"/>
      <c r="K28" s="83"/>
      <c r="L28" s="114"/>
      <c r="M28" s="93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95"/>
      <c r="AD28" s="6"/>
    </row>
    <row r="29" spans="1:30" ht="21" customHeight="1">
      <c r="A29" s="54"/>
      <c r="B29" s="55"/>
      <c r="C29" s="55" t="s">
        <v>184</v>
      </c>
      <c r="D29" s="57">
        <v>14</v>
      </c>
      <c r="E29" s="46">
        <f>SUM(F29:J29)</f>
        <v>17</v>
      </c>
      <c r="F29" s="46">
        <v>14</v>
      </c>
      <c r="G29" s="46">
        <v>0</v>
      </c>
      <c r="H29" s="46">
        <v>3</v>
      </c>
      <c r="I29" s="46">
        <v>0</v>
      </c>
      <c r="J29" s="46">
        <v>0</v>
      </c>
      <c r="K29" s="58">
        <f>E29-D29</f>
        <v>3</v>
      </c>
      <c r="L29" s="48">
        <f>IF(D29=0,0,K29/D29)</f>
        <v>0.21428571428571427</v>
      </c>
      <c r="M29" s="133" t="s">
        <v>94</v>
      </c>
      <c r="N29" s="41"/>
      <c r="O29" s="42"/>
      <c r="P29" s="42"/>
      <c r="Q29" s="42"/>
      <c r="R29" s="42"/>
      <c r="S29" s="42"/>
      <c r="T29" s="42"/>
      <c r="U29" s="233" t="s">
        <v>180</v>
      </c>
      <c r="V29" s="42"/>
      <c r="W29" s="42"/>
      <c r="X29" s="42"/>
      <c r="Y29" s="42"/>
      <c r="Z29" s="42"/>
      <c r="AA29" s="62"/>
      <c r="AB29" s="62">
        <v>17000</v>
      </c>
      <c r="AC29" s="43" t="s">
        <v>26</v>
      </c>
    </row>
    <row r="30" spans="1:30" s="12" customFormat="1" ht="19.5" customHeight="1">
      <c r="A30" s="74"/>
      <c r="B30" s="120"/>
      <c r="C30" s="55" t="s">
        <v>185</v>
      </c>
      <c r="D30" s="57"/>
      <c r="E30" s="57"/>
      <c r="F30" s="57"/>
      <c r="G30" s="57"/>
      <c r="H30" s="57"/>
      <c r="I30" s="57"/>
      <c r="J30" s="57"/>
      <c r="K30" s="58"/>
      <c r="L30" s="40"/>
      <c r="M30" s="93"/>
      <c r="N30" s="106"/>
      <c r="O30" s="106"/>
      <c r="P30" s="106"/>
      <c r="Q30" s="106"/>
      <c r="R30" s="106"/>
      <c r="S30" s="106"/>
      <c r="T30" s="106"/>
      <c r="U30" s="408"/>
      <c r="V30" s="408"/>
      <c r="W30" s="106"/>
      <c r="X30" s="106"/>
      <c r="Y30" s="106"/>
      <c r="Z30" s="106"/>
      <c r="AA30" s="106"/>
      <c r="AB30" s="134"/>
      <c r="AC30" s="43" t="s">
        <v>26</v>
      </c>
      <c r="AD30" s="6"/>
    </row>
    <row r="31" spans="1:30" ht="21" customHeight="1">
      <c r="A31" s="54"/>
      <c r="B31" s="55"/>
      <c r="C31" s="45" t="s">
        <v>183</v>
      </c>
      <c r="D31" s="46">
        <v>0</v>
      </c>
      <c r="E31" s="46">
        <f>SUM(F31:J31)</f>
        <v>0</v>
      </c>
      <c r="F31" s="46">
        <v>0</v>
      </c>
      <c r="G31" s="46">
        <v>0</v>
      </c>
      <c r="H31" s="46">
        <v>0</v>
      </c>
      <c r="I31" s="46">
        <v>0</v>
      </c>
      <c r="J31" s="46">
        <f>AB31/1000</f>
        <v>0</v>
      </c>
      <c r="K31" s="47">
        <f>E31-D31</f>
        <v>0</v>
      </c>
      <c r="L31" s="48">
        <f>IF(D31=0,0,K31/D31)</f>
        <v>0</v>
      </c>
      <c r="M31" s="133" t="s">
        <v>33</v>
      </c>
      <c r="N31" s="127"/>
      <c r="O31" s="42"/>
      <c r="P31" s="42"/>
      <c r="Q31" s="42"/>
      <c r="R31" s="42"/>
      <c r="S31" s="42"/>
      <c r="T31" s="42"/>
      <c r="U31" s="230" t="s">
        <v>180</v>
      </c>
      <c r="V31" s="119"/>
      <c r="W31" s="119"/>
      <c r="X31" s="119"/>
      <c r="Y31" s="119"/>
      <c r="Z31" s="119"/>
      <c r="AA31" s="128"/>
      <c r="AB31" s="128">
        <f>SUM(AB32:AB33)</f>
        <v>0</v>
      </c>
      <c r="AC31" s="129" t="s">
        <v>26</v>
      </c>
    </row>
    <row r="32" spans="1:30" s="12" customFormat="1" ht="19.5" customHeight="1">
      <c r="A32" s="74"/>
      <c r="B32" s="120"/>
      <c r="C32" s="55" t="s">
        <v>16</v>
      </c>
      <c r="D32" s="57"/>
      <c r="E32" s="57"/>
      <c r="F32" s="57"/>
      <c r="G32" s="57"/>
      <c r="H32" s="57"/>
      <c r="I32" s="57"/>
      <c r="J32" s="57"/>
      <c r="K32" s="58"/>
      <c r="L32" s="40"/>
      <c r="M32" s="88"/>
      <c r="N32" s="61"/>
      <c r="O32" s="61"/>
      <c r="P32" s="61"/>
      <c r="Q32" s="61"/>
      <c r="R32" s="61"/>
      <c r="S32" s="60"/>
      <c r="T32" s="61"/>
      <c r="U32" s="60"/>
      <c r="V32" s="60"/>
      <c r="W32" s="61"/>
      <c r="X32" s="61"/>
      <c r="Y32" s="67"/>
      <c r="Z32" s="67"/>
      <c r="AA32" s="60"/>
      <c r="AB32" s="61">
        <v>0</v>
      </c>
      <c r="AC32" s="68" t="s">
        <v>95</v>
      </c>
      <c r="AD32" s="6"/>
    </row>
    <row r="33" spans="1:30" s="12" customFormat="1" ht="19.5" customHeight="1">
      <c r="A33" s="74"/>
      <c r="B33" s="120"/>
      <c r="C33" s="55"/>
      <c r="D33" s="57"/>
      <c r="E33" s="57"/>
      <c r="F33" s="57"/>
      <c r="G33" s="57"/>
      <c r="H33" s="57"/>
      <c r="I33" s="57"/>
      <c r="J33" s="57"/>
      <c r="K33" s="58"/>
      <c r="L33" s="40"/>
      <c r="M33" s="88"/>
      <c r="N33" s="224"/>
      <c r="O33" s="224"/>
      <c r="P33" s="224"/>
      <c r="Q33" s="224"/>
      <c r="R33" s="224"/>
      <c r="S33" s="225"/>
      <c r="T33" s="224"/>
      <c r="U33" s="225"/>
      <c r="V33" s="225"/>
      <c r="W33" s="224"/>
      <c r="X33" s="224"/>
      <c r="Y33" s="223"/>
      <c r="Z33" s="223"/>
      <c r="AA33" s="225"/>
      <c r="AB33" s="224">
        <v>0</v>
      </c>
      <c r="AC33" s="68" t="s">
        <v>172</v>
      </c>
      <c r="AD33" s="6"/>
    </row>
    <row r="34" spans="1:30" s="12" customFormat="1" ht="19.5" customHeight="1" thickBot="1">
      <c r="A34" s="135"/>
      <c r="B34" s="136"/>
      <c r="C34" s="137"/>
      <c r="D34" s="138"/>
      <c r="E34" s="138"/>
      <c r="F34" s="138"/>
      <c r="G34" s="138"/>
      <c r="H34" s="138"/>
      <c r="I34" s="138"/>
      <c r="J34" s="138"/>
      <c r="K34" s="139"/>
      <c r="L34" s="140"/>
      <c r="M34" s="84"/>
      <c r="N34" s="86"/>
      <c r="O34" s="86"/>
      <c r="P34" s="86"/>
      <c r="Q34" s="86"/>
      <c r="R34" s="86"/>
      <c r="S34" s="85"/>
      <c r="T34" s="86"/>
      <c r="U34" s="85"/>
      <c r="V34" s="85"/>
      <c r="W34" s="86"/>
      <c r="X34" s="86"/>
      <c r="Y34" s="141"/>
      <c r="Z34" s="141"/>
      <c r="AA34" s="85"/>
      <c r="AB34" s="86"/>
      <c r="AC34" s="87"/>
      <c r="AD34" s="6"/>
    </row>
    <row r="45" spans="1:30" ht="19.5" customHeight="1">
      <c r="AD45" s="6" t="s">
        <v>70</v>
      </c>
    </row>
  </sheetData>
  <mergeCells count="9">
    <mergeCell ref="B7:C7"/>
    <mergeCell ref="U30:V30"/>
    <mergeCell ref="K2:L2"/>
    <mergeCell ref="M2:AC3"/>
    <mergeCell ref="A1:C1"/>
    <mergeCell ref="A2:C2"/>
    <mergeCell ref="D2:D3"/>
    <mergeCell ref="E2:J2"/>
    <mergeCell ref="A4:C4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&amp;C&amp;P/&amp;N&amp;R장애인생활시설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F143"/>
  <sheetViews>
    <sheetView zoomScale="80" zoomScaleNormal="8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27" sqref="D27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5" width="9.33203125" style="19" bestFit="1" customWidth="1"/>
    <col min="6" max="6" width="9.33203125" style="19" customWidth="1"/>
    <col min="7" max="7" width="8.109375" style="19" customWidth="1"/>
    <col min="8" max="8" width="8.21875" style="19" customWidth="1"/>
    <col min="9" max="9" width="8.109375" style="19" customWidth="1"/>
    <col min="10" max="10" width="7.21875" style="19" customWidth="1"/>
    <col min="11" max="11" width="9.5546875" style="19" customWidth="1"/>
    <col min="12" max="12" width="8.44140625" style="284" customWidth="1"/>
    <col min="13" max="13" width="14.109375" style="4" customWidth="1"/>
    <col min="14" max="14" width="3.33203125" style="4" customWidth="1"/>
    <col min="15" max="15" width="2.77734375" style="4" customWidth="1"/>
    <col min="16" max="16" width="7.44140625" style="4" customWidth="1"/>
    <col min="17" max="17" width="9.33203125" style="5" customWidth="1"/>
    <col min="18" max="18" width="1.77734375" style="5" customWidth="1"/>
    <col min="19" max="19" width="4.109375" style="5" bestFit="1" customWidth="1"/>
    <col min="20" max="20" width="5.44140625" style="5" customWidth="1"/>
    <col min="21" max="21" width="5.77734375" style="5" customWidth="1"/>
    <col min="22" max="22" width="5" style="5" bestFit="1" customWidth="1"/>
    <col min="23" max="23" width="4.77734375" style="5" customWidth="1"/>
    <col min="24" max="24" width="3.6640625" style="5" bestFit="1" customWidth="1"/>
    <col min="25" max="25" width="3" style="5" customWidth="1"/>
    <col min="26" max="26" width="3.33203125" style="5" customWidth="1"/>
    <col min="27" max="27" width="3.88671875" style="5" customWidth="1"/>
    <col min="28" max="28" width="11.33203125" style="5" bestFit="1" customWidth="1"/>
    <col min="29" max="29" width="2.77734375" style="5" customWidth="1"/>
    <col min="30" max="30" width="11.5546875" style="4" bestFit="1" customWidth="1"/>
    <col min="31" max="16384" width="13.77734375" style="4"/>
  </cols>
  <sheetData>
    <row r="1" spans="1:30" s="12" customFormat="1" ht="21" customHeight="1" thickBot="1">
      <c r="A1" s="413" t="s">
        <v>321</v>
      </c>
      <c r="B1" s="413"/>
      <c r="C1" s="413"/>
      <c r="D1" s="142"/>
      <c r="E1" s="142"/>
      <c r="F1" s="142"/>
      <c r="G1" s="142"/>
      <c r="H1" s="142"/>
      <c r="I1" s="142"/>
      <c r="J1" s="142"/>
      <c r="K1" s="142"/>
      <c r="L1" s="266"/>
      <c r="M1" s="85"/>
      <c r="N1" s="85"/>
      <c r="O1" s="85"/>
      <c r="P1" s="85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1"/>
    </row>
    <row r="2" spans="1:30" s="3" customFormat="1" ht="21" customHeight="1">
      <c r="A2" s="414" t="s">
        <v>23</v>
      </c>
      <c r="B2" s="415"/>
      <c r="C2" s="415"/>
      <c r="D2" s="416" t="s">
        <v>318</v>
      </c>
      <c r="E2" s="418" t="s">
        <v>319</v>
      </c>
      <c r="F2" s="419"/>
      <c r="G2" s="419"/>
      <c r="H2" s="419"/>
      <c r="I2" s="419"/>
      <c r="J2" s="420"/>
      <c r="K2" s="409" t="s">
        <v>24</v>
      </c>
      <c r="L2" s="409"/>
      <c r="M2" s="428" t="s">
        <v>57</v>
      </c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30"/>
    </row>
    <row r="3" spans="1:30" s="3" customFormat="1" ht="30.75" customHeight="1" thickBot="1">
      <c r="A3" s="25" t="s">
        <v>1</v>
      </c>
      <c r="B3" s="26" t="s">
        <v>2</v>
      </c>
      <c r="C3" s="26" t="s">
        <v>3</v>
      </c>
      <c r="D3" s="417"/>
      <c r="E3" s="243" t="s">
        <v>188</v>
      </c>
      <c r="F3" s="309" t="s">
        <v>225</v>
      </c>
      <c r="G3" s="312" t="s">
        <v>240</v>
      </c>
      <c r="H3" s="243" t="s">
        <v>173</v>
      </c>
      <c r="I3" s="243" t="s">
        <v>176</v>
      </c>
      <c r="J3" s="243" t="s">
        <v>68</v>
      </c>
      <c r="K3" s="242" t="s">
        <v>189</v>
      </c>
      <c r="L3" s="143" t="s">
        <v>4</v>
      </c>
      <c r="M3" s="431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3"/>
    </row>
    <row r="4" spans="1:30" s="12" customFormat="1" ht="21" customHeight="1">
      <c r="A4" s="436" t="s">
        <v>34</v>
      </c>
      <c r="B4" s="437"/>
      <c r="C4" s="437"/>
      <c r="D4" s="259">
        <f t="shared" ref="D4:J4" si="0">SUM(D5,D66,D79,D131,D135,D139)</f>
        <v>55016</v>
      </c>
      <c r="E4" s="259">
        <f t="shared" si="0"/>
        <v>62668.33</v>
      </c>
      <c r="F4" s="259">
        <f t="shared" si="0"/>
        <v>49197.580999999998</v>
      </c>
      <c r="G4" s="259">
        <f t="shared" si="0"/>
        <v>1200</v>
      </c>
      <c r="H4" s="259">
        <f t="shared" si="0"/>
        <v>12271</v>
      </c>
      <c r="I4" s="259">
        <f t="shared" si="0"/>
        <v>0</v>
      </c>
      <c r="J4" s="259">
        <f t="shared" si="0"/>
        <v>0</v>
      </c>
      <c r="K4" s="258">
        <f>E4-D4</f>
        <v>7652.3300000000017</v>
      </c>
      <c r="L4" s="260">
        <f>IF(D4=0,0,K4/D4)</f>
        <v>0.13909280936454851</v>
      </c>
      <c r="M4" s="261" t="s">
        <v>205</v>
      </c>
      <c r="N4" s="262"/>
      <c r="O4" s="262"/>
      <c r="P4" s="262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>
        <f>SUM(AB5,AB66,AB79,AB131,AB135,AB139)</f>
        <v>62668581</v>
      </c>
      <c r="AC4" s="264" t="s">
        <v>26</v>
      </c>
      <c r="AD4" s="2"/>
    </row>
    <row r="5" spans="1:30" s="12" customFormat="1" ht="21" customHeight="1">
      <c r="A5" s="149" t="s">
        <v>6</v>
      </c>
      <c r="B5" s="434" t="s">
        <v>7</v>
      </c>
      <c r="C5" s="435"/>
      <c r="D5" s="256">
        <f t="shared" ref="D5:J5" si="1">SUM(D6,D31,D39)</f>
        <v>37719</v>
      </c>
      <c r="E5" s="256">
        <f t="shared" si="1"/>
        <v>39082.5</v>
      </c>
      <c r="F5" s="256">
        <f t="shared" si="1"/>
        <v>35786.5</v>
      </c>
      <c r="G5" s="256">
        <f t="shared" si="1"/>
        <v>1200</v>
      </c>
      <c r="H5" s="256">
        <f t="shared" si="1"/>
        <v>2096</v>
      </c>
      <c r="I5" s="256">
        <f t="shared" si="1"/>
        <v>0</v>
      </c>
      <c r="J5" s="256">
        <f t="shared" si="1"/>
        <v>0</v>
      </c>
      <c r="K5" s="144">
        <f>E5-D5</f>
        <v>1363.5</v>
      </c>
      <c r="L5" s="265">
        <f>IF(D5=0,0,K5/D5)</f>
        <v>3.6148890479599141E-2</v>
      </c>
      <c r="M5" s="290" t="s">
        <v>204</v>
      </c>
      <c r="N5" s="248"/>
      <c r="O5" s="248"/>
      <c r="P5" s="248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>
        <f>SUM(AB6,AB31,AB39)</f>
        <v>39082500</v>
      </c>
      <c r="AC5" s="43" t="s">
        <v>26</v>
      </c>
      <c r="AD5" s="2"/>
    </row>
    <row r="6" spans="1:30" s="12" customFormat="1" ht="21" customHeight="1">
      <c r="A6" s="54"/>
      <c r="B6" s="45" t="s">
        <v>8</v>
      </c>
      <c r="C6" s="268" t="s">
        <v>5</v>
      </c>
      <c r="D6" s="269">
        <f t="shared" ref="D6:J6" si="2">SUM(D7,D10,D20,D23)</f>
        <v>30036</v>
      </c>
      <c r="E6" s="267">
        <f t="shared" si="2"/>
        <v>30814</v>
      </c>
      <c r="F6" s="267">
        <f t="shared" si="2"/>
        <v>29614</v>
      </c>
      <c r="G6" s="267">
        <f t="shared" si="2"/>
        <v>1200</v>
      </c>
      <c r="H6" s="267">
        <f t="shared" si="2"/>
        <v>0</v>
      </c>
      <c r="I6" s="267">
        <f t="shared" si="2"/>
        <v>0</v>
      </c>
      <c r="J6" s="267">
        <f t="shared" si="2"/>
        <v>0</v>
      </c>
      <c r="K6" s="270">
        <f>E6-D6</f>
        <v>778</v>
      </c>
      <c r="L6" s="271">
        <f>IF(D6=0,0,K6/D6)</f>
        <v>2.5902250632574245E-2</v>
      </c>
      <c r="M6" s="272" t="s">
        <v>203</v>
      </c>
      <c r="N6" s="272"/>
      <c r="O6" s="272"/>
      <c r="P6" s="272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>
        <f>SUM(AB7,AB10,AB20,AB23)</f>
        <v>30814000</v>
      </c>
      <c r="AC6" s="274" t="s">
        <v>26</v>
      </c>
      <c r="AD6" s="2"/>
    </row>
    <row r="7" spans="1:30" s="12" customFormat="1" ht="21" customHeight="1">
      <c r="A7" s="54"/>
      <c r="B7" s="55"/>
      <c r="C7" s="45" t="s">
        <v>35</v>
      </c>
      <c r="D7" s="251">
        <v>19415</v>
      </c>
      <c r="E7" s="151">
        <f>AB7/1000</f>
        <v>19824</v>
      </c>
      <c r="F7" s="151">
        <f>AB7/1000</f>
        <v>19824</v>
      </c>
      <c r="G7" s="151">
        <v>0</v>
      </c>
      <c r="H7" s="151">
        <v>0</v>
      </c>
      <c r="I7" s="151">
        <v>0</v>
      </c>
      <c r="J7" s="151">
        <v>0</v>
      </c>
      <c r="K7" s="150">
        <f>E7-D7</f>
        <v>409</v>
      </c>
      <c r="L7" s="158">
        <f>IF(D7=0,0,K7/D7)</f>
        <v>2.1066185938707186E-2</v>
      </c>
      <c r="M7" s="317" t="s">
        <v>96</v>
      </c>
      <c r="N7" s="317"/>
      <c r="O7" s="294"/>
      <c r="P7" s="294"/>
      <c r="Q7" s="294"/>
      <c r="R7" s="293"/>
      <c r="S7" s="293"/>
      <c r="T7" s="293"/>
      <c r="U7" s="316" t="s">
        <v>190</v>
      </c>
      <c r="V7" s="316"/>
      <c r="W7" s="316"/>
      <c r="X7" s="316"/>
      <c r="Y7" s="316"/>
      <c r="Z7" s="316"/>
      <c r="AA7" s="275"/>
      <c r="AB7" s="275">
        <f>SUM(AB8:AB9)</f>
        <v>19824000</v>
      </c>
      <c r="AC7" s="274" t="s">
        <v>60</v>
      </c>
      <c r="AD7" s="1"/>
    </row>
    <row r="8" spans="1:30" s="12" customFormat="1" ht="21" customHeight="1">
      <c r="A8" s="54"/>
      <c r="B8" s="55"/>
      <c r="C8" s="55"/>
      <c r="D8" s="249"/>
      <c r="E8" s="333"/>
      <c r="F8" s="333"/>
      <c r="G8" s="333"/>
      <c r="H8" s="333"/>
      <c r="I8" s="333"/>
      <c r="J8" s="333"/>
      <c r="K8" s="145"/>
      <c r="L8" s="92"/>
      <c r="M8" s="90" t="s">
        <v>245</v>
      </c>
      <c r="N8" s="334" t="s">
        <v>298</v>
      </c>
      <c r="O8" s="313"/>
      <c r="P8" s="313"/>
      <c r="Q8" s="90">
        <v>1652000</v>
      </c>
      <c r="R8" s="91" t="s">
        <v>241</v>
      </c>
      <c r="S8" s="91" t="s">
        <v>242</v>
      </c>
      <c r="T8" s="91">
        <v>1</v>
      </c>
      <c r="U8" s="91" t="s">
        <v>243</v>
      </c>
      <c r="V8" s="91" t="s">
        <v>242</v>
      </c>
      <c r="W8" s="335">
        <v>12</v>
      </c>
      <c r="X8" s="91" t="s">
        <v>30</v>
      </c>
      <c r="Y8" s="91" t="s">
        <v>244</v>
      </c>
      <c r="Z8" s="313"/>
      <c r="AA8" s="89" t="s">
        <v>322</v>
      </c>
      <c r="AB8" s="89">
        <f t="shared" ref="AB8" si="3">Q8*T8*W8</f>
        <v>19824000</v>
      </c>
      <c r="AC8" s="68" t="s">
        <v>26</v>
      </c>
      <c r="AD8" s="1"/>
    </row>
    <row r="9" spans="1:30" s="12" customFormat="1" ht="21" customHeight="1">
      <c r="A9" s="54"/>
      <c r="B9" s="55"/>
      <c r="C9" s="70"/>
      <c r="D9" s="250"/>
      <c r="E9" s="148"/>
      <c r="F9" s="148"/>
      <c r="G9" s="148"/>
      <c r="H9" s="148"/>
      <c r="I9" s="148"/>
      <c r="J9" s="148"/>
      <c r="K9" s="148"/>
      <c r="L9" s="114"/>
      <c r="M9" s="90"/>
      <c r="N9" s="334"/>
      <c r="O9" s="313"/>
      <c r="P9" s="313"/>
      <c r="Q9" s="90"/>
      <c r="R9" s="91"/>
      <c r="S9" s="91"/>
      <c r="T9" s="91"/>
      <c r="U9" s="91"/>
      <c r="V9" s="91"/>
      <c r="W9" s="335"/>
      <c r="X9" s="91"/>
      <c r="Y9" s="91"/>
      <c r="Z9" s="313"/>
      <c r="AA9" s="89"/>
      <c r="AB9" s="89"/>
      <c r="AC9" s="68"/>
      <c r="AD9" s="1"/>
    </row>
    <row r="10" spans="1:30" s="12" customFormat="1" ht="21" customHeight="1">
      <c r="A10" s="54"/>
      <c r="B10" s="55"/>
      <c r="C10" s="45" t="s">
        <v>36</v>
      </c>
      <c r="D10" s="251">
        <v>6206</v>
      </c>
      <c r="E10" s="151">
        <f>AB10/1000</f>
        <v>6408.92</v>
      </c>
      <c r="F10" s="151">
        <f>SUM(명절휴가비,연장근로수당)/1000</f>
        <v>5208.92</v>
      </c>
      <c r="G10" s="151">
        <f>SUM(AB17)/1000</f>
        <v>1200</v>
      </c>
      <c r="H10" s="151">
        <v>0</v>
      </c>
      <c r="I10" s="151">
        <v>0</v>
      </c>
      <c r="J10" s="151">
        <v>0</v>
      </c>
      <c r="K10" s="150">
        <f>E10-D10</f>
        <v>202.92000000000007</v>
      </c>
      <c r="L10" s="158">
        <f>IF(D10=0,0,K10/D10)</f>
        <v>3.269738962294555E-2</v>
      </c>
      <c r="M10" s="131" t="s">
        <v>37</v>
      </c>
      <c r="N10" s="272"/>
      <c r="O10" s="127"/>
      <c r="P10" s="127"/>
      <c r="Q10" s="127"/>
      <c r="R10" s="119"/>
      <c r="S10" s="119"/>
      <c r="T10" s="119"/>
      <c r="U10" s="273" t="s">
        <v>190</v>
      </c>
      <c r="V10" s="273"/>
      <c r="W10" s="273"/>
      <c r="X10" s="273"/>
      <c r="Y10" s="273"/>
      <c r="Z10" s="273"/>
      <c r="AA10" s="275"/>
      <c r="AB10" s="275">
        <f>SUM(명절휴가비,연장근로수당,AB17)</f>
        <v>6408920</v>
      </c>
      <c r="AC10" s="274" t="s">
        <v>60</v>
      </c>
      <c r="AD10" s="1"/>
    </row>
    <row r="11" spans="1:30" s="12" customFormat="1" ht="21" customHeight="1">
      <c r="A11" s="54"/>
      <c r="B11" s="55"/>
      <c r="C11" s="55"/>
      <c r="D11" s="249"/>
      <c r="E11" s="145"/>
      <c r="F11" s="145"/>
      <c r="G11" s="145"/>
      <c r="H11" s="145"/>
      <c r="I11" s="145"/>
      <c r="J11" s="145"/>
      <c r="K11" s="145"/>
      <c r="L11" s="92"/>
      <c r="M11" s="315" t="s">
        <v>247</v>
      </c>
      <c r="N11" s="166"/>
      <c r="O11" s="166"/>
      <c r="P11" s="166"/>
      <c r="Q11" s="166"/>
      <c r="R11" s="165"/>
      <c r="S11" s="165"/>
      <c r="T11" s="165"/>
      <c r="U11" s="177" t="s">
        <v>80</v>
      </c>
      <c r="V11" s="177"/>
      <c r="W11" s="177"/>
      <c r="X11" s="177"/>
      <c r="Y11" s="177"/>
      <c r="Z11" s="177"/>
      <c r="AA11" s="94" t="s">
        <v>102</v>
      </c>
      <c r="AB11" s="94">
        <f>SUM(AB12:AB12)</f>
        <v>1652000</v>
      </c>
      <c r="AC11" s="95" t="s">
        <v>60</v>
      </c>
      <c r="AD11" s="18"/>
    </row>
    <row r="12" spans="1:30" s="12" customFormat="1" ht="21" customHeight="1">
      <c r="A12" s="54"/>
      <c r="B12" s="55"/>
      <c r="C12" s="55"/>
      <c r="D12" s="249"/>
      <c r="E12" s="145"/>
      <c r="F12" s="145"/>
      <c r="G12" s="145"/>
      <c r="H12" s="145"/>
      <c r="I12" s="145"/>
      <c r="J12" s="145"/>
      <c r="K12" s="145"/>
      <c r="L12" s="92"/>
      <c r="M12" s="340"/>
      <c r="N12" s="342" t="s">
        <v>298</v>
      </c>
      <c r="O12" s="166"/>
      <c r="P12" s="166"/>
      <c r="Q12" s="90">
        <v>1652000</v>
      </c>
      <c r="R12" s="91" t="s">
        <v>241</v>
      </c>
      <c r="S12" s="91" t="s">
        <v>242</v>
      </c>
      <c r="T12" s="336">
        <v>1</v>
      </c>
      <c r="U12" s="91" t="s">
        <v>242</v>
      </c>
      <c r="V12" s="337">
        <v>0.5</v>
      </c>
      <c r="W12" s="338">
        <v>2</v>
      </c>
      <c r="X12" s="339" t="s">
        <v>246</v>
      </c>
      <c r="Y12" s="91" t="s">
        <v>244</v>
      </c>
      <c r="Z12" s="313"/>
      <c r="AA12" s="89" t="s">
        <v>322</v>
      </c>
      <c r="AB12" s="89">
        <f t="shared" ref="AB12" si="4">Q12*T12*V12*W12</f>
        <v>1652000</v>
      </c>
      <c r="AC12" s="68" t="s">
        <v>241</v>
      </c>
      <c r="AD12" s="18"/>
    </row>
    <row r="13" spans="1:30" s="12" customFormat="1" ht="21" customHeight="1">
      <c r="A13" s="54"/>
      <c r="B13" s="55"/>
      <c r="C13" s="55"/>
      <c r="D13" s="249"/>
      <c r="E13" s="145"/>
      <c r="F13" s="145"/>
      <c r="G13" s="145"/>
      <c r="H13" s="145"/>
      <c r="I13" s="145"/>
      <c r="J13" s="145"/>
      <c r="K13" s="145"/>
      <c r="L13" s="92"/>
      <c r="M13" s="246"/>
      <c r="N13" s="166"/>
      <c r="O13" s="166"/>
      <c r="P13" s="166"/>
      <c r="Q13" s="166"/>
      <c r="R13" s="165"/>
      <c r="S13" s="165"/>
      <c r="T13" s="165"/>
      <c r="U13" s="165"/>
      <c r="V13" s="165"/>
      <c r="W13" s="165"/>
      <c r="X13" s="165"/>
      <c r="Y13" s="165"/>
      <c r="Z13" s="165"/>
      <c r="AA13" s="89"/>
      <c r="AB13" s="89"/>
      <c r="AC13" s="68"/>
      <c r="AD13" s="18"/>
    </row>
    <row r="14" spans="1:30" s="12" customFormat="1" ht="21" customHeight="1">
      <c r="A14" s="54"/>
      <c r="B14" s="55"/>
      <c r="C14" s="55"/>
      <c r="D14" s="249"/>
      <c r="E14" s="145"/>
      <c r="F14" s="145"/>
      <c r="G14" s="145"/>
      <c r="H14" s="145"/>
      <c r="I14" s="145"/>
      <c r="J14" s="145"/>
      <c r="K14" s="145"/>
      <c r="L14" s="92"/>
      <c r="M14" s="343" t="s">
        <v>305</v>
      </c>
      <c r="N14" s="166"/>
      <c r="O14" s="166"/>
      <c r="P14" s="166"/>
      <c r="Q14" s="166"/>
      <c r="R14" s="165"/>
      <c r="S14" s="165"/>
      <c r="T14" s="165"/>
      <c r="U14" s="177" t="s">
        <v>80</v>
      </c>
      <c r="V14" s="177"/>
      <c r="W14" s="177"/>
      <c r="X14" s="177"/>
      <c r="Y14" s="177"/>
      <c r="Z14" s="177"/>
      <c r="AA14" s="94" t="s">
        <v>102</v>
      </c>
      <c r="AB14" s="94">
        <f>AB15</f>
        <v>3556920</v>
      </c>
      <c r="AC14" s="95" t="s">
        <v>60</v>
      </c>
      <c r="AD14" s="18"/>
    </row>
    <row r="15" spans="1:30" s="12" customFormat="1" ht="21" customHeight="1">
      <c r="A15" s="54"/>
      <c r="B15" s="55"/>
      <c r="C15" s="55"/>
      <c r="D15" s="249"/>
      <c r="E15" s="145"/>
      <c r="F15" s="145"/>
      <c r="G15" s="145"/>
      <c r="H15" s="145"/>
      <c r="I15" s="145"/>
      <c r="J15" s="145"/>
      <c r="K15" s="145"/>
      <c r="L15" s="92"/>
      <c r="M15" s="246"/>
      <c r="N15" s="342" t="s">
        <v>298</v>
      </c>
      <c r="O15" s="313"/>
      <c r="P15" s="313"/>
      <c r="Q15" s="90">
        <v>1652000</v>
      </c>
      <c r="R15" s="91" t="s">
        <v>61</v>
      </c>
      <c r="S15" s="326">
        <v>25</v>
      </c>
      <c r="T15" s="96" t="s">
        <v>61</v>
      </c>
      <c r="U15" s="327">
        <v>12</v>
      </c>
      <c r="V15" s="328">
        <v>1.5</v>
      </c>
      <c r="W15" s="308" t="s">
        <v>81</v>
      </c>
      <c r="X15" s="308">
        <v>209</v>
      </c>
      <c r="Y15" s="308" t="s">
        <v>56</v>
      </c>
      <c r="Z15" s="313"/>
      <c r="AA15" s="89" t="s">
        <v>323</v>
      </c>
      <c r="AB15" s="89">
        <f>ROUNDDOWN(Q15*S15*V15/X15,-1)*U15</f>
        <v>3556920</v>
      </c>
      <c r="AC15" s="68" t="s">
        <v>60</v>
      </c>
      <c r="AD15" s="18"/>
    </row>
    <row r="16" spans="1:30" s="12" customFormat="1" ht="21" customHeight="1">
      <c r="A16" s="54"/>
      <c r="B16" s="55"/>
      <c r="C16" s="55"/>
      <c r="D16" s="249"/>
      <c r="E16" s="145"/>
      <c r="F16" s="145"/>
      <c r="G16" s="145"/>
      <c r="H16" s="145"/>
      <c r="I16" s="145"/>
      <c r="J16" s="145"/>
      <c r="K16" s="145"/>
      <c r="L16" s="92"/>
      <c r="M16" s="246"/>
      <c r="N16" s="60"/>
      <c r="O16" s="60"/>
      <c r="P16" s="60"/>
      <c r="Q16" s="60"/>
      <c r="R16" s="61"/>
      <c r="S16" s="61"/>
      <c r="T16" s="61"/>
      <c r="U16" s="61"/>
      <c r="V16" s="61"/>
      <c r="W16" s="61"/>
      <c r="X16" s="61"/>
      <c r="Y16" s="61"/>
      <c r="Z16" s="61"/>
      <c r="AA16" s="89"/>
      <c r="AB16" s="89"/>
      <c r="AC16" s="68"/>
      <c r="AD16" s="18"/>
    </row>
    <row r="17" spans="1:30" s="12" customFormat="1" ht="21" customHeight="1">
      <c r="A17" s="54"/>
      <c r="B17" s="55"/>
      <c r="C17" s="55"/>
      <c r="D17" s="249"/>
      <c r="E17" s="145"/>
      <c r="F17" s="145"/>
      <c r="G17" s="145"/>
      <c r="H17" s="145"/>
      <c r="I17" s="145"/>
      <c r="J17" s="145"/>
      <c r="K17" s="145"/>
      <c r="L17" s="92"/>
      <c r="M17" s="331" t="s">
        <v>297</v>
      </c>
      <c r="N17" s="60"/>
      <c r="O17" s="60"/>
      <c r="P17" s="60"/>
      <c r="Q17" s="60"/>
      <c r="R17" s="61"/>
      <c r="S17" s="61"/>
      <c r="T17" s="61"/>
      <c r="U17" s="106" t="s">
        <v>103</v>
      </c>
      <c r="V17" s="106"/>
      <c r="W17" s="106"/>
      <c r="X17" s="106"/>
      <c r="Y17" s="106"/>
      <c r="Z17" s="106"/>
      <c r="AA17" s="94" t="s">
        <v>105</v>
      </c>
      <c r="AB17" s="94">
        <f>SUM(AB18:AB18)</f>
        <v>1200000</v>
      </c>
      <c r="AC17" s="95" t="s">
        <v>104</v>
      </c>
      <c r="AD17" s="18"/>
    </row>
    <row r="18" spans="1:30" s="12" customFormat="1" ht="21" customHeight="1">
      <c r="A18" s="54"/>
      <c r="B18" s="55"/>
      <c r="C18" s="55"/>
      <c r="D18" s="249"/>
      <c r="E18" s="145"/>
      <c r="F18" s="145"/>
      <c r="G18" s="145"/>
      <c r="H18" s="145"/>
      <c r="I18" s="145"/>
      <c r="J18" s="145"/>
      <c r="K18" s="145"/>
      <c r="L18" s="92"/>
      <c r="M18" s="246"/>
      <c r="N18" s="222"/>
      <c r="O18" s="222"/>
      <c r="P18" s="222"/>
      <c r="Q18" s="90">
        <v>100000</v>
      </c>
      <c r="R18" s="91" t="s">
        <v>241</v>
      </c>
      <c r="S18" s="91" t="s">
        <v>242</v>
      </c>
      <c r="T18" s="91">
        <v>1</v>
      </c>
      <c r="U18" s="91" t="s">
        <v>243</v>
      </c>
      <c r="V18" s="91" t="s">
        <v>242</v>
      </c>
      <c r="W18" s="335">
        <v>12</v>
      </c>
      <c r="X18" s="91" t="s">
        <v>30</v>
      </c>
      <c r="Y18" s="91" t="s">
        <v>244</v>
      </c>
      <c r="Z18" s="313"/>
      <c r="AA18" s="89" t="s">
        <v>322</v>
      </c>
      <c r="AB18" s="89">
        <f t="shared" ref="AB18" si="5">Q18*T18*W18</f>
        <v>1200000</v>
      </c>
      <c r="AC18" s="68" t="s">
        <v>26</v>
      </c>
      <c r="AD18" s="18"/>
    </row>
    <row r="19" spans="1:30" s="12" customFormat="1" ht="21" customHeight="1">
      <c r="A19" s="54"/>
      <c r="B19" s="55"/>
      <c r="C19" s="55"/>
      <c r="D19" s="249"/>
      <c r="E19" s="145"/>
      <c r="F19" s="145"/>
      <c r="G19" s="145"/>
      <c r="H19" s="145"/>
      <c r="I19" s="145"/>
      <c r="J19" s="145"/>
      <c r="K19" s="145"/>
      <c r="L19" s="92"/>
      <c r="M19" s="246"/>
      <c r="N19" s="60"/>
      <c r="O19" s="60"/>
      <c r="P19" s="60"/>
      <c r="Q19" s="61"/>
      <c r="R19" s="65"/>
      <c r="S19" s="161"/>
      <c r="T19" s="65"/>
      <c r="U19" s="159"/>
      <c r="V19" s="159"/>
      <c r="W19" s="61"/>
      <c r="X19" s="61"/>
      <c r="Y19" s="61"/>
      <c r="Z19" s="61"/>
      <c r="AA19" s="61"/>
      <c r="AB19" s="61"/>
      <c r="AC19" s="68"/>
      <c r="AD19" s="18"/>
    </row>
    <row r="20" spans="1:30" s="12" customFormat="1" ht="21" customHeight="1">
      <c r="A20" s="54"/>
      <c r="B20" s="55"/>
      <c r="C20" s="45" t="s">
        <v>9</v>
      </c>
      <c r="D20" s="251">
        <v>2089</v>
      </c>
      <c r="E20" s="151">
        <f>AB20/1000</f>
        <v>2186.08</v>
      </c>
      <c r="F20" s="151">
        <f>AB20/1000</f>
        <v>2186.08</v>
      </c>
      <c r="G20" s="151">
        <v>0</v>
      </c>
      <c r="H20" s="151">
        <v>0</v>
      </c>
      <c r="I20" s="151">
        <v>0</v>
      </c>
      <c r="J20" s="151">
        <v>0</v>
      </c>
      <c r="K20" s="150">
        <f>E20-D20</f>
        <v>97.079999999999927</v>
      </c>
      <c r="L20" s="158">
        <f>IF(D20=0,0,K20/D20)</f>
        <v>4.6471996170416432E-2</v>
      </c>
      <c r="M20" s="131" t="s">
        <v>38</v>
      </c>
      <c r="N20" s="272"/>
      <c r="O20" s="245"/>
      <c r="P20" s="127"/>
      <c r="Q20" s="127"/>
      <c r="R20" s="119"/>
      <c r="S20" s="119"/>
      <c r="T20" s="119"/>
      <c r="U20" s="236" t="s">
        <v>80</v>
      </c>
      <c r="V20" s="236"/>
      <c r="W20" s="236"/>
      <c r="X20" s="236"/>
      <c r="Y20" s="236"/>
      <c r="Z20" s="236"/>
      <c r="AA20" s="237" t="s">
        <v>65</v>
      </c>
      <c r="AB20" s="237">
        <f>AB21+AB22</f>
        <v>2186080</v>
      </c>
      <c r="AC20" s="238" t="s">
        <v>60</v>
      </c>
      <c r="AD20" s="2"/>
    </row>
    <row r="21" spans="1:30" s="12" customFormat="1" ht="21" customHeight="1">
      <c r="A21" s="54"/>
      <c r="B21" s="55"/>
      <c r="C21" s="55"/>
      <c r="D21" s="252"/>
      <c r="E21" s="145"/>
      <c r="F21" s="145"/>
      <c r="G21" s="145"/>
      <c r="H21" s="145"/>
      <c r="I21" s="145"/>
      <c r="J21" s="145"/>
      <c r="K21" s="152"/>
      <c r="L21" s="92"/>
      <c r="M21" s="246"/>
      <c r="N21" s="60"/>
      <c r="O21" s="60"/>
      <c r="P21" s="60"/>
      <c r="Q21" s="200">
        <f>AB7+AB10-연장근로수당</f>
        <v>22676000</v>
      </c>
      <c r="R21" s="121" t="s">
        <v>60</v>
      </c>
      <c r="S21" s="121" t="s">
        <v>81</v>
      </c>
      <c r="T21" s="99">
        <v>12</v>
      </c>
      <c r="U21" s="96" t="s">
        <v>0</v>
      </c>
      <c r="V21" s="165"/>
      <c r="W21" s="165"/>
      <c r="X21" s="165"/>
      <c r="Y21" s="165" t="s">
        <v>82</v>
      </c>
      <c r="Z21" s="61"/>
      <c r="AA21" s="89" t="s">
        <v>326</v>
      </c>
      <c r="AB21" s="89">
        <f>ROUNDUP(Q21/T21,-1)</f>
        <v>1889670</v>
      </c>
      <c r="AC21" s="68" t="s">
        <v>73</v>
      </c>
      <c r="AD21" s="2"/>
    </row>
    <row r="22" spans="1:30" s="12" customFormat="1" ht="21" customHeight="1">
      <c r="A22" s="54"/>
      <c r="B22" s="55"/>
      <c r="C22" s="55"/>
      <c r="D22" s="253"/>
      <c r="E22" s="145"/>
      <c r="F22" s="145"/>
      <c r="G22" s="145"/>
      <c r="H22" s="145"/>
      <c r="I22" s="145"/>
      <c r="J22" s="145"/>
      <c r="K22" s="152"/>
      <c r="L22" s="92"/>
      <c r="M22" s="41"/>
      <c r="N22" s="41"/>
      <c r="O22" s="41"/>
      <c r="P22" s="41"/>
      <c r="Q22" s="356">
        <v>3556920</v>
      </c>
      <c r="R22" s="308" t="s">
        <v>60</v>
      </c>
      <c r="S22" s="308" t="s">
        <v>81</v>
      </c>
      <c r="T22" s="99">
        <v>12</v>
      </c>
      <c r="U22" s="96" t="s">
        <v>0</v>
      </c>
      <c r="V22" s="352"/>
      <c r="W22" s="352"/>
      <c r="X22" s="352"/>
      <c r="Y22" s="352" t="s">
        <v>82</v>
      </c>
      <c r="Z22" s="352"/>
      <c r="AA22" s="89" t="s">
        <v>327</v>
      </c>
      <c r="AB22" s="89">
        <f>ROUNDUP(Q22/T22,-1)</f>
        <v>296410</v>
      </c>
      <c r="AC22" s="68" t="s">
        <v>73</v>
      </c>
      <c r="AD22" s="2"/>
    </row>
    <row r="23" spans="1:30" s="12" customFormat="1" ht="21" customHeight="1">
      <c r="A23" s="54"/>
      <c r="B23" s="55"/>
      <c r="C23" s="162" t="s">
        <v>106</v>
      </c>
      <c r="D23" s="251">
        <v>2326</v>
      </c>
      <c r="E23" s="151">
        <f>AB23/1000</f>
        <v>2395</v>
      </c>
      <c r="F23" s="151">
        <f>AB23/1000</f>
        <v>2395</v>
      </c>
      <c r="G23" s="151">
        <v>0</v>
      </c>
      <c r="H23" s="151">
        <v>0</v>
      </c>
      <c r="I23" s="151">
        <v>0</v>
      </c>
      <c r="J23" s="151">
        <v>0</v>
      </c>
      <c r="K23" s="163">
        <f>E23-D23</f>
        <v>69</v>
      </c>
      <c r="L23" s="158">
        <f>IF(D23=0,0,K23/D23)</f>
        <v>2.9664660361134996E-2</v>
      </c>
      <c r="M23" s="131" t="s">
        <v>39</v>
      </c>
      <c r="N23" s="272"/>
      <c r="O23" s="127"/>
      <c r="P23" s="127"/>
      <c r="Q23" s="127"/>
      <c r="R23" s="119"/>
      <c r="S23" s="119"/>
      <c r="T23" s="119"/>
      <c r="U23" s="273" t="s">
        <v>190</v>
      </c>
      <c r="V23" s="273"/>
      <c r="W23" s="273"/>
      <c r="X23" s="273"/>
      <c r="Y23" s="273"/>
      <c r="Z23" s="273"/>
      <c r="AA23" s="275"/>
      <c r="AB23" s="275">
        <f>ROUND(SUM(AB25:AB29),-3)</f>
        <v>2395000</v>
      </c>
      <c r="AC23" s="274" t="s">
        <v>26</v>
      </c>
    </row>
    <row r="24" spans="1:30" s="12" customFormat="1" ht="21" customHeight="1">
      <c r="A24" s="54"/>
      <c r="B24" s="55"/>
      <c r="C24" s="55" t="s">
        <v>191</v>
      </c>
      <c r="D24" s="249"/>
      <c r="E24" s="145"/>
      <c r="F24" s="145"/>
      <c r="G24" s="145"/>
      <c r="H24" s="145"/>
      <c r="I24" s="145"/>
      <c r="J24" s="145"/>
      <c r="K24" s="145"/>
      <c r="L24" s="92"/>
      <c r="M24" s="248"/>
      <c r="N24" s="41"/>
      <c r="O24" s="41"/>
      <c r="P24" s="41"/>
      <c r="Q24" s="41"/>
      <c r="R24" s="42"/>
      <c r="S24" s="42"/>
      <c r="T24" s="42"/>
      <c r="U24" s="42"/>
      <c r="V24" s="42"/>
      <c r="W24" s="42"/>
      <c r="X24" s="42"/>
      <c r="Y24" s="42"/>
      <c r="Z24" s="42"/>
      <c r="AA24" s="62"/>
      <c r="AB24" s="62"/>
      <c r="AC24" s="43"/>
      <c r="AD24" s="2"/>
    </row>
    <row r="25" spans="1:30" s="12" customFormat="1" ht="21" customHeight="1">
      <c r="A25" s="54"/>
      <c r="B25" s="55"/>
      <c r="C25" s="55"/>
      <c r="D25" s="249"/>
      <c r="E25" s="145"/>
      <c r="F25" s="145"/>
      <c r="G25" s="145"/>
      <c r="H25" s="145"/>
      <c r="I25" s="145"/>
      <c r="J25" s="145"/>
      <c r="K25" s="145"/>
      <c r="L25" s="92"/>
      <c r="M25" s="314" t="s">
        <v>252</v>
      </c>
      <c r="N25" s="166"/>
      <c r="O25" s="166"/>
      <c r="P25" s="166"/>
      <c r="Q25" s="291">
        <f>AB7+AB10</f>
        <v>26232920</v>
      </c>
      <c r="R25" s="289" t="s">
        <v>60</v>
      </c>
      <c r="S25" s="96" t="s">
        <v>61</v>
      </c>
      <c r="T25" s="100">
        <v>0.09</v>
      </c>
      <c r="U25" s="289" t="s">
        <v>81</v>
      </c>
      <c r="V25" s="308">
        <v>2</v>
      </c>
      <c r="W25" s="98"/>
      <c r="X25" s="98"/>
      <c r="Y25" s="289" t="s">
        <v>56</v>
      </c>
      <c r="Z25" s="165"/>
      <c r="AA25" s="89" t="s">
        <v>322</v>
      </c>
      <c r="AB25" s="89">
        <f>ROUND(Q25*T25/V25,-1)</f>
        <v>1180480</v>
      </c>
      <c r="AC25" s="68" t="s">
        <v>73</v>
      </c>
      <c r="AD25" s="2"/>
    </row>
    <row r="26" spans="1:30" s="12" customFormat="1" ht="21" customHeight="1">
      <c r="A26" s="54"/>
      <c r="B26" s="55"/>
      <c r="C26" s="55"/>
      <c r="D26" s="249"/>
      <c r="E26" s="145"/>
      <c r="F26" s="145"/>
      <c r="G26" s="145"/>
      <c r="H26" s="145"/>
      <c r="I26" s="145"/>
      <c r="J26" s="145"/>
      <c r="K26" s="145"/>
      <c r="L26" s="92"/>
      <c r="M26" s="314" t="s">
        <v>248</v>
      </c>
      <c r="N26" s="166"/>
      <c r="O26" s="166"/>
      <c r="P26" s="166"/>
      <c r="Q26" s="354">
        <f>Q25</f>
        <v>26232920</v>
      </c>
      <c r="R26" s="165" t="s">
        <v>26</v>
      </c>
      <c r="S26" s="289" t="s">
        <v>27</v>
      </c>
      <c r="T26" s="101">
        <v>5.8000000000000003E-2</v>
      </c>
      <c r="U26" s="308" t="s">
        <v>81</v>
      </c>
      <c r="V26" s="289">
        <v>2</v>
      </c>
      <c r="W26" s="165"/>
      <c r="X26" s="165"/>
      <c r="Y26" s="308" t="s">
        <v>56</v>
      </c>
      <c r="Z26" s="165"/>
      <c r="AA26" s="89" t="s">
        <v>322</v>
      </c>
      <c r="AB26" s="89">
        <f>ROUND(Q26*T26/V26,-1)</f>
        <v>760750</v>
      </c>
      <c r="AC26" s="68" t="s">
        <v>73</v>
      </c>
      <c r="AD26" s="2"/>
    </row>
    <row r="27" spans="1:30" s="12" customFormat="1" ht="21" customHeight="1">
      <c r="A27" s="54"/>
      <c r="B27" s="55"/>
      <c r="C27" s="55"/>
      <c r="D27" s="249"/>
      <c r="E27" s="145"/>
      <c r="F27" s="145"/>
      <c r="G27" s="145"/>
      <c r="H27" s="145"/>
      <c r="I27" s="145"/>
      <c r="J27" s="145"/>
      <c r="K27" s="145"/>
      <c r="L27" s="92"/>
      <c r="M27" s="314" t="s">
        <v>249</v>
      </c>
      <c r="N27" s="166"/>
      <c r="O27" s="166"/>
      <c r="P27" s="166"/>
      <c r="Q27" s="296">
        <f>AB26</f>
        <v>760750</v>
      </c>
      <c r="R27" s="289" t="s">
        <v>60</v>
      </c>
      <c r="S27" s="96" t="s">
        <v>61</v>
      </c>
      <c r="T27" s="101">
        <v>6.5500000000000003E-2</v>
      </c>
      <c r="U27" s="102"/>
      <c r="V27" s="103"/>
      <c r="W27" s="104"/>
      <c r="X27" s="104"/>
      <c r="Y27" s="289" t="s">
        <v>56</v>
      </c>
      <c r="Z27" s="291"/>
      <c r="AA27" s="89" t="s">
        <v>324</v>
      </c>
      <c r="AB27" s="89">
        <f>ROUND(Q27*T27,-1)</f>
        <v>49830</v>
      </c>
      <c r="AC27" s="68" t="s">
        <v>73</v>
      </c>
      <c r="AD27" s="2"/>
    </row>
    <row r="28" spans="1:30" s="12" customFormat="1" ht="21" customHeight="1">
      <c r="A28" s="54"/>
      <c r="B28" s="55"/>
      <c r="C28" s="55"/>
      <c r="D28" s="249"/>
      <c r="E28" s="145"/>
      <c r="F28" s="145"/>
      <c r="G28" s="145"/>
      <c r="H28" s="145"/>
      <c r="I28" s="145"/>
      <c r="J28" s="145"/>
      <c r="K28" s="145"/>
      <c r="L28" s="92"/>
      <c r="M28" s="314" t="s">
        <v>250</v>
      </c>
      <c r="N28" s="166"/>
      <c r="O28" s="166"/>
      <c r="P28" s="166"/>
      <c r="Q28" s="291">
        <f>Q25</f>
        <v>26232920</v>
      </c>
      <c r="R28" s="289" t="s">
        <v>60</v>
      </c>
      <c r="S28" s="96" t="s">
        <v>61</v>
      </c>
      <c r="T28" s="101">
        <v>8.0000000000000002E-3</v>
      </c>
      <c r="U28" s="96"/>
      <c r="V28" s="105"/>
      <c r="W28" s="98"/>
      <c r="X28" s="98"/>
      <c r="Y28" s="289" t="s">
        <v>56</v>
      </c>
      <c r="Z28" s="291"/>
      <c r="AA28" s="89" t="s">
        <v>324</v>
      </c>
      <c r="AB28" s="89">
        <f>ROUND(Q28*T28,-1)</f>
        <v>209860</v>
      </c>
      <c r="AC28" s="68" t="s">
        <v>73</v>
      </c>
      <c r="AD28" s="2"/>
    </row>
    <row r="29" spans="1:30" s="12" customFormat="1" ht="21" customHeight="1">
      <c r="A29" s="54"/>
      <c r="B29" s="55"/>
      <c r="C29" s="55"/>
      <c r="D29" s="249"/>
      <c r="E29" s="145"/>
      <c r="F29" s="145"/>
      <c r="G29" s="145"/>
      <c r="H29" s="145"/>
      <c r="I29" s="145"/>
      <c r="J29" s="145"/>
      <c r="K29" s="145"/>
      <c r="L29" s="92"/>
      <c r="M29" s="314" t="s">
        <v>251</v>
      </c>
      <c r="N29" s="166"/>
      <c r="O29" s="166"/>
      <c r="P29" s="166"/>
      <c r="Q29" s="291">
        <f>Q25</f>
        <v>26232920</v>
      </c>
      <c r="R29" s="289" t="s">
        <v>60</v>
      </c>
      <c r="S29" s="96" t="s">
        <v>61</v>
      </c>
      <c r="T29" s="101">
        <v>7.4000000000000003E-3</v>
      </c>
      <c r="U29" s="96"/>
      <c r="V29" s="105"/>
      <c r="W29" s="98"/>
      <c r="X29" s="98"/>
      <c r="Y29" s="289" t="s">
        <v>56</v>
      </c>
      <c r="Z29" s="291"/>
      <c r="AA29" s="89" t="s">
        <v>322</v>
      </c>
      <c r="AB29" s="89">
        <f>ROUNDUP(Q29*T29,-1)</f>
        <v>194130</v>
      </c>
      <c r="AC29" s="68" t="s">
        <v>73</v>
      </c>
      <c r="AD29" s="2"/>
    </row>
    <row r="30" spans="1:30" s="12" customFormat="1" ht="21" customHeight="1">
      <c r="A30" s="54"/>
      <c r="B30" s="70"/>
      <c r="C30" s="70"/>
      <c r="D30" s="250"/>
      <c r="E30" s="148"/>
      <c r="F30" s="148"/>
      <c r="G30" s="148"/>
      <c r="H30" s="148"/>
      <c r="I30" s="148"/>
      <c r="J30" s="148"/>
      <c r="K30" s="148"/>
      <c r="L30" s="114"/>
      <c r="M30" s="244"/>
      <c r="N30" s="107"/>
      <c r="O30" s="107"/>
      <c r="P30" s="107"/>
      <c r="Q30" s="106"/>
      <c r="R30" s="116"/>
      <c r="S30" s="116"/>
      <c r="T30" s="116"/>
      <c r="U30" s="106"/>
      <c r="V30" s="116"/>
      <c r="W30" s="116"/>
      <c r="X30" s="116"/>
      <c r="Y30" s="106"/>
      <c r="Z30" s="116"/>
      <c r="AA30" s="116"/>
      <c r="AB30" s="106"/>
      <c r="AC30" s="164"/>
      <c r="AD30" s="2"/>
    </row>
    <row r="31" spans="1:30" s="12" customFormat="1" ht="21" customHeight="1">
      <c r="A31" s="54"/>
      <c r="B31" s="55" t="s">
        <v>192</v>
      </c>
      <c r="C31" s="55" t="s">
        <v>5</v>
      </c>
      <c r="D31" s="145">
        <f>SUM(D32,D34,D36)</f>
        <v>60</v>
      </c>
      <c r="E31" s="145">
        <f>SUM(E32,E34,E36)</f>
        <v>60</v>
      </c>
      <c r="F31" s="145">
        <f t="shared" ref="F31" si="6">SUM(F32,F34,F36)</f>
        <v>0</v>
      </c>
      <c r="G31" s="145">
        <f t="shared" ref="G31" si="7">SUM(G32,G34,G36)</f>
        <v>0</v>
      </c>
      <c r="H31" s="145">
        <f>SUM(H32,H34,H36)</f>
        <v>60</v>
      </c>
      <c r="I31" s="145">
        <f t="shared" ref="I31" si="8">SUM(I32,I34,I36)</f>
        <v>0</v>
      </c>
      <c r="J31" s="145">
        <f t="shared" ref="J31" si="9">SUM(J32,J34,J36)</f>
        <v>0</v>
      </c>
      <c r="K31" s="145">
        <f>E31-D31</f>
        <v>0</v>
      </c>
      <c r="L31" s="92">
        <f>IF(D31=0,0,K31/D31)</f>
        <v>0</v>
      </c>
      <c r="M31" s="290" t="s">
        <v>200</v>
      </c>
      <c r="N31" s="41"/>
      <c r="O31" s="41"/>
      <c r="P31" s="41"/>
      <c r="Q31" s="42"/>
      <c r="R31" s="42"/>
      <c r="S31" s="42"/>
      <c r="T31" s="42"/>
      <c r="U31" s="293"/>
      <c r="V31" s="293"/>
      <c r="W31" s="293"/>
      <c r="X31" s="293"/>
      <c r="Y31" s="293"/>
      <c r="Z31" s="293"/>
      <c r="AA31" s="128"/>
      <c r="AB31" s="128">
        <f>SUM(AB32,AB34,AB36)</f>
        <v>60000</v>
      </c>
      <c r="AC31" s="129" t="s">
        <v>26</v>
      </c>
      <c r="AD31" s="5"/>
    </row>
    <row r="32" spans="1:30" s="12" customFormat="1" ht="21" customHeight="1">
      <c r="A32" s="54"/>
      <c r="B32" s="55" t="s">
        <v>199</v>
      </c>
      <c r="C32" s="45" t="s">
        <v>10</v>
      </c>
      <c r="D32" s="251">
        <v>0</v>
      </c>
      <c r="E32" s="150">
        <f>AB32/1000</f>
        <v>0</v>
      </c>
      <c r="F32" s="150">
        <v>0</v>
      </c>
      <c r="G32" s="150">
        <v>0</v>
      </c>
      <c r="H32" s="150">
        <v>0</v>
      </c>
      <c r="I32" s="150">
        <f>AB32/1000</f>
        <v>0</v>
      </c>
      <c r="J32" s="150">
        <v>0</v>
      </c>
      <c r="K32" s="150">
        <f>E32-D32</f>
        <v>0</v>
      </c>
      <c r="L32" s="158">
        <f>IF(D32=0,0,K32/D32)</f>
        <v>0</v>
      </c>
      <c r="M32" s="131" t="s">
        <v>40</v>
      </c>
      <c r="N32" s="239"/>
      <c r="O32" s="255"/>
      <c r="P32" s="255"/>
      <c r="Q32" s="255"/>
      <c r="R32" s="118"/>
      <c r="S32" s="118"/>
      <c r="T32" s="118"/>
      <c r="U32" s="118"/>
      <c r="V32" s="118"/>
      <c r="W32" s="273" t="s">
        <v>202</v>
      </c>
      <c r="X32" s="273"/>
      <c r="Y32" s="273"/>
      <c r="Z32" s="273"/>
      <c r="AA32" s="275"/>
      <c r="AB32" s="275">
        <v>0</v>
      </c>
      <c r="AC32" s="274" t="s">
        <v>26</v>
      </c>
    </row>
    <row r="33" spans="1:32" s="12" customFormat="1" ht="21" customHeight="1">
      <c r="A33" s="54"/>
      <c r="B33" s="55"/>
      <c r="C33" s="70"/>
      <c r="D33" s="250"/>
      <c r="E33" s="148"/>
      <c r="F33" s="148"/>
      <c r="G33" s="148"/>
      <c r="H33" s="148"/>
      <c r="I33" s="148"/>
      <c r="J33" s="148"/>
      <c r="K33" s="148"/>
      <c r="L33" s="114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64"/>
      <c r="AD33" s="1"/>
    </row>
    <row r="34" spans="1:32" s="12" customFormat="1" ht="21" customHeight="1">
      <c r="A34" s="54"/>
      <c r="B34" s="55"/>
      <c r="C34" s="55" t="s">
        <v>11</v>
      </c>
      <c r="D34" s="249">
        <v>0</v>
      </c>
      <c r="E34" s="145">
        <f>AB34/1000</f>
        <v>0</v>
      </c>
      <c r="F34" s="145">
        <v>0</v>
      </c>
      <c r="G34" s="145">
        <v>0</v>
      </c>
      <c r="H34" s="145">
        <v>0</v>
      </c>
      <c r="I34" s="145">
        <v>0</v>
      </c>
      <c r="J34" s="145">
        <v>0</v>
      </c>
      <c r="K34" s="145">
        <f>E34-D34</f>
        <v>0</v>
      </c>
      <c r="L34" s="92">
        <f>IF(D34=0,0,K34/D34)</f>
        <v>0</v>
      </c>
      <c r="M34" s="131" t="s">
        <v>201</v>
      </c>
      <c r="N34" s="272"/>
      <c r="O34" s="41"/>
      <c r="P34" s="41"/>
      <c r="Q34" s="41"/>
      <c r="R34" s="42"/>
      <c r="S34" s="42"/>
      <c r="T34" s="42"/>
      <c r="U34" s="42"/>
      <c r="V34" s="42"/>
      <c r="W34" s="273" t="s">
        <v>202</v>
      </c>
      <c r="X34" s="273"/>
      <c r="Y34" s="273"/>
      <c r="Z34" s="273"/>
      <c r="AA34" s="275"/>
      <c r="AB34" s="275">
        <v>0</v>
      </c>
      <c r="AC34" s="274" t="s">
        <v>26</v>
      </c>
      <c r="AD34" s="1"/>
    </row>
    <row r="35" spans="1:32" s="12" customFormat="1" ht="21" customHeight="1">
      <c r="A35" s="54"/>
      <c r="B35" s="55"/>
      <c r="C35" s="70"/>
      <c r="D35" s="250"/>
      <c r="E35" s="148"/>
      <c r="F35" s="148"/>
      <c r="G35" s="148"/>
      <c r="H35" s="148"/>
      <c r="I35" s="148"/>
      <c r="J35" s="148"/>
      <c r="K35" s="148"/>
      <c r="L35" s="114"/>
      <c r="M35" s="244"/>
      <c r="N35" s="107"/>
      <c r="O35" s="107"/>
      <c r="P35" s="107"/>
      <c r="Q35" s="106"/>
      <c r="R35" s="115"/>
      <c r="S35" s="115"/>
      <c r="T35" s="106"/>
      <c r="U35" s="107"/>
      <c r="V35" s="106"/>
      <c r="W35" s="106"/>
      <c r="X35" s="106"/>
      <c r="Y35" s="106"/>
      <c r="Z35" s="106"/>
      <c r="AA35" s="106"/>
      <c r="AB35" s="106"/>
      <c r="AC35" s="95"/>
      <c r="AD35" s="1"/>
    </row>
    <row r="36" spans="1:32" s="12" customFormat="1" ht="21" customHeight="1">
      <c r="A36" s="54"/>
      <c r="B36" s="55"/>
      <c r="C36" s="55" t="s">
        <v>108</v>
      </c>
      <c r="D36" s="249">
        <v>60</v>
      </c>
      <c r="E36" s="145">
        <f>AB36/1000</f>
        <v>60</v>
      </c>
      <c r="F36" s="145">
        <v>0</v>
      </c>
      <c r="G36" s="145">
        <v>0</v>
      </c>
      <c r="H36" s="145">
        <v>60</v>
      </c>
      <c r="I36" s="150">
        <v>0</v>
      </c>
      <c r="J36" s="145">
        <v>0</v>
      </c>
      <c r="K36" s="145">
        <f>E36-D36</f>
        <v>0</v>
      </c>
      <c r="L36" s="92">
        <f>IF(D36=0,0,K36/D36)</f>
        <v>0</v>
      </c>
      <c r="M36" s="153" t="s">
        <v>41</v>
      </c>
      <c r="N36" s="41"/>
      <c r="O36" s="41"/>
      <c r="P36" s="41"/>
      <c r="Q36" s="41"/>
      <c r="R36" s="42"/>
      <c r="S36" s="42"/>
      <c r="T36" s="42"/>
      <c r="U36" s="42"/>
      <c r="V36" s="42"/>
      <c r="W36" s="273" t="s">
        <v>202</v>
      </c>
      <c r="X36" s="273"/>
      <c r="Y36" s="273"/>
      <c r="Z36" s="273"/>
      <c r="AA36" s="275"/>
      <c r="AB36" s="275">
        <f>AB37</f>
        <v>60000</v>
      </c>
      <c r="AC36" s="274" t="s">
        <v>26</v>
      </c>
      <c r="AD36" s="1"/>
    </row>
    <row r="37" spans="1:32" s="15" customFormat="1" ht="21" customHeight="1">
      <c r="A37" s="54"/>
      <c r="B37" s="55"/>
      <c r="C37" s="55"/>
      <c r="D37" s="249"/>
      <c r="E37" s="145"/>
      <c r="F37" s="145"/>
      <c r="G37" s="145"/>
      <c r="H37" s="145"/>
      <c r="I37" s="145"/>
      <c r="J37" s="145"/>
      <c r="K37" s="145"/>
      <c r="L37" s="92"/>
      <c r="M37" s="314" t="s">
        <v>253</v>
      </c>
      <c r="N37" s="60"/>
      <c r="O37" s="60"/>
      <c r="P37" s="60"/>
      <c r="Q37" s="61">
        <v>15000</v>
      </c>
      <c r="R37" s="65" t="s">
        <v>26</v>
      </c>
      <c r="S37" s="65" t="s">
        <v>27</v>
      </c>
      <c r="T37" s="61">
        <v>4</v>
      </c>
      <c r="U37" s="330" t="s">
        <v>254</v>
      </c>
      <c r="V37" s="61"/>
      <c r="W37" s="61"/>
      <c r="X37" s="61"/>
      <c r="Y37" s="61" t="s">
        <v>28</v>
      </c>
      <c r="Z37" s="61"/>
      <c r="AA37" s="351" t="s">
        <v>322</v>
      </c>
      <c r="AB37" s="61">
        <f>Q37*T37</f>
        <v>60000</v>
      </c>
      <c r="AC37" s="68" t="s">
        <v>26</v>
      </c>
      <c r="AD37" s="4"/>
    </row>
    <row r="38" spans="1:32" s="15" customFormat="1" ht="21" customHeight="1">
      <c r="A38" s="54"/>
      <c r="B38" s="55"/>
      <c r="C38" s="55"/>
      <c r="D38" s="249"/>
      <c r="E38" s="145"/>
      <c r="F38" s="145"/>
      <c r="G38" s="145"/>
      <c r="H38" s="145"/>
      <c r="I38" s="145"/>
      <c r="J38" s="145"/>
      <c r="K38" s="145"/>
      <c r="L38" s="92"/>
      <c r="M38" s="60"/>
      <c r="N38" s="60"/>
      <c r="O38" s="60"/>
      <c r="P38" s="60"/>
      <c r="Q38" s="61"/>
      <c r="R38" s="65"/>
      <c r="S38" s="65"/>
      <c r="T38" s="61"/>
      <c r="U38" s="60"/>
      <c r="V38" s="61"/>
      <c r="W38" s="61"/>
      <c r="X38" s="61"/>
      <c r="Y38" s="61"/>
      <c r="Z38" s="61"/>
      <c r="AA38" s="61"/>
      <c r="AB38" s="61"/>
      <c r="AC38" s="68"/>
      <c r="AD38" s="4"/>
    </row>
    <row r="39" spans="1:32" s="12" customFormat="1" ht="21" customHeight="1">
      <c r="A39" s="54"/>
      <c r="B39" s="45" t="s">
        <v>12</v>
      </c>
      <c r="C39" s="268" t="s">
        <v>5</v>
      </c>
      <c r="D39" s="270">
        <f t="shared" ref="D39:J39" si="10">SUM(D40,D42,D47,D52,D60,D63)</f>
        <v>7623</v>
      </c>
      <c r="E39" s="270">
        <f t="shared" si="10"/>
        <v>8208.5</v>
      </c>
      <c r="F39" s="270">
        <f t="shared" si="10"/>
        <v>6172.5</v>
      </c>
      <c r="G39" s="270">
        <f t="shared" si="10"/>
        <v>0</v>
      </c>
      <c r="H39" s="270">
        <f t="shared" si="10"/>
        <v>2036</v>
      </c>
      <c r="I39" s="270">
        <f t="shared" si="10"/>
        <v>0</v>
      </c>
      <c r="J39" s="270">
        <f t="shared" si="10"/>
        <v>0</v>
      </c>
      <c r="K39" s="270">
        <f>E39-D39</f>
        <v>585.5</v>
      </c>
      <c r="L39" s="271">
        <f>IF(D39=0,0,K39/D39)</f>
        <v>7.6807031352485899E-2</v>
      </c>
      <c r="M39" s="272" t="s">
        <v>206</v>
      </c>
      <c r="N39" s="272"/>
      <c r="O39" s="272"/>
      <c r="P39" s="272"/>
      <c r="Q39" s="273"/>
      <c r="R39" s="297"/>
      <c r="S39" s="273"/>
      <c r="T39" s="426"/>
      <c r="U39" s="427"/>
      <c r="V39" s="273"/>
      <c r="W39" s="273"/>
      <c r="X39" s="273"/>
      <c r="Y39" s="273"/>
      <c r="Z39" s="273"/>
      <c r="AA39" s="273"/>
      <c r="AB39" s="273">
        <f>SUM(AB40,AB42,AB47,AB52,AB60,AB63)</f>
        <v>8208500</v>
      </c>
      <c r="AC39" s="274" t="s">
        <v>26</v>
      </c>
      <c r="AD39" s="1"/>
    </row>
    <row r="40" spans="1:32" s="12" customFormat="1" ht="21" customHeight="1">
      <c r="A40" s="54"/>
      <c r="B40" s="55"/>
      <c r="C40" s="55" t="s">
        <v>109</v>
      </c>
      <c r="D40" s="249">
        <v>50</v>
      </c>
      <c r="E40" s="145">
        <f>AB40/1000</f>
        <v>50</v>
      </c>
      <c r="F40" s="145">
        <v>0</v>
      </c>
      <c r="G40" s="145">
        <v>0</v>
      </c>
      <c r="H40" s="145">
        <f>AB40/1000</f>
        <v>50</v>
      </c>
      <c r="I40" s="145">
        <v>0</v>
      </c>
      <c r="J40" s="145">
        <v>0</v>
      </c>
      <c r="K40" s="145">
        <f>E40-D40</f>
        <v>0</v>
      </c>
      <c r="L40" s="92">
        <f>IF(D40=0,0,K40/D40)</f>
        <v>0</v>
      </c>
      <c r="M40" s="153" t="s">
        <v>43</v>
      </c>
      <c r="N40" s="41"/>
      <c r="O40" s="41"/>
      <c r="P40" s="41"/>
      <c r="Q40" s="41"/>
      <c r="R40" s="42"/>
      <c r="S40" s="42"/>
      <c r="T40" s="42"/>
      <c r="U40" s="42"/>
      <c r="V40" s="42"/>
      <c r="W40" s="332" t="s">
        <v>202</v>
      </c>
      <c r="X40" s="332"/>
      <c r="Y40" s="332"/>
      <c r="Z40" s="332"/>
      <c r="AA40" s="275"/>
      <c r="AB40" s="275">
        <f>AB41</f>
        <v>50000</v>
      </c>
      <c r="AC40" s="274" t="s">
        <v>26</v>
      </c>
      <c r="AD40" s="21"/>
      <c r="AE40" s="20"/>
      <c r="AF40" s="20"/>
    </row>
    <row r="41" spans="1:32" s="12" customFormat="1" ht="21" customHeight="1">
      <c r="A41" s="54"/>
      <c r="B41" s="55"/>
      <c r="C41" s="55"/>
      <c r="D41" s="249"/>
      <c r="E41" s="145"/>
      <c r="F41" s="145"/>
      <c r="G41" s="145"/>
      <c r="H41" s="145"/>
      <c r="I41" s="145"/>
      <c r="J41" s="145"/>
      <c r="K41" s="145"/>
      <c r="L41" s="92"/>
      <c r="M41" s="292" t="s">
        <v>207</v>
      </c>
      <c r="N41" s="60"/>
      <c r="O41" s="60"/>
      <c r="P41" s="60"/>
      <c r="Q41" s="61">
        <v>50000</v>
      </c>
      <c r="R41" s="65" t="s">
        <v>26</v>
      </c>
      <c r="S41" s="65" t="s">
        <v>27</v>
      </c>
      <c r="T41" s="61">
        <v>1</v>
      </c>
      <c r="U41" s="65" t="s">
        <v>208</v>
      </c>
      <c r="V41" s="61" t="s">
        <v>27</v>
      </c>
      <c r="W41" s="61">
        <v>1</v>
      </c>
      <c r="X41" s="291" t="s">
        <v>209</v>
      </c>
      <c r="Y41" s="61" t="s">
        <v>28</v>
      </c>
      <c r="Z41" s="291"/>
      <c r="AA41" s="351" t="s">
        <v>322</v>
      </c>
      <c r="AB41" s="61">
        <f>Q41*T41*W41</f>
        <v>50000</v>
      </c>
      <c r="AC41" s="68" t="s">
        <v>73</v>
      </c>
      <c r="AD41" s="2"/>
    </row>
    <row r="42" spans="1:32" s="12" customFormat="1" ht="21" customHeight="1">
      <c r="A42" s="54"/>
      <c r="B42" s="55"/>
      <c r="C42" s="45" t="s">
        <v>44</v>
      </c>
      <c r="D42" s="251">
        <v>2294</v>
      </c>
      <c r="E42" s="150">
        <f>SUM(F42:J42)</f>
        <v>2586</v>
      </c>
      <c r="F42" s="150">
        <f>SUM(AB43:AB44)/1000</f>
        <v>1300</v>
      </c>
      <c r="G42" s="150">
        <v>0</v>
      </c>
      <c r="H42" s="150">
        <f>AB45/1000</f>
        <v>1286</v>
      </c>
      <c r="I42" s="150">
        <v>0</v>
      </c>
      <c r="J42" s="150">
        <v>0</v>
      </c>
      <c r="K42" s="150">
        <f>E42-D42</f>
        <v>292</v>
      </c>
      <c r="L42" s="158">
        <f>IF(D42=0,0,K42/D42)</f>
        <v>0.12728857890148212</v>
      </c>
      <c r="M42" s="131" t="s">
        <v>45</v>
      </c>
      <c r="N42" s="127"/>
      <c r="O42" s="127"/>
      <c r="P42" s="127"/>
      <c r="Q42" s="127"/>
      <c r="R42" s="119"/>
      <c r="S42" s="119"/>
      <c r="T42" s="119"/>
      <c r="U42" s="119"/>
      <c r="V42" s="119"/>
      <c r="W42" s="332" t="s">
        <v>255</v>
      </c>
      <c r="X42" s="273"/>
      <c r="Y42" s="273"/>
      <c r="Z42" s="273"/>
      <c r="AA42" s="275"/>
      <c r="AB42" s="275">
        <f>SUM(AB43:AB45)</f>
        <v>2586000</v>
      </c>
      <c r="AC42" s="274" t="s">
        <v>26</v>
      </c>
      <c r="AD42" s="1"/>
    </row>
    <row r="43" spans="1:32" s="12" customFormat="1" ht="21" customHeight="1">
      <c r="A43" s="54"/>
      <c r="B43" s="55"/>
      <c r="C43" s="55" t="s">
        <v>213</v>
      </c>
      <c r="D43" s="249"/>
      <c r="E43" s="145"/>
      <c r="F43" s="145"/>
      <c r="G43" s="145"/>
      <c r="H43" s="145"/>
      <c r="I43" s="145"/>
      <c r="J43" s="145"/>
      <c r="K43" s="145"/>
      <c r="L43" s="92"/>
      <c r="M43" s="255" t="s">
        <v>256</v>
      </c>
      <c r="N43" s="60"/>
      <c r="O43" s="60"/>
      <c r="P43" s="60"/>
      <c r="Q43" s="438" t="s">
        <v>329</v>
      </c>
      <c r="R43" s="438"/>
      <c r="S43" s="438"/>
      <c r="T43" s="438"/>
      <c r="U43" s="438"/>
      <c r="V43" s="438"/>
      <c r="W43" s="438"/>
      <c r="X43" s="438"/>
      <c r="Y43" s="438"/>
      <c r="Z43" s="438"/>
      <c r="AA43" s="438"/>
      <c r="AB43" s="118">
        <v>1000000</v>
      </c>
      <c r="AC43" s="160" t="s">
        <v>26</v>
      </c>
      <c r="AD43" s="1"/>
    </row>
    <row r="44" spans="1:32" s="12" customFormat="1" ht="21" customHeight="1">
      <c r="A44" s="54"/>
      <c r="B44" s="55"/>
      <c r="C44" s="55"/>
      <c r="D44" s="249"/>
      <c r="E44" s="145"/>
      <c r="F44" s="145"/>
      <c r="G44" s="145"/>
      <c r="H44" s="145"/>
      <c r="I44" s="145"/>
      <c r="J44" s="145"/>
      <c r="K44" s="145"/>
      <c r="L44" s="92"/>
      <c r="M44" s="345" t="s">
        <v>301</v>
      </c>
      <c r="N44" s="330"/>
      <c r="O44" s="330"/>
      <c r="P44" s="330"/>
      <c r="Q44" s="329"/>
      <c r="R44" s="65"/>
      <c r="S44" s="65"/>
      <c r="T44" s="329"/>
      <c r="U44" s="330"/>
      <c r="V44" s="329"/>
      <c r="W44" s="329"/>
      <c r="X44" s="329"/>
      <c r="Y44" s="329"/>
      <c r="Z44" s="329"/>
      <c r="AA44" s="329"/>
      <c r="AB44" s="329">
        <v>300000</v>
      </c>
      <c r="AC44" s="68" t="s">
        <v>261</v>
      </c>
      <c r="AD44" s="21"/>
    </row>
    <row r="45" spans="1:32" s="12" customFormat="1" ht="21" customHeight="1">
      <c r="A45" s="54"/>
      <c r="B45" s="55"/>
      <c r="C45" s="55"/>
      <c r="D45" s="249"/>
      <c r="E45" s="145"/>
      <c r="F45" s="145"/>
      <c r="G45" s="145"/>
      <c r="H45" s="145"/>
      <c r="I45" s="145"/>
      <c r="J45" s="145"/>
      <c r="K45" s="145"/>
      <c r="L45" s="92"/>
      <c r="M45" s="345" t="s">
        <v>302</v>
      </c>
      <c r="N45" s="60"/>
      <c r="O45" s="60"/>
      <c r="P45" s="60"/>
      <c r="Q45" s="61"/>
      <c r="R45" s="65"/>
      <c r="S45" s="65"/>
      <c r="T45" s="61"/>
      <c r="U45" s="60"/>
      <c r="V45" s="61"/>
      <c r="W45" s="61"/>
      <c r="X45" s="61"/>
      <c r="Y45" s="61"/>
      <c r="Z45" s="61"/>
      <c r="AA45" s="61"/>
      <c r="AB45" s="61">
        <v>1286000</v>
      </c>
      <c r="AC45" s="68" t="s">
        <v>26</v>
      </c>
      <c r="AD45" s="21"/>
    </row>
    <row r="46" spans="1:32" s="12" customFormat="1" ht="21" customHeight="1">
      <c r="A46" s="54"/>
      <c r="B46" s="55"/>
      <c r="C46" s="70"/>
      <c r="D46" s="250"/>
      <c r="E46" s="148"/>
      <c r="F46" s="148"/>
      <c r="G46" s="148"/>
      <c r="H46" s="148"/>
      <c r="I46" s="148"/>
      <c r="J46" s="148"/>
      <c r="K46" s="148"/>
      <c r="L46" s="114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2"/>
      <c r="AC46" s="173"/>
      <c r="AD46" s="1"/>
    </row>
    <row r="47" spans="1:32" s="12" customFormat="1" ht="21" customHeight="1">
      <c r="A47" s="54"/>
      <c r="B47" s="55"/>
      <c r="C47" s="55" t="s">
        <v>42</v>
      </c>
      <c r="D47" s="249">
        <v>4849</v>
      </c>
      <c r="E47" s="145">
        <f>SUM(F47:J47)</f>
        <v>5080</v>
      </c>
      <c r="F47" s="145">
        <f>SUM(AB48:AB50)/1000</f>
        <v>4580</v>
      </c>
      <c r="G47" s="145">
        <v>0</v>
      </c>
      <c r="H47" s="145">
        <f>AB51/1000</f>
        <v>500</v>
      </c>
      <c r="I47" s="145">
        <v>0</v>
      </c>
      <c r="J47" s="145">
        <v>0</v>
      </c>
      <c r="K47" s="145">
        <f>E47-D47</f>
        <v>231</v>
      </c>
      <c r="L47" s="92">
        <f>IF(D47=0,0,K47/D47)</f>
        <v>4.7638688389358634E-2</v>
      </c>
      <c r="M47" s="153" t="s">
        <v>46</v>
      </c>
      <c r="N47" s="41"/>
      <c r="O47" s="41"/>
      <c r="P47" s="41"/>
      <c r="Q47" s="41"/>
      <c r="R47" s="42"/>
      <c r="S47" s="42"/>
      <c r="T47" s="42"/>
      <c r="U47" s="42"/>
      <c r="V47" s="42"/>
      <c r="W47" s="273" t="s">
        <v>202</v>
      </c>
      <c r="X47" s="273"/>
      <c r="Y47" s="273"/>
      <c r="Z47" s="273"/>
      <c r="AA47" s="275"/>
      <c r="AB47" s="275">
        <f>SUM(AB48:AB51)</f>
        <v>5080000</v>
      </c>
      <c r="AC47" s="274" t="s">
        <v>26</v>
      </c>
      <c r="AD47" s="1"/>
    </row>
    <row r="48" spans="1:32" s="12" customFormat="1" ht="21" customHeight="1">
      <c r="A48" s="54"/>
      <c r="B48" s="55"/>
      <c r="C48" s="55"/>
      <c r="D48" s="249"/>
      <c r="E48" s="145"/>
      <c r="F48" s="145"/>
      <c r="G48" s="145"/>
      <c r="H48" s="145"/>
      <c r="I48" s="145"/>
      <c r="J48" s="145"/>
      <c r="K48" s="145"/>
      <c r="L48" s="92"/>
      <c r="M48" s="255" t="s">
        <v>258</v>
      </c>
      <c r="N48" s="60"/>
      <c r="O48" s="60"/>
      <c r="P48" s="60"/>
      <c r="Q48" s="168">
        <v>80000</v>
      </c>
      <c r="R48" s="169" t="s">
        <v>26</v>
      </c>
      <c r="S48" s="169" t="s">
        <v>27</v>
      </c>
      <c r="T48" s="168">
        <v>12</v>
      </c>
      <c r="U48" s="167" t="s">
        <v>30</v>
      </c>
      <c r="V48" s="168" t="s">
        <v>28</v>
      </c>
      <c r="W48" s="61"/>
      <c r="X48" s="61"/>
      <c r="Y48" s="165"/>
      <c r="Z48" s="61"/>
      <c r="AA48" s="61"/>
      <c r="AB48" s="61">
        <f>Q48*T48</f>
        <v>960000</v>
      </c>
      <c r="AC48" s="68" t="s">
        <v>26</v>
      </c>
      <c r="AD48" s="1"/>
    </row>
    <row r="49" spans="1:30" s="12" customFormat="1" ht="21" customHeight="1">
      <c r="A49" s="54"/>
      <c r="B49" s="55"/>
      <c r="C49" s="55"/>
      <c r="D49" s="249"/>
      <c r="E49" s="145"/>
      <c r="F49" s="145"/>
      <c r="G49" s="145"/>
      <c r="H49" s="145"/>
      <c r="I49" s="145"/>
      <c r="J49" s="145"/>
      <c r="K49" s="145"/>
      <c r="L49" s="92"/>
      <c r="M49" s="330" t="s">
        <v>259</v>
      </c>
      <c r="N49" s="221"/>
      <c r="O49" s="221"/>
      <c r="P49" s="221"/>
      <c r="Q49" s="291">
        <v>300000</v>
      </c>
      <c r="R49" s="65" t="s">
        <v>60</v>
      </c>
      <c r="S49" s="65" t="s">
        <v>27</v>
      </c>
      <c r="T49" s="291">
        <v>12</v>
      </c>
      <c r="U49" s="292" t="s">
        <v>0</v>
      </c>
      <c r="V49" s="291" t="s">
        <v>28</v>
      </c>
      <c r="W49" s="291"/>
      <c r="X49" s="291"/>
      <c r="Y49" s="291"/>
      <c r="Z49" s="291"/>
      <c r="AA49" s="291"/>
      <c r="AB49" s="291">
        <f>Q49*T49</f>
        <v>3600000</v>
      </c>
      <c r="AC49" s="68" t="s">
        <v>171</v>
      </c>
      <c r="AD49" s="1"/>
    </row>
    <row r="50" spans="1:30" s="15" customFormat="1" ht="21" customHeight="1">
      <c r="A50" s="54"/>
      <c r="B50" s="55"/>
      <c r="C50" s="55"/>
      <c r="D50" s="249"/>
      <c r="E50" s="145"/>
      <c r="F50" s="145"/>
      <c r="G50" s="145"/>
      <c r="H50" s="145"/>
      <c r="I50" s="145"/>
      <c r="J50" s="145"/>
      <c r="K50" s="145"/>
      <c r="L50" s="92"/>
      <c r="M50" s="330" t="s">
        <v>260</v>
      </c>
      <c r="N50" s="166"/>
      <c r="O50" s="166"/>
      <c r="P50" s="166"/>
      <c r="Q50" s="165"/>
      <c r="R50" s="65"/>
      <c r="S50" s="65"/>
      <c r="T50" s="165"/>
      <c r="U50" s="166"/>
      <c r="V50" s="165"/>
      <c r="W50" s="165"/>
      <c r="X50" s="165"/>
      <c r="Y50" s="165"/>
      <c r="Z50" s="165"/>
      <c r="AA50" s="165"/>
      <c r="AB50" s="165">
        <v>20000</v>
      </c>
      <c r="AC50" s="68" t="s">
        <v>73</v>
      </c>
      <c r="AD50" s="4"/>
    </row>
    <row r="51" spans="1:30" s="15" customFormat="1" ht="21" customHeight="1">
      <c r="A51" s="54"/>
      <c r="B51" s="55"/>
      <c r="C51" s="55"/>
      <c r="D51" s="249"/>
      <c r="E51" s="145"/>
      <c r="F51" s="145"/>
      <c r="G51" s="145"/>
      <c r="H51" s="145"/>
      <c r="I51" s="145"/>
      <c r="J51" s="145"/>
      <c r="K51" s="145"/>
      <c r="L51" s="92"/>
      <c r="M51" s="157" t="s">
        <v>330</v>
      </c>
      <c r="N51" s="60"/>
      <c r="O51" s="60"/>
      <c r="P51" s="60"/>
      <c r="Q51" s="61"/>
      <c r="R51" s="65"/>
      <c r="S51" s="65"/>
      <c r="T51" s="61"/>
      <c r="U51" s="60"/>
      <c r="V51" s="61"/>
      <c r="W51" s="61"/>
      <c r="X51" s="61"/>
      <c r="Y51" s="61"/>
      <c r="Z51" s="198"/>
      <c r="AA51" s="61"/>
      <c r="AB51" s="61">
        <v>500000</v>
      </c>
      <c r="AC51" s="68" t="s">
        <v>60</v>
      </c>
      <c r="AD51" s="4"/>
    </row>
    <row r="52" spans="1:30" ht="21" customHeight="1">
      <c r="A52" s="54"/>
      <c r="B52" s="55"/>
      <c r="C52" s="45" t="s">
        <v>15</v>
      </c>
      <c r="D52" s="251">
        <v>330</v>
      </c>
      <c r="E52" s="150">
        <f>SUM(F52:J52)</f>
        <v>392.5</v>
      </c>
      <c r="F52" s="150">
        <f>SUM(AB53:AB57)/1000</f>
        <v>292.5</v>
      </c>
      <c r="G52" s="150">
        <v>0</v>
      </c>
      <c r="H52" s="150">
        <v>100</v>
      </c>
      <c r="I52" s="150">
        <v>0</v>
      </c>
      <c r="J52" s="150">
        <v>0</v>
      </c>
      <c r="K52" s="298">
        <f>E52-D52</f>
        <v>62.5</v>
      </c>
      <c r="L52" s="158">
        <f>IF(D52=0,0,K52/D52)</f>
        <v>0.18939393939393939</v>
      </c>
      <c r="M52" s="131" t="s">
        <v>47</v>
      </c>
      <c r="N52" s="127"/>
      <c r="O52" s="127"/>
      <c r="P52" s="127"/>
      <c r="Q52" s="127"/>
      <c r="R52" s="119"/>
      <c r="S52" s="119"/>
      <c r="T52" s="119"/>
      <c r="U52" s="119"/>
      <c r="V52" s="119"/>
      <c r="W52" s="273" t="s">
        <v>202</v>
      </c>
      <c r="X52" s="273"/>
      <c r="Y52" s="273"/>
      <c r="Z52" s="273"/>
      <c r="AA52" s="275"/>
      <c r="AB52" s="275">
        <f>SUM(AB53:AB58)</f>
        <v>392500</v>
      </c>
      <c r="AC52" s="274" t="s">
        <v>26</v>
      </c>
    </row>
    <row r="53" spans="1:30" s="12" customFormat="1" ht="21" customHeight="1">
      <c r="A53" s="54"/>
      <c r="B53" s="55"/>
      <c r="C53" s="55"/>
      <c r="D53" s="249"/>
      <c r="E53" s="145"/>
      <c r="F53" s="145"/>
      <c r="G53" s="145"/>
      <c r="H53" s="145"/>
      <c r="I53" s="145"/>
      <c r="J53" s="145"/>
      <c r="K53" s="145"/>
      <c r="L53" s="92"/>
      <c r="M53" s="330" t="s">
        <v>262</v>
      </c>
      <c r="N53" s="174"/>
      <c r="O53" s="174"/>
      <c r="P53" s="174"/>
      <c r="Q53" s="168">
        <v>50000</v>
      </c>
      <c r="R53" s="169" t="s">
        <v>26</v>
      </c>
      <c r="S53" s="169" t="s">
        <v>27</v>
      </c>
      <c r="T53" s="168">
        <v>1</v>
      </c>
      <c r="U53" s="167" t="s">
        <v>254</v>
      </c>
      <c r="V53" s="168" t="s">
        <v>28</v>
      </c>
      <c r="W53" s="61"/>
      <c r="X53" s="61"/>
      <c r="Y53" s="60"/>
      <c r="Z53" s="60"/>
      <c r="AA53" s="61"/>
      <c r="AB53" s="61">
        <f>Q53*T53</f>
        <v>50000</v>
      </c>
      <c r="AC53" s="68" t="s">
        <v>261</v>
      </c>
      <c r="AD53" s="1"/>
    </row>
    <row r="54" spans="1:30" s="12" customFormat="1" ht="21" customHeight="1">
      <c r="A54" s="54"/>
      <c r="B54" s="55"/>
      <c r="C54" s="55"/>
      <c r="D54" s="249"/>
      <c r="E54" s="145"/>
      <c r="F54" s="145"/>
      <c r="G54" s="145"/>
      <c r="H54" s="145"/>
      <c r="I54" s="145"/>
      <c r="J54" s="145"/>
      <c r="K54" s="145"/>
      <c r="L54" s="92"/>
      <c r="M54" s="341" t="s">
        <v>263</v>
      </c>
      <c r="N54" s="35"/>
      <c r="O54" s="35"/>
      <c r="P54" s="35"/>
      <c r="Q54" s="168">
        <v>50000</v>
      </c>
      <c r="R54" s="169" t="s">
        <v>26</v>
      </c>
      <c r="S54" s="169" t="s">
        <v>27</v>
      </c>
      <c r="T54" s="168">
        <v>1</v>
      </c>
      <c r="U54" s="167" t="s">
        <v>254</v>
      </c>
      <c r="V54" s="168" t="s">
        <v>28</v>
      </c>
      <c r="W54" s="329"/>
      <c r="X54" s="329"/>
      <c r="Y54" s="330"/>
      <c r="Z54" s="330"/>
      <c r="AA54" s="329"/>
      <c r="AB54" s="329">
        <f>Q54*T54</f>
        <v>50000</v>
      </c>
      <c r="AC54" s="68" t="s">
        <v>261</v>
      </c>
      <c r="AD54" s="1"/>
    </row>
    <row r="55" spans="1:30" s="12" customFormat="1" ht="21" customHeight="1">
      <c r="A55" s="54"/>
      <c r="B55" s="55"/>
      <c r="C55" s="55"/>
      <c r="D55" s="249"/>
      <c r="E55" s="145"/>
      <c r="F55" s="145"/>
      <c r="G55" s="145"/>
      <c r="H55" s="145"/>
      <c r="I55" s="145"/>
      <c r="J55" s="145"/>
      <c r="K55" s="145"/>
      <c r="L55" s="92"/>
      <c r="M55" s="330" t="s">
        <v>264</v>
      </c>
      <c r="N55" s="35"/>
      <c r="O55" s="35"/>
      <c r="P55" s="35"/>
      <c r="Q55" s="168">
        <v>110000</v>
      </c>
      <c r="R55" s="169" t="s">
        <v>26</v>
      </c>
      <c r="S55" s="169" t="s">
        <v>27</v>
      </c>
      <c r="T55" s="168">
        <v>1</v>
      </c>
      <c r="U55" s="167" t="s">
        <v>254</v>
      </c>
      <c r="V55" s="168" t="s">
        <v>28</v>
      </c>
      <c r="W55" s="61"/>
      <c r="X55" s="61"/>
      <c r="Y55" s="60"/>
      <c r="Z55" s="60"/>
      <c r="AA55" s="61"/>
      <c r="AB55" s="329">
        <f t="shared" ref="AB55:AB57" si="11">Q55*T55</f>
        <v>110000</v>
      </c>
      <c r="AC55" s="68" t="s">
        <v>26</v>
      </c>
      <c r="AD55" s="1"/>
    </row>
    <row r="56" spans="1:30" s="12" customFormat="1" ht="21" customHeight="1">
      <c r="A56" s="54"/>
      <c r="B56" s="55"/>
      <c r="C56" s="55"/>
      <c r="D56" s="249"/>
      <c r="E56" s="145"/>
      <c r="F56" s="145"/>
      <c r="G56" s="145"/>
      <c r="H56" s="145"/>
      <c r="I56" s="145"/>
      <c r="J56" s="145"/>
      <c r="K56" s="145"/>
      <c r="L56" s="92"/>
      <c r="M56" s="330" t="s">
        <v>265</v>
      </c>
      <c r="N56" s="174"/>
      <c r="O56" s="174"/>
      <c r="P56" s="174"/>
      <c r="Q56" s="168">
        <v>27500</v>
      </c>
      <c r="R56" s="169" t="s">
        <v>26</v>
      </c>
      <c r="S56" s="169" t="s">
        <v>27</v>
      </c>
      <c r="T56" s="168">
        <v>1</v>
      </c>
      <c r="U56" s="167" t="s">
        <v>254</v>
      </c>
      <c r="V56" s="168" t="s">
        <v>28</v>
      </c>
      <c r="W56" s="61"/>
      <c r="X56" s="61"/>
      <c r="Y56" s="60"/>
      <c r="Z56" s="60"/>
      <c r="AA56" s="61"/>
      <c r="AB56" s="329">
        <f t="shared" si="11"/>
        <v>27500</v>
      </c>
      <c r="AC56" s="68" t="s">
        <v>26</v>
      </c>
      <c r="AD56" s="1"/>
    </row>
    <row r="57" spans="1:30" s="12" customFormat="1" ht="21" customHeight="1">
      <c r="A57" s="54"/>
      <c r="B57" s="55"/>
      <c r="C57" s="55"/>
      <c r="D57" s="249"/>
      <c r="E57" s="145"/>
      <c r="F57" s="145"/>
      <c r="G57" s="145"/>
      <c r="H57" s="145"/>
      <c r="I57" s="145"/>
      <c r="J57" s="145"/>
      <c r="K57" s="145"/>
      <c r="L57" s="92"/>
      <c r="M57" s="330" t="s">
        <v>266</v>
      </c>
      <c r="N57" s="35"/>
      <c r="O57" s="35"/>
      <c r="P57" s="35"/>
      <c r="Q57" s="168">
        <v>55000</v>
      </c>
      <c r="R57" s="169" t="s">
        <v>26</v>
      </c>
      <c r="S57" s="169" t="s">
        <v>27</v>
      </c>
      <c r="T57" s="168">
        <v>1</v>
      </c>
      <c r="U57" s="167" t="s">
        <v>254</v>
      </c>
      <c r="V57" s="168" t="s">
        <v>28</v>
      </c>
      <c r="W57" s="61"/>
      <c r="X57" s="61"/>
      <c r="Y57" s="60"/>
      <c r="Z57" s="60"/>
      <c r="AA57" s="61"/>
      <c r="AB57" s="329">
        <f t="shared" si="11"/>
        <v>55000</v>
      </c>
      <c r="AC57" s="68" t="s">
        <v>26</v>
      </c>
      <c r="AD57" s="1"/>
    </row>
    <row r="58" spans="1:30" s="12" customFormat="1" ht="21" customHeight="1">
      <c r="A58" s="54"/>
      <c r="B58" s="55"/>
      <c r="C58" s="55"/>
      <c r="D58" s="249"/>
      <c r="E58" s="145"/>
      <c r="F58" s="145"/>
      <c r="G58" s="145"/>
      <c r="H58" s="145"/>
      <c r="I58" s="145"/>
      <c r="J58" s="145"/>
      <c r="K58" s="145"/>
      <c r="L58" s="92"/>
      <c r="M58" s="355" t="s">
        <v>331</v>
      </c>
      <c r="N58" s="35"/>
      <c r="O58" s="35"/>
      <c r="P58" s="35"/>
      <c r="Q58" s="166"/>
      <c r="R58" s="89"/>
      <c r="S58" s="175"/>
      <c r="T58" s="166"/>
      <c r="U58" s="65"/>
      <c r="V58" s="165"/>
      <c r="W58" s="165"/>
      <c r="X58" s="165"/>
      <c r="Y58" s="166"/>
      <c r="Z58" s="166"/>
      <c r="AA58" s="165"/>
      <c r="AB58" s="165">
        <v>100000</v>
      </c>
      <c r="AC58" s="68" t="s">
        <v>73</v>
      </c>
      <c r="AD58" s="1"/>
    </row>
    <row r="59" spans="1:30" s="12" customFormat="1" ht="21" customHeight="1">
      <c r="A59" s="54"/>
      <c r="B59" s="55"/>
      <c r="C59" s="55"/>
      <c r="D59" s="249"/>
      <c r="E59" s="145"/>
      <c r="F59" s="145"/>
      <c r="G59" s="145"/>
      <c r="H59" s="145"/>
      <c r="I59" s="145"/>
      <c r="J59" s="145"/>
      <c r="K59" s="145"/>
      <c r="L59" s="92"/>
      <c r="M59" s="166"/>
      <c r="N59" s="174"/>
      <c r="O59" s="174"/>
      <c r="P59" s="174"/>
      <c r="Q59" s="174"/>
      <c r="R59" s="174"/>
      <c r="S59" s="174"/>
      <c r="T59" s="174"/>
      <c r="U59" s="174"/>
      <c r="V59" s="174"/>
      <c r="W59" s="97"/>
      <c r="X59" s="97"/>
      <c r="Y59" s="97"/>
      <c r="Z59" s="97"/>
      <c r="AA59" s="97"/>
      <c r="AB59" s="61"/>
      <c r="AC59" s="68"/>
      <c r="AD59" s="1"/>
    </row>
    <row r="60" spans="1:30" s="12" customFormat="1" ht="21" customHeight="1">
      <c r="A60" s="54"/>
      <c r="B60" s="55"/>
      <c r="C60" s="45" t="s">
        <v>48</v>
      </c>
      <c r="D60" s="251">
        <v>0</v>
      </c>
      <c r="E60" s="150">
        <f>ROUND(AB60/1000,0)</f>
        <v>0</v>
      </c>
      <c r="F60" s="150">
        <v>0</v>
      </c>
      <c r="G60" s="150">
        <v>0</v>
      </c>
      <c r="H60" s="150">
        <v>0</v>
      </c>
      <c r="I60" s="150">
        <v>0</v>
      </c>
      <c r="J60" s="150">
        <v>0</v>
      </c>
      <c r="K60" s="150">
        <f>E60-D60</f>
        <v>0</v>
      </c>
      <c r="L60" s="158">
        <f>IF(D60=0,0,K60/D60)</f>
        <v>0</v>
      </c>
      <c r="M60" s="131" t="s">
        <v>49</v>
      </c>
      <c r="N60" s="127"/>
      <c r="O60" s="127"/>
      <c r="P60" s="127"/>
      <c r="Q60" s="127"/>
      <c r="R60" s="119"/>
      <c r="S60" s="119"/>
      <c r="T60" s="119"/>
      <c r="U60" s="119"/>
      <c r="V60" s="119"/>
      <c r="W60" s="273" t="s">
        <v>202</v>
      </c>
      <c r="X60" s="273"/>
      <c r="Y60" s="273"/>
      <c r="Z60" s="273"/>
      <c r="AA60" s="275"/>
      <c r="AB60" s="275">
        <f>SUM(AB61:AB61)</f>
        <v>0</v>
      </c>
      <c r="AC60" s="274" t="s">
        <v>26</v>
      </c>
      <c r="AD60" s="1"/>
    </row>
    <row r="61" spans="1:30" s="12" customFormat="1" ht="21" customHeight="1">
      <c r="A61" s="54"/>
      <c r="B61" s="55"/>
      <c r="C61" s="55"/>
      <c r="D61" s="146"/>
      <c r="E61" s="145"/>
      <c r="F61" s="145"/>
      <c r="G61" s="145"/>
      <c r="H61" s="145"/>
      <c r="I61" s="145"/>
      <c r="J61" s="145"/>
      <c r="K61" s="145"/>
      <c r="L61" s="92"/>
      <c r="M61" s="330" t="s">
        <v>267</v>
      </c>
      <c r="N61" s="60"/>
      <c r="O61" s="60"/>
      <c r="P61" s="60"/>
      <c r="Q61" s="168">
        <v>0</v>
      </c>
      <c r="R61" s="169" t="s">
        <v>26</v>
      </c>
      <c r="S61" s="169" t="s">
        <v>27</v>
      </c>
      <c r="T61" s="168">
        <v>12</v>
      </c>
      <c r="U61" s="167" t="s">
        <v>257</v>
      </c>
      <c r="V61" s="168" t="s">
        <v>28</v>
      </c>
      <c r="W61" s="61"/>
      <c r="X61" s="61"/>
      <c r="Y61" s="61"/>
      <c r="Z61" s="61"/>
      <c r="AA61" s="61"/>
      <c r="AB61" s="61">
        <f>Q61*T61</f>
        <v>0</v>
      </c>
      <c r="AC61" s="68" t="s">
        <v>26</v>
      </c>
      <c r="AD61" s="1"/>
    </row>
    <row r="62" spans="1:30" s="12" customFormat="1" ht="21" customHeight="1">
      <c r="A62" s="54"/>
      <c r="B62" s="55"/>
      <c r="C62" s="70"/>
      <c r="D62" s="176"/>
      <c r="E62" s="148"/>
      <c r="F62" s="148"/>
      <c r="G62" s="148"/>
      <c r="H62" s="148"/>
      <c r="I62" s="148"/>
      <c r="J62" s="148"/>
      <c r="K62" s="148"/>
      <c r="L62" s="114"/>
      <c r="M62" s="107"/>
      <c r="N62" s="107"/>
      <c r="O62" s="107"/>
      <c r="P62" s="107"/>
      <c r="Q62" s="106"/>
      <c r="R62" s="115"/>
      <c r="S62" s="106"/>
      <c r="T62" s="424"/>
      <c r="U62" s="425"/>
      <c r="V62" s="106"/>
      <c r="W62" s="106"/>
      <c r="X62" s="106"/>
      <c r="Y62" s="106"/>
      <c r="Z62" s="177"/>
      <c r="AA62" s="106"/>
      <c r="AB62" s="106"/>
      <c r="AC62" s="95"/>
      <c r="AD62" s="1"/>
    </row>
    <row r="63" spans="1:30" s="12" customFormat="1" ht="21" customHeight="1">
      <c r="A63" s="54"/>
      <c r="B63" s="55"/>
      <c r="C63" s="45" t="s">
        <v>111</v>
      </c>
      <c r="D63" s="178">
        <v>100</v>
      </c>
      <c r="E63" s="150">
        <f>SUM(F63:J63)</f>
        <v>100</v>
      </c>
      <c r="F63" s="150">
        <v>0</v>
      </c>
      <c r="G63" s="150">
        <v>0</v>
      </c>
      <c r="H63" s="150">
        <f>AB64/1000</f>
        <v>100</v>
      </c>
      <c r="I63" s="150">
        <v>0</v>
      </c>
      <c r="J63" s="150">
        <v>0</v>
      </c>
      <c r="K63" s="150">
        <f>E63-D63</f>
        <v>0</v>
      </c>
      <c r="L63" s="158">
        <f>IF(D63=0,0,K63/D63)</f>
        <v>0</v>
      </c>
      <c r="M63" s="153" t="s">
        <v>112</v>
      </c>
      <c r="N63" s="127"/>
      <c r="O63" s="127"/>
      <c r="P63" s="127"/>
      <c r="Q63" s="127"/>
      <c r="R63" s="119"/>
      <c r="S63" s="119"/>
      <c r="T63" s="119"/>
      <c r="U63" s="119"/>
      <c r="V63" s="119"/>
      <c r="W63" s="273" t="s">
        <v>202</v>
      </c>
      <c r="X63" s="273"/>
      <c r="Y63" s="273"/>
      <c r="Z63" s="273"/>
      <c r="AA63" s="275"/>
      <c r="AB63" s="275">
        <f>SUM(AB64)</f>
        <v>100000</v>
      </c>
      <c r="AC63" s="274" t="s">
        <v>26</v>
      </c>
      <c r="AD63" s="1"/>
    </row>
    <row r="64" spans="1:30" s="12" customFormat="1" ht="20.25" customHeight="1">
      <c r="A64" s="54"/>
      <c r="B64" s="55"/>
      <c r="C64" s="55"/>
      <c r="D64" s="179"/>
      <c r="E64" s="145"/>
      <c r="F64" s="145"/>
      <c r="G64" s="145"/>
      <c r="H64" s="145"/>
      <c r="I64" s="145"/>
      <c r="J64" s="145"/>
      <c r="K64" s="145"/>
      <c r="L64" s="92"/>
      <c r="M64" s="330" t="s">
        <v>268</v>
      </c>
      <c r="N64" s="166"/>
      <c r="O64" s="166"/>
      <c r="P64" s="166"/>
      <c r="Q64" s="154"/>
      <c r="R64" s="165"/>
      <c r="S64" s="165"/>
      <c r="T64" s="165"/>
      <c r="U64" s="165"/>
      <c r="V64" s="165"/>
      <c r="W64" s="165"/>
      <c r="X64" s="165"/>
      <c r="Y64" s="165"/>
      <c r="Z64" s="165"/>
      <c r="AA64" s="89" t="s">
        <v>328</v>
      </c>
      <c r="AB64" s="89">
        <v>100000</v>
      </c>
      <c r="AC64" s="68" t="s">
        <v>261</v>
      </c>
      <c r="AD64" s="2"/>
    </row>
    <row r="65" spans="1:30" s="12" customFormat="1" ht="21" customHeight="1">
      <c r="A65" s="54"/>
      <c r="B65" s="55"/>
      <c r="C65" s="56"/>
      <c r="D65" s="249"/>
      <c r="E65" s="145"/>
      <c r="F65" s="145"/>
      <c r="G65" s="145"/>
      <c r="H65" s="145"/>
      <c r="I65" s="145"/>
      <c r="J65" s="145"/>
      <c r="K65" s="145"/>
      <c r="L65" s="114"/>
      <c r="M65" s="244"/>
      <c r="N65" s="107"/>
      <c r="O65" s="107"/>
      <c r="P65" s="107"/>
      <c r="Q65" s="106"/>
      <c r="R65" s="107"/>
      <c r="S65" s="106"/>
      <c r="T65" s="180"/>
      <c r="U65" s="180"/>
      <c r="V65" s="106"/>
      <c r="W65" s="106"/>
      <c r="X65" s="106"/>
      <c r="Y65" s="106"/>
      <c r="Z65" s="106"/>
      <c r="AA65" s="106"/>
      <c r="AB65" s="106"/>
      <c r="AC65" s="95"/>
      <c r="AD65" s="2"/>
    </row>
    <row r="66" spans="1:30" s="12" customFormat="1" ht="21" customHeight="1">
      <c r="A66" s="149" t="s">
        <v>50</v>
      </c>
      <c r="B66" s="445" t="s">
        <v>21</v>
      </c>
      <c r="C66" s="445"/>
      <c r="D66" s="301">
        <f>D67</f>
        <v>0</v>
      </c>
      <c r="E66" s="301">
        <f>E67</f>
        <v>0</v>
      </c>
      <c r="F66" s="301">
        <f t="shared" ref="F66:J66" si="12">F67</f>
        <v>0</v>
      </c>
      <c r="G66" s="301">
        <f t="shared" si="12"/>
        <v>0</v>
      </c>
      <c r="H66" s="301">
        <f>H67</f>
        <v>0</v>
      </c>
      <c r="I66" s="301">
        <f t="shared" si="12"/>
        <v>0</v>
      </c>
      <c r="J66" s="301">
        <f t="shared" si="12"/>
        <v>0</v>
      </c>
      <c r="K66" s="301">
        <f>E66-D66</f>
        <v>0</v>
      </c>
      <c r="L66" s="265">
        <f>IF(D66=0,0,K66/D66)</f>
        <v>0</v>
      </c>
      <c r="M66" s="290" t="s">
        <v>210</v>
      </c>
      <c r="N66" s="41"/>
      <c r="O66" s="41"/>
      <c r="P66" s="41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>
        <f>AB67</f>
        <v>0</v>
      </c>
      <c r="AC66" s="43" t="s">
        <v>26</v>
      </c>
      <c r="AD66" s="2"/>
    </row>
    <row r="67" spans="1:30" s="12" customFormat="1" ht="21" customHeight="1">
      <c r="A67" s="300" t="s">
        <v>217</v>
      </c>
      <c r="B67" s="55" t="s">
        <v>18</v>
      </c>
      <c r="C67" s="55" t="s">
        <v>211</v>
      </c>
      <c r="D67" s="249">
        <v>0</v>
      </c>
      <c r="E67" s="145">
        <f>SUM(E68,E71,E75)</f>
        <v>0</v>
      </c>
      <c r="F67" s="145">
        <f t="shared" ref="F67:J67" si="13">SUM(F68,F71,F75)</f>
        <v>0</v>
      </c>
      <c r="G67" s="145">
        <f t="shared" si="13"/>
        <v>0</v>
      </c>
      <c r="H67" s="145">
        <f>SUM(H68,H71,H75)</f>
        <v>0</v>
      </c>
      <c r="I67" s="145">
        <f t="shared" si="13"/>
        <v>0</v>
      </c>
      <c r="J67" s="145">
        <f t="shared" si="13"/>
        <v>0</v>
      </c>
      <c r="K67" s="145">
        <f>E67-D67</f>
        <v>0</v>
      </c>
      <c r="L67" s="92">
        <f>IF(D67=0,0,K67/D67)</f>
        <v>0</v>
      </c>
      <c r="M67" s="294" t="s">
        <v>212</v>
      </c>
      <c r="N67" s="127"/>
      <c r="O67" s="127"/>
      <c r="P67" s="127"/>
      <c r="Q67" s="127"/>
      <c r="R67" s="119"/>
      <c r="S67" s="119"/>
      <c r="T67" s="119"/>
      <c r="U67" s="119"/>
      <c r="V67" s="119"/>
      <c r="W67" s="119"/>
      <c r="X67" s="119"/>
      <c r="Y67" s="119"/>
      <c r="Z67" s="119"/>
      <c r="AA67" s="128"/>
      <c r="AB67" s="128">
        <f>SUM(AB68,AB71,AB75)</f>
        <v>0</v>
      </c>
      <c r="AC67" s="129" t="s">
        <v>26</v>
      </c>
      <c r="AD67" s="1"/>
    </row>
    <row r="68" spans="1:30" s="12" customFormat="1" ht="21" customHeight="1">
      <c r="A68" s="54"/>
      <c r="B68" s="55"/>
      <c r="C68" s="45" t="s">
        <v>212</v>
      </c>
      <c r="D68" s="298">
        <v>0</v>
      </c>
      <c r="E68" s="298">
        <f>ROUND(AB68/1000,0)</f>
        <v>0</v>
      </c>
      <c r="F68" s="298">
        <v>0</v>
      </c>
      <c r="G68" s="298">
        <v>0</v>
      </c>
      <c r="H68" s="298">
        <v>0</v>
      </c>
      <c r="I68" s="298">
        <v>0</v>
      </c>
      <c r="J68" s="298">
        <v>0</v>
      </c>
      <c r="K68" s="298">
        <f>E68-D68</f>
        <v>0</v>
      </c>
      <c r="L68" s="299">
        <f>IF(D68=0,0,K68/D68)</f>
        <v>0</v>
      </c>
      <c r="M68" s="131" t="s">
        <v>51</v>
      </c>
      <c r="N68" s="294"/>
      <c r="O68" s="294"/>
      <c r="P68" s="294"/>
      <c r="Q68" s="294"/>
      <c r="R68" s="293"/>
      <c r="S68" s="293"/>
      <c r="T68" s="293"/>
      <c r="U68" s="293"/>
      <c r="V68" s="293"/>
      <c r="W68" s="273" t="s">
        <v>202</v>
      </c>
      <c r="X68" s="273"/>
      <c r="Y68" s="273"/>
      <c r="Z68" s="273"/>
      <c r="AA68" s="275"/>
      <c r="AB68" s="275">
        <f>SUM(AB69:AB69)</f>
        <v>0</v>
      </c>
      <c r="AC68" s="274" t="s">
        <v>26</v>
      </c>
      <c r="AD68" s="1"/>
    </row>
    <row r="69" spans="1:30" s="12" customFormat="1" ht="21" customHeight="1">
      <c r="A69" s="54"/>
      <c r="B69" s="55"/>
      <c r="C69" s="55"/>
      <c r="D69" s="146"/>
      <c r="E69" s="145"/>
      <c r="F69" s="145"/>
      <c r="G69" s="145"/>
      <c r="H69" s="145"/>
      <c r="I69" s="145"/>
      <c r="J69" s="145"/>
      <c r="K69" s="145"/>
      <c r="L69" s="92"/>
      <c r="M69" s="330" t="s">
        <v>269</v>
      </c>
      <c r="N69" s="217"/>
      <c r="O69" s="217"/>
      <c r="P69" s="217"/>
      <c r="Q69" s="217"/>
      <c r="R69" s="216"/>
      <c r="S69" s="216"/>
      <c r="T69" s="216"/>
      <c r="U69" s="216"/>
      <c r="V69" s="216"/>
      <c r="W69" s="216"/>
      <c r="X69" s="216"/>
      <c r="Y69" s="216"/>
      <c r="Z69" s="218"/>
      <c r="AA69" s="62"/>
      <c r="AB69" s="89">
        <v>0</v>
      </c>
      <c r="AC69" s="68" t="s">
        <v>169</v>
      </c>
      <c r="AD69" s="2"/>
    </row>
    <row r="70" spans="1:30" s="12" customFormat="1" ht="21" customHeight="1">
      <c r="A70" s="54"/>
      <c r="B70" s="55"/>
      <c r="C70" s="55"/>
      <c r="D70" s="249"/>
      <c r="E70" s="145"/>
      <c r="F70" s="145"/>
      <c r="G70" s="145"/>
      <c r="H70" s="145"/>
      <c r="I70" s="145"/>
      <c r="J70" s="145"/>
      <c r="K70" s="145"/>
      <c r="L70" s="92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81"/>
      <c r="AC70" s="164"/>
      <c r="AD70" s="2"/>
    </row>
    <row r="71" spans="1:30" s="12" customFormat="1" ht="21" customHeight="1">
      <c r="A71" s="54"/>
      <c r="B71" s="55"/>
      <c r="C71" s="45" t="s">
        <v>19</v>
      </c>
      <c r="D71" s="251">
        <v>3500</v>
      </c>
      <c r="E71" s="150">
        <f>ROUND(AB71/1000,0)</f>
        <v>0</v>
      </c>
      <c r="F71" s="150">
        <v>0</v>
      </c>
      <c r="G71" s="150">
        <v>0</v>
      </c>
      <c r="H71" s="150">
        <v>0</v>
      </c>
      <c r="I71" s="150">
        <v>0</v>
      </c>
      <c r="J71" s="150">
        <v>0</v>
      </c>
      <c r="K71" s="150">
        <f>E71-D71</f>
        <v>-3500</v>
      </c>
      <c r="L71" s="158">
        <f>IF(D71=0,0,K71/D71)</f>
        <v>-1</v>
      </c>
      <c r="M71" s="131" t="s">
        <v>52</v>
      </c>
      <c r="N71" s="127"/>
      <c r="O71" s="127"/>
      <c r="P71" s="127"/>
      <c r="Q71" s="127"/>
      <c r="R71" s="119"/>
      <c r="S71" s="119"/>
      <c r="T71" s="119"/>
      <c r="U71" s="119"/>
      <c r="V71" s="119"/>
      <c r="W71" s="273" t="s">
        <v>202</v>
      </c>
      <c r="X71" s="273"/>
      <c r="Y71" s="273"/>
      <c r="Z71" s="273"/>
      <c r="AA71" s="275"/>
      <c r="AB71" s="275">
        <f>SUM(AB72:AB73)</f>
        <v>0</v>
      </c>
      <c r="AC71" s="274" t="s">
        <v>26</v>
      </c>
      <c r="AD71" s="1"/>
    </row>
    <row r="72" spans="1:30" s="12" customFormat="1" ht="21" customHeight="1">
      <c r="A72" s="54"/>
      <c r="B72" s="55"/>
      <c r="C72" s="55"/>
      <c r="D72" s="146"/>
      <c r="E72" s="145"/>
      <c r="F72" s="145"/>
      <c r="G72" s="145"/>
      <c r="H72" s="145"/>
      <c r="I72" s="145"/>
      <c r="J72" s="145"/>
      <c r="K72" s="145"/>
      <c r="L72" s="92"/>
      <c r="M72" s="345" t="s">
        <v>299</v>
      </c>
      <c r="N72" s="60"/>
      <c r="O72" s="60"/>
      <c r="P72" s="41"/>
      <c r="Q72" s="41"/>
      <c r="R72" s="42"/>
      <c r="S72" s="42"/>
      <c r="T72" s="42"/>
      <c r="U72" s="42"/>
      <c r="V72" s="42"/>
      <c r="W72" s="42"/>
      <c r="X72" s="42"/>
      <c r="Y72" s="42"/>
      <c r="Z72" s="291"/>
      <c r="AA72" s="62"/>
      <c r="AB72" s="89">
        <v>0</v>
      </c>
      <c r="AC72" s="68" t="s">
        <v>26</v>
      </c>
      <c r="AD72" s="2"/>
    </row>
    <row r="73" spans="1:30" s="12" customFormat="1" ht="21" customHeight="1">
      <c r="A73" s="54"/>
      <c r="B73" s="55"/>
      <c r="C73" s="55"/>
      <c r="D73" s="146"/>
      <c r="E73" s="145"/>
      <c r="F73" s="145"/>
      <c r="G73" s="145"/>
      <c r="H73" s="145"/>
      <c r="I73" s="145"/>
      <c r="J73" s="145"/>
      <c r="K73" s="145"/>
      <c r="L73" s="92"/>
      <c r="M73" s="345" t="s">
        <v>300</v>
      </c>
      <c r="N73" s="60"/>
      <c r="O73" s="60"/>
      <c r="P73" s="166"/>
      <c r="Q73" s="60"/>
      <c r="R73" s="61"/>
      <c r="S73" s="42"/>
      <c r="T73" s="42"/>
      <c r="U73" s="42"/>
      <c r="V73" s="42"/>
      <c r="W73" s="42"/>
      <c r="X73" s="42"/>
      <c r="Y73" s="42"/>
      <c r="Z73" s="291"/>
      <c r="AA73" s="62"/>
      <c r="AB73" s="89">
        <v>0</v>
      </c>
      <c r="AC73" s="68" t="s">
        <v>98</v>
      </c>
      <c r="AD73" s="2"/>
    </row>
    <row r="74" spans="1:30" s="12" customFormat="1" ht="21" customHeight="1">
      <c r="A74" s="54"/>
      <c r="B74" s="55"/>
      <c r="C74" s="55"/>
      <c r="D74" s="146"/>
      <c r="E74" s="145"/>
      <c r="F74" s="145"/>
      <c r="G74" s="145"/>
      <c r="H74" s="145"/>
      <c r="I74" s="145"/>
      <c r="J74" s="145"/>
      <c r="K74" s="145"/>
      <c r="L74" s="92"/>
      <c r="M74" s="246"/>
      <c r="N74" s="60"/>
      <c r="O74" s="60"/>
      <c r="P74" s="60"/>
      <c r="Q74" s="61"/>
      <c r="R74" s="154"/>
      <c r="S74" s="65"/>
      <c r="T74" s="89"/>
      <c r="U74" s="89"/>
      <c r="V74" s="61"/>
      <c r="W74" s="61"/>
      <c r="X74" s="61"/>
      <c r="Y74" s="61"/>
      <c r="Z74" s="61"/>
      <c r="AA74" s="61"/>
      <c r="AB74" s="61"/>
      <c r="AC74" s="68"/>
      <c r="AD74" s="2"/>
    </row>
    <row r="75" spans="1:30" s="12" customFormat="1" ht="21" customHeight="1">
      <c r="A75" s="54"/>
      <c r="B75" s="55"/>
      <c r="C75" s="45" t="s">
        <v>53</v>
      </c>
      <c r="D75" s="251">
        <v>0</v>
      </c>
      <c r="E75" s="150">
        <f>ROUND(AB75/1000,0)</f>
        <v>0</v>
      </c>
      <c r="F75" s="150">
        <v>0</v>
      </c>
      <c r="G75" s="150">
        <v>0</v>
      </c>
      <c r="H75" s="150">
        <v>0</v>
      </c>
      <c r="I75" s="150">
        <v>0</v>
      </c>
      <c r="J75" s="150">
        <v>0</v>
      </c>
      <c r="K75" s="150">
        <f>E75-D75</f>
        <v>0</v>
      </c>
      <c r="L75" s="158">
        <f>IF(D75=0,0,K75/D75)</f>
        <v>0</v>
      </c>
      <c r="M75" s="131" t="s">
        <v>54</v>
      </c>
      <c r="N75" s="127"/>
      <c r="O75" s="127"/>
      <c r="P75" s="127"/>
      <c r="Q75" s="127"/>
      <c r="R75" s="119"/>
      <c r="S75" s="119"/>
      <c r="T75" s="119"/>
      <c r="U75" s="119"/>
      <c r="V75" s="119"/>
      <c r="W75" s="273" t="s">
        <v>202</v>
      </c>
      <c r="X75" s="273"/>
      <c r="Y75" s="273"/>
      <c r="Z75" s="273"/>
      <c r="AA75" s="275"/>
      <c r="AB75" s="275">
        <f>SUM(AB76:AB77)</f>
        <v>0</v>
      </c>
      <c r="AC75" s="274" t="s">
        <v>26</v>
      </c>
      <c r="AD75" s="1"/>
    </row>
    <row r="76" spans="1:30" s="1" customFormat="1" ht="21" customHeight="1">
      <c r="A76" s="54"/>
      <c r="B76" s="55"/>
      <c r="C76" s="55" t="s">
        <v>223</v>
      </c>
      <c r="D76" s="249"/>
      <c r="E76" s="145"/>
      <c r="F76" s="145"/>
      <c r="G76" s="145"/>
      <c r="H76" s="145"/>
      <c r="I76" s="145"/>
      <c r="J76" s="145"/>
      <c r="K76" s="145"/>
      <c r="L76" s="92"/>
      <c r="M76" s="330" t="s">
        <v>270</v>
      </c>
      <c r="N76" s="60"/>
      <c r="O76" s="60"/>
      <c r="P76" s="60"/>
      <c r="Q76" s="61"/>
      <c r="R76" s="65"/>
      <c r="S76" s="65"/>
      <c r="T76" s="61"/>
      <c r="U76" s="60"/>
      <c r="V76" s="61"/>
      <c r="W76" s="61"/>
      <c r="X76" s="61"/>
      <c r="Y76" s="61"/>
      <c r="Z76" s="165"/>
      <c r="AA76" s="61"/>
      <c r="AB76" s="291">
        <v>0</v>
      </c>
      <c r="AC76" s="68" t="s">
        <v>26</v>
      </c>
      <c r="AD76" s="2"/>
    </row>
    <row r="77" spans="1:30" s="1" customFormat="1" ht="21" customHeight="1">
      <c r="A77" s="54"/>
      <c r="B77" s="55"/>
      <c r="C77" s="55"/>
      <c r="D77" s="249"/>
      <c r="E77" s="145"/>
      <c r="F77" s="145"/>
      <c r="G77" s="145"/>
      <c r="H77" s="145"/>
      <c r="I77" s="145"/>
      <c r="J77" s="145"/>
      <c r="K77" s="145"/>
      <c r="L77" s="92"/>
      <c r="M77" s="330" t="s">
        <v>271</v>
      </c>
      <c r="N77" s="60"/>
      <c r="O77" s="60"/>
      <c r="P77" s="60"/>
      <c r="Q77" s="61"/>
      <c r="R77" s="65"/>
      <c r="S77" s="65"/>
      <c r="T77" s="61"/>
      <c r="U77" s="60"/>
      <c r="V77" s="61"/>
      <c r="W77" s="61"/>
      <c r="X77" s="61"/>
      <c r="Y77" s="61"/>
      <c r="Z77" s="165"/>
      <c r="AA77" s="61"/>
      <c r="AB77" s="61">
        <f>Q77*T77</f>
        <v>0</v>
      </c>
      <c r="AC77" s="68" t="s">
        <v>26</v>
      </c>
      <c r="AD77" s="2"/>
    </row>
    <row r="78" spans="1:30" s="1" customFormat="1" ht="21" customHeight="1">
      <c r="A78" s="54"/>
      <c r="B78" s="55"/>
      <c r="C78" s="55"/>
      <c r="D78" s="249"/>
      <c r="E78" s="145"/>
      <c r="F78" s="145"/>
      <c r="G78" s="145"/>
      <c r="H78" s="145"/>
      <c r="I78" s="145"/>
      <c r="J78" s="145"/>
      <c r="K78" s="145"/>
      <c r="L78" s="92"/>
      <c r="M78" s="246"/>
      <c r="N78" s="60"/>
      <c r="O78" s="60"/>
      <c r="P78" s="60"/>
      <c r="Q78" s="61"/>
      <c r="R78" s="65"/>
      <c r="S78" s="65"/>
      <c r="T78" s="61"/>
      <c r="U78" s="60"/>
      <c r="V78" s="61"/>
      <c r="W78" s="61"/>
      <c r="X78" s="61"/>
      <c r="Y78" s="61"/>
      <c r="Z78" s="165"/>
      <c r="AA78" s="61"/>
      <c r="AB78" s="61"/>
      <c r="AC78" s="68"/>
      <c r="AD78" s="2"/>
    </row>
    <row r="79" spans="1:30" s="12" customFormat="1" ht="21" customHeight="1">
      <c r="A79" s="302" t="s">
        <v>20</v>
      </c>
      <c r="B79" s="443" t="s">
        <v>21</v>
      </c>
      <c r="C79" s="444"/>
      <c r="D79" s="303">
        <f>SUM(D80,D99)</f>
        <v>17288</v>
      </c>
      <c r="E79" s="303">
        <f>SUM(E80,E99)</f>
        <v>23569.83</v>
      </c>
      <c r="F79" s="303">
        <f t="shared" ref="F79:J79" si="14">SUM(F80,F99)</f>
        <v>13403.83</v>
      </c>
      <c r="G79" s="303">
        <f t="shared" si="14"/>
        <v>0</v>
      </c>
      <c r="H79" s="303">
        <f t="shared" si="14"/>
        <v>10166</v>
      </c>
      <c r="I79" s="303">
        <f t="shared" si="14"/>
        <v>0</v>
      </c>
      <c r="J79" s="303">
        <f t="shared" si="14"/>
        <v>0</v>
      </c>
      <c r="K79" s="303">
        <f>SUM(K80,K86,K89,K92,K96)</f>
        <v>-216.17000000000007</v>
      </c>
      <c r="L79" s="304">
        <f>IF(D79=0,0,K79/D79)</f>
        <v>-1.2504049051365113E-2</v>
      </c>
      <c r="M79" s="294" t="s">
        <v>214</v>
      </c>
      <c r="N79" s="127"/>
      <c r="O79" s="127"/>
      <c r="P79" s="127"/>
      <c r="Q79" s="127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>
        <f>SUM(AB80,AB99)</f>
        <v>23569830</v>
      </c>
      <c r="AC79" s="129" t="s">
        <v>26</v>
      </c>
      <c r="AD79" s="14"/>
    </row>
    <row r="80" spans="1:30" s="12" customFormat="1" ht="21" customHeight="1">
      <c r="A80" s="55"/>
      <c r="B80" s="45" t="s">
        <v>117</v>
      </c>
      <c r="C80" s="45" t="s">
        <v>215</v>
      </c>
      <c r="D80" s="150">
        <f>SUM(D81,D86,D89,D92,D96)</f>
        <v>17288</v>
      </c>
      <c r="E80" s="150">
        <f>SUM(E81,E86,E89,E92,E96)</f>
        <v>15499.83</v>
      </c>
      <c r="F80" s="150">
        <f t="shared" ref="F80:J80" si="15">SUM(F81,F86,F89,F92,F96)</f>
        <v>13403.83</v>
      </c>
      <c r="G80" s="150">
        <f t="shared" si="15"/>
        <v>0</v>
      </c>
      <c r="H80" s="150">
        <f t="shared" si="15"/>
        <v>2096</v>
      </c>
      <c r="I80" s="150">
        <f t="shared" si="15"/>
        <v>0</v>
      </c>
      <c r="J80" s="150">
        <f t="shared" si="15"/>
        <v>0</v>
      </c>
      <c r="K80" s="150">
        <f>E80-D80</f>
        <v>-1788.17</v>
      </c>
      <c r="L80" s="158">
        <f>IF(D80=0,0,K80/D80)</f>
        <v>-0.10343417399352152</v>
      </c>
      <c r="M80" s="127"/>
      <c r="N80" s="127"/>
      <c r="O80" s="127"/>
      <c r="P80" s="127"/>
      <c r="Q80" s="127"/>
      <c r="R80" s="119"/>
      <c r="S80" s="119"/>
      <c r="T80" s="119"/>
      <c r="U80" s="119"/>
      <c r="V80" s="119"/>
      <c r="W80" s="119" t="s">
        <v>29</v>
      </c>
      <c r="X80" s="119"/>
      <c r="Y80" s="119"/>
      <c r="Z80" s="119"/>
      <c r="AA80" s="128"/>
      <c r="AB80" s="128">
        <f>SUM(AB81,AB86,AB89,AB92,AB96)</f>
        <v>15499830</v>
      </c>
      <c r="AC80" s="129" t="s">
        <v>26</v>
      </c>
      <c r="AD80" s="1"/>
    </row>
    <row r="81" spans="1:30" s="12" customFormat="1" ht="21" customHeight="1">
      <c r="A81" s="55"/>
      <c r="B81" s="55"/>
      <c r="C81" s="45" t="s">
        <v>62</v>
      </c>
      <c r="D81" s="251">
        <v>14870</v>
      </c>
      <c r="E81" s="150">
        <f>SUM(F81:J81)</f>
        <v>11509.83</v>
      </c>
      <c r="F81" s="150">
        <f>AB82/1000</f>
        <v>11009.83</v>
      </c>
      <c r="G81" s="150">
        <v>0</v>
      </c>
      <c r="H81" s="150">
        <f>(AB83+AB84)/1000</f>
        <v>500</v>
      </c>
      <c r="I81" s="150">
        <v>0</v>
      </c>
      <c r="J81" s="150">
        <v>0</v>
      </c>
      <c r="K81" s="150">
        <f>E81-D81</f>
        <v>-3360.17</v>
      </c>
      <c r="L81" s="158">
        <f>IF(D81=0,0,K81/D81)</f>
        <v>-0.22596973772696705</v>
      </c>
      <c r="M81" s="131" t="s">
        <v>118</v>
      </c>
      <c r="N81" s="294"/>
      <c r="O81" s="294"/>
      <c r="P81" s="294"/>
      <c r="Q81" s="294"/>
      <c r="R81" s="293"/>
      <c r="S81" s="293"/>
      <c r="T81" s="293"/>
      <c r="U81" s="293"/>
      <c r="V81" s="293"/>
      <c r="W81" s="273" t="s">
        <v>202</v>
      </c>
      <c r="X81" s="273"/>
      <c r="Y81" s="273"/>
      <c r="Z81" s="273"/>
      <c r="AA81" s="275"/>
      <c r="AB81" s="275">
        <f>SUM(AB82:AB84)</f>
        <v>11509830</v>
      </c>
      <c r="AC81" s="274" t="s">
        <v>26</v>
      </c>
      <c r="AD81" s="1"/>
    </row>
    <row r="82" spans="1:30" s="12" customFormat="1" ht="21" customHeight="1">
      <c r="A82" s="55"/>
      <c r="B82" s="55"/>
      <c r="C82" s="55"/>
      <c r="D82" s="146"/>
      <c r="E82" s="145"/>
      <c r="F82" s="145"/>
      <c r="G82" s="145"/>
      <c r="H82" s="145"/>
      <c r="I82" s="145"/>
      <c r="J82" s="145"/>
      <c r="K82" s="145"/>
      <c r="L82" s="92"/>
      <c r="M82" s="330" t="s">
        <v>272</v>
      </c>
      <c r="N82" s="60"/>
      <c r="O82" s="61"/>
      <c r="P82" s="61"/>
      <c r="Q82" s="61">
        <v>229350</v>
      </c>
      <c r="R82" s="61" t="s">
        <v>97</v>
      </c>
      <c r="S82" s="65" t="s">
        <v>99</v>
      </c>
      <c r="T82" s="61">
        <v>12</v>
      </c>
      <c r="U82" s="61" t="s">
        <v>107</v>
      </c>
      <c r="V82" s="65" t="s">
        <v>99</v>
      </c>
      <c r="W82" s="61">
        <v>4</v>
      </c>
      <c r="X82" s="61" t="s">
        <v>100</v>
      </c>
      <c r="Y82" s="67" t="s">
        <v>101</v>
      </c>
      <c r="Z82" s="61" t="s">
        <v>110</v>
      </c>
      <c r="AA82" s="89"/>
      <c r="AB82" s="89">
        <v>11009830</v>
      </c>
      <c r="AC82" s="68" t="s">
        <v>26</v>
      </c>
      <c r="AD82" s="2"/>
    </row>
    <row r="83" spans="1:30" s="12" customFormat="1" ht="21" customHeight="1">
      <c r="A83" s="55"/>
      <c r="B83" s="55"/>
      <c r="C83" s="55"/>
      <c r="D83" s="146"/>
      <c r="E83" s="145"/>
      <c r="F83" s="145"/>
      <c r="G83" s="145"/>
      <c r="H83" s="145"/>
      <c r="I83" s="145"/>
      <c r="J83" s="145"/>
      <c r="K83" s="145"/>
      <c r="L83" s="92"/>
      <c r="M83" s="246" t="s">
        <v>126</v>
      </c>
      <c r="N83" s="199"/>
      <c r="O83" s="199"/>
      <c r="P83" s="199"/>
      <c r="Q83" s="198">
        <v>0</v>
      </c>
      <c r="R83" s="65" t="s">
        <v>26</v>
      </c>
      <c r="S83" s="65" t="s">
        <v>27</v>
      </c>
      <c r="T83" s="198">
        <v>12</v>
      </c>
      <c r="U83" s="198" t="s">
        <v>30</v>
      </c>
      <c r="V83" s="65" t="s">
        <v>27</v>
      </c>
      <c r="W83" s="198">
        <v>4</v>
      </c>
      <c r="X83" s="198" t="s">
        <v>208</v>
      </c>
      <c r="Y83" s="197" t="s">
        <v>28</v>
      </c>
      <c r="Z83" s="198" t="s">
        <v>125</v>
      </c>
      <c r="AA83" s="198"/>
      <c r="AB83" s="198">
        <f>ROUND(Q83*T83*W83,-3)</f>
        <v>0</v>
      </c>
      <c r="AC83" s="170" t="s">
        <v>97</v>
      </c>
      <c r="AD83" s="2"/>
    </row>
    <row r="84" spans="1:30" s="12" customFormat="1" ht="21" customHeight="1">
      <c r="A84" s="55"/>
      <c r="B84" s="55"/>
      <c r="C84" s="55"/>
      <c r="D84" s="146"/>
      <c r="E84" s="145"/>
      <c r="F84" s="145"/>
      <c r="G84" s="145"/>
      <c r="H84" s="145"/>
      <c r="I84" s="145"/>
      <c r="J84" s="145"/>
      <c r="K84" s="145"/>
      <c r="L84" s="92"/>
      <c r="M84" s="345" t="s">
        <v>303</v>
      </c>
      <c r="N84" s="345"/>
      <c r="O84" s="345"/>
      <c r="P84" s="345"/>
      <c r="Q84" s="344"/>
      <c r="R84" s="65"/>
      <c r="S84" s="65"/>
      <c r="T84" s="344"/>
      <c r="U84" s="344"/>
      <c r="V84" s="65"/>
      <c r="W84" s="344"/>
      <c r="X84" s="344"/>
      <c r="Y84" s="308"/>
      <c r="Z84" s="344"/>
      <c r="AA84" s="344"/>
      <c r="AB84" s="344">
        <v>500000</v>
      </c>
      <c r="AC84" s="170" t="s">
        <v>304</v>
      </c>
      <c r="AD84" s="2"/>
    </row>
    <row r="85" spans="1:30" s="12" customFormat="1" ht="21" customHeight="1">
      <c r="A85" s="55"/>
      <c r="B85" s="55"/>
      <c r="C85" s="70"/>
      <c r="D85" s="250"/>
      <c r="E85" s="148"/>
      <c r="F85" s="148"/>
      <c r="G85" s="148"/>
      <c r="H85" s="148"/>
      <c r="I85" s="148"/>
      <c r="J85" s="148"/>
      <c r="K85" s="148"/>
      <c r="L85" s="11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81"/>
      <c r="AC85" s="164"/>
      <c r="AD85" s="2"/>
    </row>
    <row r="86" spans="1:30" s="12" customFormat="1" ht="21" customHeight="1">
      <c r="A86" s="55"/>
      <c r="B86" s="55"/>
      <c r="C86" s="55" t="s">
        <v>119</v>
      </c>
      <c r="D86" s="249">
        <v>2418</v>
      </c>
      <c r="E86" s="145">
        <f>SUM(F86:J86)</f>
        <v>2590</v>
      </c>
      <c r="F86" s="145">
        <f>AB87/1000</f>
        <v>1714</v>
      </c>
      <c r="G86" s="145">
        <v>0</v>
      </c>
      <c r="H86" s="145">
        <f>AB88/1000</f>
        <v>876</v>
      </c>
      <c r="I86" s="145">
        <v>0</v>
      </c>
      <c r="J86" s="145">
        <v>0</v>
      </c>
      <c r="K86" s="145">
        <f>E86-D86</f>
        <v>172</v>
      </c>
      <c r="L86" s="92">
        <f>IF(D86=0,0,K86/D86)</f>
        <v>7.1133167907361461E-2</v>
      </c>
      <c r="M86" s="131" t="s">
        <v>120</v>
      </c>
      <c r="N86" s="127"/>
      <c r="O86" s="127"/>
      <c r="P86" s="127"/>
      <c r="Q86" s="127"/>
      <c r="R86" s="119"/>
      <c r="S86" s="119"/>
      <c r="T86" s="119"/>
      <c r="U86" s="119"/>
      <c r="V86" s="119"/>
      <c r="W86" s="273" t="s">
        <v>202</v>
      </c>
      <c r="X86" s="273"/>
      <c r="Y86" s="273"/>
      <c r="Z86" s="273"/>
      <c r="AA86" s="275"/>
      <c r="AB86" s="275">
        <f>SUM(AB87:AB88)</f>
        <v>2590000</v>
      </c>
      <c r="AC86" s="274" t="s">
        <v>26</v>
      </c>
      <c r="AD86" s="1"/>
    </row>
    <row r="87" spans="1:30" s="12" customFormat="1" ht="21" customHeight="1">
      <c r="A87" s="55"/>
      <c r="B87" s="55"/>
      <c r="C87" s="55" t="s">
        <v>216</v>
      </c>
      <c r="D87" s="249"/>
      <c r="E87" s="145"/>
      <c r="F87" s="145"/>
      <c r="G87" s="145"/>
      <c r="H87" s="145"/>
      <c r="I87" s="145"/>
      <c r="J87" s="145"/>
      <c r="K87" s="145"/>
      <c r="L87" s="92"/>
      <c r="M87" s="330" t="s">
        <v>273</v>
      </c>
      <c r="N87" s="60"/>
      <c r="O87" s="60"/>
      <c r="P87" s="60"/>
      <c r="Q87" s="61"/>
      <c r="R87" s="65"/>
      <c r="S87" s="65"/>
      <c r="T87" s="61"/>
      <c r="U87" s="61"/>
      <c r="V87" s="61"/>
      <c r="W87" s="61"/>
      <c r="X87" s="61"/>
      <c r="Y87" s="61"/>
      <c r="Z87" s="198"/>
      <c r="AA87" s="61"/>
      <c r="AB87" s="61">
        <v>1714000</v>
      </c>
      <c r="AC87" s="68" t="s">
        <v>97</v>
      </c>
      <c r="AD87" s="2"/>
    </row>
    <row r="88" spans="1:30" s="12" customFormat="1" ht="21" customHeight="1">
      <c r="A88" s="55"/>
      <c r="B88" s="55"/>
      <c r="C88" s="55"/>
      <c r="D88" s="249"/>
      <c r="E88" s="145"/>
      <c r="F88" s="145"/>
      <c r="G88" s="145"/>
      <c r="H88" s="145"/>
      <c r="I88" s="145"/>
      <c r="J88" s="145"/>
      <c r="K88" s="145"/>
      <c r="L88" s="92"/>
      <c r="M88" s="353" t="s">
        <v>332</v>
      </c>
      <c r="N88" s="107"/>
      <c r="O88" s="107"/>
      <c r="P88" s="107"/>
      <c r="Q88" s="106"/>
      <c r="R88" s="115"/>
      <c r="S88" s="65"/>
      <c r="T88" s="94"/>
      <c r="U88" s="106"/>
      <c r="V88" s="106"/>
      <c r="W88" s="106"/>
      <c r="X88" s="106"/>
      <c r="Y88" s="106"/>
      <c r="Z88" s="219"/>
      <c r="AA88" s="106"/>
      <c r="AB88" s="106">
        <v>876000</v>
      </c>
      <c r="AC88" s="95"/>
      <c r="AD88" s="1"/>
    </row>
    <row r="89" spans="1:30" s="12" customFormat="1" ht="21" customHeight="1">
      <c r="A89" s="55"/>
      <c r="B89" s="55"/>
      <c r="C89" s="45" t="s">
        <v>114</v>
      </c>
      <c r="D89" s="251">
        <v>0</v>
      </c>
      <c r="E89" s="150">
        <f>SUM(F89:J89)</f>
        <v>800</v>
      </c>
      <c r="F89" s="150">
        <f>AB90/1000</f>
        <v>400</v>
      </c>
      <c r="G89" s="150">
        <v>0</v>
      </c>
      <c r="H89" s="150">
        <f>AB91/1000</f>
        <v>400</v>
      </c>
      <c r="I89" s="150">
        <v>0</v>
      </c>
      <c r="J89" s="150">
        <v>0</v>
      </c>
      <c r="K89" s="150">
        <f>E89-D89</f>
        <v>800</v>
      </c>
      <c r="L89" s="158">
        <f>IF(D89=0,0,K89/D89)</f>
        <v>0</v>
      </c>
      <c r="M89" s="131" t="s">
        <v>197</v>
      </c>
      <c r="N89" s="272"/>
      <c r="O89" s="127"/>
      <c r="P89" s="127"/>
      <c r="Q89" s="127"/>
      <c r="R89" s="119"/>
      <c r="S89" s="119"/>
      <c r="T89" s="119"/>
      <c r="U89" s="293"/>
      <c r="V89" s="293"/>
      <c r="W89" s="273" t="s">
        <v>202</v>
      </c>
      <c r="X89" s="273"/>
      <c r="Y89" s="273"/>
      <c r="Z89" s="273"/>
      <c r="AA89" s="275"/>
      <c r="AB89" s="275">
        <f>SUM(AB90:AB91)</f>
        <v>800000</v>
      </c>
      <c r="AC89" s="274" t="s">
        <v>26</v>
      </c>
      <c r="AD89" s="1"/>
    </row>
    <row r="90" spans="1:30" s="12" customFormat="1" ht="21" customHeight="1">
      <c r="A90" s="55"/>
      <c r="B90" s="55"/>
      <c r="C90" s="55"/>
      <c r="D90" s="146"/>
      <c r="E90" s="145"/>
      <c r="F90" s="145"/>
      <c r="G90" s="145"/>
      <c r="H90" s="145"/>
      <c r="I90" s="145"/>
      <c r="J90" s="145"/>
      <c r="K90" s="145"/>
      <c r="L90" s="92"/>
      <c r="M90" s="330" t="s">
        <v>274</v>
      </c>
      <c r="N90" s="60"/>
      <c r="O90" s="61"/>
      <c r="P90" s="61"/>
      <c r="Q90" s="61">
        <v>100000</v>
      </c>
      <c r="R90" s="61" t="s">
        <v>97</v>
      </c>
      <c r="S90" s="60" t="s">
        <v>99</v>
      </c>
      <c r="T90" s="61">
        <v>4</v>
      </c>
      <c r="U90" s="329" t="s">
        <v>275</v>
      </c>
      <c r="V90" s="330" t="s">
        <v>276</v>
      </c>
      <c r="W90" s="61"/>
      <c r="X90" s="61"/>
      <c r="Y90" s="61"/>
      <c r="Z90" s="61"/>
      <c r="AA90" s="89"/>
      <c r="AB90" s="89">
        <f>Q90*T90</f>
        <v>400000</v>
      </c>
      <c r="AC90" s="68" t="s">
        <v>26</v>
      </c>
      <c r="AD90" s="1"/>
    </row>
    <row r="91" spans="1:30" s="12" customFormat="1" ht="21" customHeight="1">
      <c r="A91" s="55"/>
      <c r="B91" s="55"/>
      <c r="C91" s="55"/>
      <c r="D91" s="249"/>
      <c r="E91" s="145"/>
      <c r="F91" s="145"/>
      <c r="G91" s="145"/>
      <c r="H91" s="145"/>
      <c r="I91" s="145"/>
      <c r="J91" s="145"/>
      <c r="K91" s="145"/>
      <c r="L91" s="92"/>
      <c r="M91" s="355" t="s">
        <v>333</v>
      </c>
      <c r="N91" s="60"/>
      <c r="O91" s="61"/>
      <c r="P91" s="61"/>
      <c r="Q91" s="354">
        <v>100000</v>
      </c>
      <c r="R91" s="354" t="s">
        <v>60</v>
      </c>
      <c r="S91" s="355" t="s">
        <v>61</v>
      </c>
      <c r="T91" s="354">
        <v>4</v>
      </c>
      <c r="U91" s="354" t="s">
        <v>59</v>
      </c>
      <c r="V91" s="355" t="s">
        <v>56</v>
      </c>
      <c r="W91" s="61"/>
      <c r="X91" s="61"/>
      <c r="Y91" s="61"/>
      <c r="Z91" s="281"/>
      <c r="AA91" s="89"/>
      <c r="AB91" s="89">
        <f>Q91*T91</f>
        <v>400000</v>
      </c>
      <c r="AC91" s="68" t="s">
        <v>26</v>
      </c>
      <c r="AD91" s="1"/>
    </row>
    <row r="92" spans="1:30" s="12" customFormat="1" ht="21" customHeight="1">
      <c r="A92" s="55"/>
      <c r="B92" s="55"/>
      <c r="C92" s="45" t="s">
        <v>115</v>
      </c>
      <c r="D92" s="251">
        <v>0</v>
      </c>
      <c r="E92" s="150">
        <f>SUM(F92:J92)</f>
        <v>460</v>
      </c>
      <c r="F92" s="150">
        <f>AB93/1000</f>
        <v>160</v>
      </c>
      <c r="G92" s="150">
        <v>0</v>
      </c>
      <c r="H92" s="150">
        <f>AB94/1000</f>
        <v>300</v>
      </c>
      <c r="I92" s="150">
        <v>0</v>
      </c>
      <c r="J92" s="150">
        <v>0</v>
      </c>
      <c r="K92" s="150">
        <f>E92-D92</f>
        <v>460</v>
      </c>
      <c r="L92" s="158">
        <f>IF(D92=0,0,K92/D92)</f>
        <v>0</v>
      </c>
      <c r="M92" s="131" t="s">
        <v>198</v>
      </c>
      <c r="N92" s="272"/>
      <c r="O92" s="280"/>
      <c r="P92" s="280"/>
      <c r="Q92" s="280"/>
      <c r="R92" s="279"/>
      <c r="S92" s="279"/>
      <c r="T92" s="279"/>
      <c r="U92" s="293"/>
      <c r="V92" s="293"/>
      <c r="W92" s="273" t="s">
        <v>202</v>
      </c>
      <c r="X92" s="273"/>
      <c r="Y92" s="273"/>
      <c r="Z92" s="273"/>
      <c r="AA92" s="275"/>
      <c r="AB92" s="275">
        <f>SUM(AB93:AB94)</f>
        <v>460000</v>
      </c>
      <c r="AC92" s="274" t="s">
        <v>26</v>
      </c>
      <c r="AD92" s="1"/>
    </row>
    <row r="93" spans="1:30" s="15" customFormat="1" ht="21" customHeight="1">
      <c r="A93" s="55"/>
      <c r="B93" s="55"/>
      <c r="C93" s="55"/>
      <c r="D93" s="249"/>
      <c r="E93" s="145"/>
      <c r="F93" s="145"/>
      <c r="G93" s="145"/>
      <c r="H93" s="145"/>
      <c r="I93" s="145"/>
      <c r="J93" s="145"/>
      <c r="K93" s="145"/>
      <c r="L93" s="92"/>
      <c r="M93" s="330" t="s">
        <v>277</v>
      </c>
      <c r="N93" s="60"/>
      <c r="O93" s="61"/>
      <c r="P93" s="61"/>
      <c r="Q93" s="61">
        <v>40000</v>
      </c>
      <c r="R93" s="61" t="s">
        <v>97</v>
      </c>
      <c r="S93" s="60" t="s">
        <v>99</v>
      </c>
      <c r="T93" s="61">
        <v>1</v>
      </c>
      <c r="U93" s="61" t="s">
        <v>113</v>
      </c>
      <c r="V93" s="60" t="s">
        <v>99</v>
      </c>
      <c r="W93" s="61">
        <v>4</v>
      </c>
      <c r="X93" s="61" t="s">
        <v>100</v>
      </c>
      <c r="Y93" s="61" t="s">
        <v>101</v>
      </c>
      <c r="Z93" s="61"/>
      <c r="AA93" s="89"/>
      <c r="AB93" s="89">
        <f>Q93*T93*W93</f>
        <v>160000</v>
      </c>
      <c r="AC93" s="68" t="s">
        <v>26</v>
      </c>
      <c r="AD93" s="5"/>
    </row>
    <row r="94" spans="1:30" s="15" customFormat="1" ht="21" customHeight="1">
      <c r="A94" s="55"/>
      <c r="B94" s="55"/>
      <c r="C94" s="55"/>
      <c r="D94" s="249"/>
      <c r="E94" s="145"/>
      <c r="F94" s="145"/>
      <c r="G94" s="145"/>
      <c r="H94" s="145"/>
      <c r="I94" s="145"/>
      <c r="J94" s="145"/>
      <c r="K94" s="145"/>
      <c r="L94" s="92"/>
      <c r="M94" s="330" t="s">
        <v>278</v>
      </c>
      <c r="N94" s="60"/>
      <c r="O94" s="60"/>
      <c r="P94" s="60"/>
      <c r="Q94" s="281"/>
      <c r="R94" s="65"/>
      <c r="S94" s="65"/>
      <c r="T94" s="281"/>
      <c r="U94" s="281"/>
      <c r="V94" s="276"/>
      <c r="W94" s="182"/>
      <c r="X94" s="97"/>
      <c r="Y94" s="288"/>
      <c r="Z94" s="281"/>
      <c r="AA94" s="61"/>
      <c r="AB94" s="61">
        <v>300000</v>
      </c>
      <c r="AC94" s="68" t="s">
        <v>26</v>
      </c>
      <c r="AD94" s="5"/>
    </row>
    <row r="95" spans="1:30" s="12" customFormat="1" ht="21" customHeight="1">
      <c r="A95" s="55"/>
      <c r="B95" s="55"/>
      <c r="C95" s="70"/>
      <c r="D95" s="250"/>
      <c r="E95" s="257"/>
      <c r="F95" s="257"/>
      <c r="G95" s="257"/>
      <c r="H95" s="257"/>
      <c r="I95" s="257"/>
      <c r="J95" s="257"/>
      <c r="K95" s="184"/>
      <c r="L95" s="114"/>
      <c r="M95" s="183"/>
      <c r="N95" s="183"/>
      <c r="O95" s="183"/>
      <c r="P95" s="183"/>
      <c r="Q95" s="183"/>
      <c r="R95" s="185"/>
      <c r="S95" s="61"/>
      <c r="T95" s="67"/>
      <c r="U95" s="61"/>
      <c r="V95" s="61"/>
      <c r="W95" s="61"/>
      <c r="X95" s="61"/>
      <c r="Y95" s="61"/>
      <c r="Z95" s="61"/>
      <c r="AA95" s="61"/>
      <c r="AB95" s="61"/>
      <c r="AC95" s="68"/>
      <c r="AD95" s="1"/>
    </row>
    <row r="96" spans="1:30" s="12" customFormat="1" ht="21" customHeight="1">
      <c r="A96" s="55"/>
      <c r="B96" s="55"/>
      <c r="C96" s="55" t="s">
        <v>116</v>
      </c>
      <c r="D96" s="179">
        <v>0</v>
      </c>
      <c r="E96" s="145">
        <f>SUM(F96:J96)</f>
        <v>140</v>
      </c>
      <c r="F96" s="145">
        <f>AB97/1000</f>
        <v>120</v>
      </c>
      <c r="G96" s="145">
        <v>0</v>
      </c>
      <c r="H96" s="145">
        <f>AB98/1000</f>
        <v>20</v>
      </c>
      <c r="I96" s="145">
        <v>0</v>
      </c>
      <c r="J96" s="145">
        <v>0</v>
      </c>
      <c r="K96" s="145">
        <f>E96-D96</f>
        <v>140</v>
      </c>
      <c r="L96" s="92">
        <f>IF(D96=0,0,K96/D96)</f>
        <v>0</v>
      </c>
      <c r="M96" s="131" t="s">
        <v>121</v>
      </c>
      <c r="N96" s="127"/>
      <c r="O96" s="127"/>
      <c r="P96" s="127"/>
      <c r="Q96" s="127"/>
      <c r="R96" s="119"/>
      <c r="S96" s="119"/>
      <c r="T96" s="119"/>
      <c r="U96" s="119"/>
      <c r="V96" s="119"/>
      <c r="W96" s="273" t="s">
        <v>202</v>
      </c>
      <c r="X96" s="273"/>
      <c r="Y96" s="273"/>
      <c r="Z96" s="273"/>
      <c r="AA96" s="275"/>
      <c r="AB96" s="275">
        <f>SUM(AB97:AB98)</f>
        <v>140000</v>
      </c>
      <c r="AC96" s="274" t="s">
        <v>26</v>
      </c>
      <c r="AD96" s="1"/>
    </row>
    <row r="97" spans="1:31" s="12" customFormat="1" ht="21" customHeight="1">
      <c r="A97" s="55"/>
      <c r="B97" s="55"/>
      <c r="C97" s="55"/>
      <c r="D97" s="249"/>
      <c r="E97" s="145"/>
      <c r="F97" s="145"/>
      <c r="G97" s="145"/>
      <c r="H97" s="145"/>
      <c r="I97" s="145"/>
      <c r="J97" s="145"/>
      <c r="K97" s="145"/>
      <c r="L97" s="92"/>
      <c r="M97" s="330" t="s">
        <v>279</v>
      </c>
      <c r="N97" s="60"/>
      <c r="O97" s="60"/>
      <c r="P97" s="60"/>
      <c r="Q97" s="291">
        <v>10000</v>
      </c>
      <c r="R97" s="65" t="s">
        <v>60</v>
      </c>
      <c r="S97" s="65" t="s">
        <v>27</v>
      </c>
      <c r="T97" s="291">
        <v>12</v>
      </c>
      <c r="U97" s="291" t="s">
        <v>0</v>
      </c>
      <c r="V97" s="289"/>
      <c r="W97" s="182"/>
      <c r="X97" s="97"/>
      <c r="Y97" s="288" t="s">
        <v>56</v>
      </c>
      <c r="Z97" s="291"/>
      <c r="AA97" s="291"/>
      <c r="AB97" s="291">
        <f>Q97*T97</f>
        <v>120000</v>
      </c>
      <c r="AC97" s="68" t="s">
        <v>26</v>
      </c>
      <c r="AD97" s="1"/>
    </row>
    <row r="98" spans="1:31" s="12" customFormat="1" ht="21" customHeight="1">
      <c r="A98" s="55"/>
      <c r="B98" s="55"/>
      <c r="C98" s="55"/>
      <c r="D98" s="249"/>
      <c r="E98" s="145"/>
      <c r="F98" s="145"/>
      <c r="G98" s="145"/>
      <c r="H98" s="145"/>
      <c r="I98" s="145"/>
      <c r="J98" s="145"/>
      <c r="K98" s="145"/>
      <c r="L98" s="92"/>
      <c r="M98" s="355" t="s">
        <v>334</v>
      </c>
      <c r="N98" s="60"/>
      <c r="O98" s="60"/>
      <c r="P98" s="60"/>
      <c r="Q98" s="61"/>
      <c r="R98" s="65"/>
      <c r="S98" s="60"/>
      <c r="T98" s="61"/>
      <c r="U98" s="60"/>
      <c r="V98" s="61"/>
      <c r="W98" s="61"/>
      <c r="X98" s="61"/>
      <c r="Y98" s="61"/>
      <c r="Z98" s="61"/>
      <c r="AA98" s="61"/>
      <c r="AB98" s="61">
        <v>20000</v>
      </c>
      <c r="AC98" s="68" t="s">
        <v>340</v>
      </c>
      <c r="AD98" s="1"/>
    </row>
    <row r="99" spans="1:31" s="12" customFormat="1" ht="21" customHeight="1">
      <c r="A99" s="55"/>
      <c r="B99" s="45" t="s">
        <v>122</v>
      </c>
      <c r="C99" s="268" t="s">
        <v>211</v>
      </c>
      <c r="D99" s="270">
        <f>D100</f>
        <v>0</v>
      </c>
      <c r="E99" s="270">
        <f>E100</f>
        <v>8070</v>
      </c>
      <c r="F99" s="270">
        <f t="shared" ref="F99:J99" si="16">F100</f>
        <v>0</v>
      </c>
      <c r="G99" s="270">
        <f t="shared" si="16"/>
        <v>0</v>
      </c>
      <c r="H99" s="270">
        <f t="shared" si="16"/>
        <v>8070</v>
      </c>
      <c r="I99" s="270">
        <f t="shared" si="16"/>
        <v>0</v>
      </c>
      <c r="J99" s="270">
        <f t="shared" si="16"/>
        <v>0</v>
      </c>
      <c r="K99" s="270">
        <f>E99-D99</f>
        <v>8070</v>
      </c>
      <c r="L99" s="271">
        <f>IF(D99=0,0,K99/D99)</f>
        <v>0</v>
      </c>
      <c r="M99" s="272"/>
      <c r="N99" s="272"/>
      <c r="O99" s="272"/>
      <c r="P99" s="272"/>
      <c r="Q99" s="272"/>
      <c r="R99" s="273"/>
      <c r="S99" s="273"/>
      <c r="T99" s="273"/>
      <c r="U99" s="273"/>
      <c r="V99" s="273"/>
      <c r="W99" s="273" t="s">
        <v>29</v>
      </c>
      <c r="X99" s="273"/>
      <c r="Y99" s="273"/>
      <c r="Z99" s="273"/>
      <c r="AA99" s="275"/>
      <c r="AB99" s="275">
        <f>AB100</f>
        <v>8070000</v>
      </c>
      <c r="AC99" s="274" t="s">
        <v>26</v>
      </c>
      <c r="AD99" s="1"/>
    </row>
    <row r="100" spans="1:31" s="12" customFormat="1" ht="26.25" customHeight="1">
      <c r="A100" s="55"/>
      <c r="B100" s="55" t="s">
        <v>194</v>
      </c>
      <c r="C100" s="55" t="s">
        <v>193</v>
      </c>
      <c r="D100" s="249"/>
      <c r="E100" s="150">
        <f>SUM(F100:J100)</f>
        <v>8070</v>
      </c>
      <c r="F100" s="150">
        <v>0</v>
      </c>
      <c r="G100" s="150">
        <v>0</v>
      </c>
      <c r="H100" s="150">
        <f>AB99/1000</f>
        <v>8070</v>
      </c>
      <c r="I100" s="150">
        <v>0</v>
      </c>
      <c r="J100" s="150">
        <v>0</v>
      </c>
      <c r="K100" s="150">
        <f>E100-D100</f>
        <v>8070</v>
      </c>
      <c r="L100" s="158">
        <f>IF(D100=0,0,K100/D100)</f>
        <v>0</v>
      </c>
      <c r="M100" s="133" t="s">
        <v>195</v>
      </c>
      <c r="N100" s="153"/>
      <c r="O100" s="41"/>
      <c r="P100" s="35"/>
      <c r="Q100" s="35"/>
      <c r="R100" s="35"/>
      <c r="S100" s="35"/>
      <c r="T100" s="35"/>
      <c r="U100" s="293"/>
      <c r="V100" s="293"/>
      <c r="W100" s="273" t="s">
        <v>202</v>
      </c>
      <c r="X100" s="134"/>
      <c r="Y100" s="134"/>
      <c r="Z100" s="134"/>
      <c r="AA100" s="155"/>
      <c r="AB100" s="155">
        <f>AB102+AB107+AB110+AB116+AB121+AB126</f>
        <v>8070000</v>
      </c>
      <c r="AC100" s="156" t="s">
        <v>26</v>
      </c>
      <c r="AD100" s="1"/>
    </row>
    <row r="101" spans="1:31" s="16" customFormat="1" ht="24" customHeight="1">
      <c r="A101" s="55"/>
      <c r="B101" s="55"/>
      <c r="C101" s="55" t="s">
        <v>194</v>
      </c>
      <c r="D101" s="252"/>
      <c r="E101" s="145"/>
      <c r="F101" s="145"/>
      <c r="G101" s="145"/>
      <c r="H101" s="145"/>
      <c r="I101" s="145"/>
      <c r="J101" s="145"/>
      <c r="K101" s="145"/>
      <c r="L101" s="92"/>
      <c r="M101" s="282"/>
      <c r="N101" s="60"/>
      <c r="O101" s="60"/>
      <c r="P101" s="60"/>
      <c r="Q101" s="60"/>
      <c r="R101" s="61"/>
      <c r="S101" s="61"/>
      <c r="T101" s="61"/>
      <c r="U101" s="61"/>
      <c r="V101" s="61"/>
      <c r="W101" s="186"/>
      <c r="X101" s="186"/>
      <c r="Y101" s="186"/>
      <c r="Z101" s="186"/>
      <c r="AA101" s="187"/>
      <c r="AB101" s="187"/>
      <c r="AC101" s="68"/>
      <c r="AD101" s="17"/>
    </row>
    <row r="102" spans="1:31" s="16" customFormat="1" ht="24" customHeight="1">
      <c r="A102" s="55"/>
      <c r="B102" s="55"/>
      <c r="C102" s="55"/>
      <c r="D102" s="252"/>
      <c r="E102" s="145"/>
      <c r="F102" s="145"/>
      <c r="G102" s="145"/>
      <c r="H102" s="145"/>
      <c r="I102" s="145"/>
      <c r="J102" s="145"/>
      <c r="K102" s="145"/>
      <c r="L102" s="92"/>
      <c r="M102" s="93" t="s">
        <v>306</v>
      </c>
      <c r="N102" s="278"/>
      <c r="O102" s="282"/>
      <c r="P102" s="282"/>
      <c r="Q102" s="282"/>
      <c r="R102" s="281"/>
      <c r="S102" s="281"/>
      <c r="T102" s="281"/>
      <c r="U102" s="277" t="s">
        <v>196</v>
      </c>
      <c r="V102" s="277"/>
      <c r="W102" s="277"/>
      <c r="X102" s="277"/>
      <c r="Y102" s="277"/>
      <c r="Z102" s="277"/>
      <c r="AA102" s="94"/>
      <c r="AB102" s="94">
        <f>SUM(AB103:AB105)</f>
        <v>2390000</v>
      </c>
      <c r="AC102" s="95" t="s">
        <v>26</v>
      </c>
      <c r="AD102" s="17"/>
    </row>
    <row r="103" spans="1:31" s="16" customFormat="1" ht="24" customHeight="1">
      <c r="A103" s="55"/>
      <c r="B103" s="55"/>
      <c r="C103" s="55"/>
      <c r="D103" s="252"/>
      <c r="E103" s="145"/>
      <c r="F103" s="145"/>
      <c r="G103" s="145"/>
      <c r="H103" s="145"/>
      <c r="I103" s="145"/>
      <c r="J103" s="145"/>
      <c r="K103" s="145"/>
      <c r="L103" s="92"/>
      <c r="M103" s="330" t="s">
        <v>280</v>
      </c>
      <c r="N103" s="282"/>
      <c r="O103" s="282"/>
      <c r="P103" s="282"/>
      <c r="Q103" s="329">
        <v>17000</v>
      </c>
      <c r="R103" s="329" t="s">
        <v>60</v>
      </c>
      <c r="S103" s="330" t="s">
        <v>61</v>
      </c>
      <c r="T103" s="329">
        <v>10</v>
      </c>
      <c r="U103" s="329" t="s">
        <v>83</v>
      </c>
      <c r="V103" s="330" t="s">
        <v>61</v>
      </c>
      <c r="W103" s="329">
        <v>5</v>
      </c>
      <c r="X103" s="329" t="s">
        <v>59</v>
      </c>
      <c r="Y103" s="329" t="s">
        <v>56</v>
      </c>
      <c r="Z103" s="329"/>
      <c r="AA103" s="89"/>
      <c r="AB103" s="89">
        <f t="shared" ref="AB103:AB105" si="17">Q103*T103*W103</f>
        <v>850000</v>
      </c>
      <c r="AC103" s="68" t="s">
        <v>26</v>
      </c>
      <c r="AD103" s="17"/>
    </row>
    <row r="104" spans="1:31" s="16" customFormat="1" ht="24" customHeight="1">
      <c r="A104" s="55"/>
      <c r="B104" s="55"/>
      <c r="C104" s="55"/>
      <c r="D104" s="252"/>
      <c r="E104" s="145"/>
      <c r="F104" s="145"/>
      <c r="G104" s="145"/>
      <c r="H104" s="145"/>
      <c r="I104" s="145"/>
      <c r="J104" s="145"/>
      <c r="K104" s="145"/>
      <c r="L104" s="92"/>
      <c r="M104" s="330" t="s">
        <v>281</v>
      </c>
      <c r="N104" s="330"/>
      <c r="O104" s="330"/>
      <c r="P104" s="330"/>
      <c r="Q104" s="329">
        <v>20000</v>
      </c>
      <c r="R104" s="329" t="s">
        <v>60</v>
      </c>
      <c r="S104" s="330" t="s">
        <v>61</v>
      </c>
      <c r="T104" s="329">
        <v>8</v>
      </c>
      <c r="U104" s="329" t="s">
        <v>83</v>
      </c>
      <c r="V104" s="330" t="s">
        <v>61</v>
      </c>
      <c r="W104" s="329">
        <v>4</v>
      </c>
      <c r="X104" s="329" t="s">
        <v>59</v>
      </c>
      <c r="Y104" s="329" t="s">
        <v>56</v>
      </c>
      <c r="Z104" s="329"/>
      <c r="AA104" s="89"/>
      <c r="AB104" s="89">
        <f t="shared" si="17"/>
        <v>640000</v>
      </c>
      <c r="AC104" s="68" t="s">
        <v>26</v>
      </c>
      <c r="AD104" s="17"/>
    </row>
    <row r="105" spans="1:31" s="16" customFormat="1" ht="24" customHeight="1">
      <c r="A105" s="55"/>
      <c r="B105" s="55"/>
      <c r="C105" s="55"/>
      <c r="D105" s="249"/>
      <c r="E105" s="145"/>
      <c r="F105" s="145"/>
      <c r="G105" s="145"/>
      <c r="H105" s="145"/>
      <c r="I105" s="145"/>
      <c r="J105" s="145"/>
      <c r="K105" s="145"/>
      <c r="L105" s="92"/>
      <c r="M105" s="330" t="s">
        <v>282</v>
      </c>
      <c r="N105" s="60"/>
      <c r="O105" s="60"/>
      <c r="P105" s="60"/>
      <c r="Q105" s="329">
        <v>15000</v>
      </c>
      <c r="R105" s="329" t="s">
        <v>60</v>
      </c>
      <c r="S105" s="330" t="s">
        <v>61</v>
      </c>
      <c r="T105" s="329">
        <v>12</v>
      </c>
      <c r="U105" s="329" t="s">
        <v>83</v>
      </c>
      <c r="V105" s="330" t="s">
        <v>61</v>
      </c>
      <c r="W105" s="329">
        <v>5</v>
      </c>
      <c r="X105" s="329" t="s">
        <v>59</v>
      </c>
      <c r="Y105" s="329" t="s">
        <v>56</v>
      </c>
      <c r="Z105" s="329"/>
      <c r="AA105" s="89"/>
      <c r="AB105" s="89">
        <f t="shared" si="17"/>
        <v>900000</v>
      </c>
      <c r="AC105" s="68" t="s">
        <v>26</v>
      </c>
      <c r="AD105" s="17"/>
    </row>
    <row r="106" spans="1:31" s="16" customFormat="1" ht="24" customHeight="1">
      <c r="A106" s="55"/>
      <c r="B106" s="55"/>
      <c r="C106" s="55"/>
      <c r="D106" s="249"/>
      <c r="E106" s="145"/>
      <c r="F106" s="145"/>
      <c r="G106" s="145"/>
      <c r="H106" s="145"/>
      <c r="I106" s="145"/>
      <c r="J106" s="145"/>
      <c r="K106" s="145"/>
      <c r="L106" s="92"/>
      <c r="M106" s="166"/>
      <c r="N106" s="166"/>
      <c r="O106" s="166"/>
      <c r="P106" s="166"/>
      <c r="Q106" s="165"/>
      <c r="R106" s="165"/>
      <c r="S106" s="166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68"/>
      <c r="AD106" s="17"/>
    </row>
    <row r="107" spans="1:31" s="16" customFormat="1" ht="24" customHeight="1">
      <c r="A107" s="55"/>
      <c r="B107" s="55"/>
      <c r="C107" s="55"/>
      <c r="D107" s="249"/>
      <c r="E107" s="145"/>
      <c r="F107" s="145"/>
      <c r="G107" s="145"/>
      <c r="H107" s="145"/>
      <c r="I107" s="145"/>
      <c r="J107" s="145"/>
      <c r="K107" s="145"/>
      <c r="L107" s="92"/>
      <c r="M107" s="93" t="s">
        <v>283</v>
      </c>
      <c r="N107" s="153"/>
      <c r="O107" s="283"/>
      <c r="P107" s="35"/>
      <c r="Q107" s="35"/>
      <c r="R107" s="35"/>
      <c r="S107" s="35"/>
      <c r="T107" s="35"/>
      <c r="U107" s="277" t="s">
        <v>196</v>
      </c>
      <c r="V107" s="277"/>
      <c r="W107" s="277"/>
      <c r="X107" s="277"/>
      <c r="Y107" s="277"/>
      <c r="Z107" s="277"/>
      <c r="AA107" s="94"/>
      <c r="AB107" s="94">
        <f>SUM(AB108:AB108)</f>
        <v>200000</v>
      </c>
      <c r="AC107" s="95" t="s">
        <v>26</v>
      </c>
      <c r="AD107" s="17"/>
    </row>
    <row r="108" spans="1:31" s="16" customFormat="1" ht="24" customHeight="1">
      <c r="A108" s="55"/>
      <c r="B108" s="55"/>
      <c r="C108" s="55"/>
      <c r="D108" s="252"/>
      <c r="E108" s="145"/>
      <c r="F108" s="145"/>
      <c r="G108" s="145"/>
      <c r="H108" s="145"/>
      <c r="I108" s="145"/>
      <c r="J108" s="145"/>
      <c r="K108" s="145"/>
      <c r="L108" s="92"/>
      <c r="M108" s="330" t="s">
        <v>284</v>
      </c>
      <c r="N108" s="282"/>
      <c r="O108" s="282"/>
      <c r="P108" s="282"/>
      <c r="Q108" s="329">
        <v>50000</v>
      </c>
      <c r="R108" s="65" t="s">
        <v>60</v>
      </c>
      <c r="S108" s="65" t="s">
        <v>27</v>
      </c>
      <c r="T108" s="329">
        <v>4</v>
      </c>
      <c r="U108" s="329" t="s">
        <v>275</v>
      </c>
      <c r="V108" s="308"/>
      <c r="W108" s="182"/>
      <c r="X108" s="97"/>
      <c r="Y108" s="288" t="s">
        <v>56</v>
      </c>
      <c r="Z108" s="329"/>
      <c r="AA108" s="329"/>
      <c r="AB108" s="329">
        <f>Q108*T108</f>
        <v>200000</v>
      </c>
      <c r="AC108" s="68" t="s">
        <v>26</v>
      </c>
      <c r="AD108" s="17"/>
    </row>
    <row r="109" spans="1:31" s="16" customFormat="1" ht="24" customHeight="1">
      <c r="A109" s="55"/>
      <c r="B109" s="55"/>
      <c r="C109" s="55"/>
      <c r="D109" s="252"/>
      <c r="E109" s="145"/>
      <c r="F109" s="145"/>
      <c r="G109" s="145"/>
      <c r="H109" s="145"/>
      <c r="I109" s="145"/>
      <c r="J109" s="145"/>
      <c r="K109" s="145"/>
      <c r="L109" s="92"/>
      <c r="M109" s="282"/>
      <c r="N109" s="282"/>
      <c r="O109" s="282"/>
      <c r="P109" s="282"/>
      <c r="Q109" s="282"/>
      <c r="R109" s="281"/>
      <c r="S109" s="281"/>
      <c r="T109" s="281"/>
      <c r="U109" s="281"/>
      <c r="V109" s="281"/>
      <c r="W109" s="186"/>
      <c r="X109" s="186"/>
      <c r="Y109" s="186"/>
      <c r="Z109" s="186"/>
      <c r="AA109" s="187"/>
      <c r="AB109" s="187"/>
      <c r="AC109" s="68"/>
      <c r="AD109" s="17"/>
      <c r="AE109" s="17"/>
    </row>
    <row r="110" spans="1:31" s="16" customFormat="1" ht="24" customHeight="1">
      <c r="A110" s="55"/>
      <c r="B110" s="55"/>
      <c r="C110" s="55"/>
      <c r="D110" s="252"/>
      <c r="E110" s="145"/>
      <c r="F110" s="145"/>
      <c r="G110" s="145"/>
      <c r="H110" s="145"/>
      <c r="I110" s="145"/>
      <c r="J110" s="145"/>
      <c r="K110" s="145"/>
      <c r="L110" s="92"/>
      <c r="M110" s="93" t="s">
        <v>285</v>
      </c>
      <c r="N110" s="153"/>
      <c r="O110" s="283"/>
      <c r="P110" s="35"/>
      <c r="Q110" s="35"/>
      <c r="R110" s="35"/>
      <c r="S110" s="35"/>
      <c r="T110" s="35"/>
      <c r="U110" s="277" t="s">
        <v>196</v>
      </c>
      <c r="V110" s="277"/>
      <c r="W110" s="277"/>
      <c r="X110" s="277"/>
      <c r="Y110" s="277"/>
      <c r="Z110" s="277"/>
      <c r="AA110" s="94"/>
      <c r="AB110" s="94">
        <f>SUM(AB111:AB113)</f>
        <v>520000</v>
      </c>
      <c r="AC110" s="95" t="s">
        <v>26</v>
      </c>
      <c r="AD110" s="17"/>
      <c r="AE110" s="17"/>
    </row>
    <row r="111" spans="1:31" s="16" customFormat="1" ht="24" customHeight="1">
      <c r="A111" s="55"/>
      <c r="B111" s="55"/>
      <c r="C111" s="55"/>
      <c r="D111" s="249"/>
      <c r="E111" s="145"/>
      <c r="F111" s="145"/>
      <c r="G111" s="145"/>
      <c r="H111" s="145"/>
      <c r="I111" s="145"/>
      <c r="J111" s="145"/>
      <c r="K111" s="145"/>
      <c r="L111" s="92"/>
      <c r="M111" s="330" t="s">
        <v>286</v>
      </c>
      <c r="N111" s="282"/>
      <c r="O111" s="282"/>
      <c r="P111" s="282"/>
      <c r="Q111" s="329">
        <v>10000</v>
      </c>
      <c r="R111" s="65" t="s">
        <v>60</v>
      </c>
      <c r="S111" s="65" t="s">
        <v>27</v>
      </c>
      <c r="T111" s="329">
        <v>4</v>
      </c>
      <c r="U111" s="329" t="s">
        <v>275</v>
      </c>
      <c r="V111" s="308"/>
      <c r="W111" s="182"/>
      <c r="X111" s="97"/>
      <c r="Y111" s="288" t="s">
        <v>56</v>
      </c>
      <c r="Z111" s="329"/>
      <c r="AA111" s="329"/>
      <c r="AB111" s="329">
        <f>Q111*T111</f>
        <v>40000</v>
      </c>
      <c r="AC111" s="68" t="s">
        <v>26</v>
      </c>
      <c r="AD111" s="17"/>
      <c r="AE111" s="17"/>
    </row>
    <row r="112" spans="1:31" s="16" customFormat="1" ht="24" customHeight="1">
      <c r="A112" s="55"/>
      <c r="B112" s="55"/>
      <c r="C112" s="55"/>
      <c r="D112" s="249"/>
      <c r="E112" s="145"/>
      <c r="F112" s="145"/>
      <c r="G112" s="145"/>
      <c r="H112" s="145"/>
      <c r="I112" s="145"/>
      <c r="J112" s="145"/>
      <c r="K112" s="145"/>
      <c r="L112" s="92"/>
      <c r="M112" s="330" t="s">
        <v>287</v>
      </c>
      <c r="N112" s="60"/>
      <c r="O112" s="60"/>
      <c r="P112" s="60"/>
      <c r="Q112" s="61"/>
      <c r="R112" s="61"/>
      <c r="S112" s="60"/>
      <c r="T112" s="61"/>
      <c r="U112" s="61"/>
      <c r="V112" s="61"/>
      <c r="W112" s="61"/>
      <c r="X112" s="61"/>
      <c r="Y112" s="61"/>
      <c r="Z112" s="165"/>
      <c r="AA112" s="61"/>
      <c r="AB112" s="61">
        <v>170000</v>
      </c>
      <c r="AC112" s="188" t="s">
        <v>97</v>
      </c>
      <c r="AD112" s="17"/>
    </row>
    <row r="113" spans="1:30" s="16" customFormat="1" ht="24" customHeight="1">
      <c r="A113" s="55"/>
      <c r="B113" s="55"/>
      <c r="C113" s="55"/>
      <c r="D113" s="249"/>
      <c r="E113" s="145"/>
      <c r="F113" s="145"/>
      <c r="G113" s="145"/>
      <c r="H113" s="145"/>
      <c r="I113" s="145"/>
      <c r="J113" s="145"/>
      <c r="K113" s="145"/>
      <c r="L113" s="92"/>
      <c r="M113" s="347" t="s">
        <v>308</v>
      </c>
      <c r="N113" s="347"/>
      <c r="O113" s="347"/>
      <c r="P113" s="347"/>
      <c r="Q113" s="346"/>
      <c r="R113" s="346"/>
      <c r="S113" s="347"/>
      <c r="T113" s="346"/>
      <c r="U113" s="346"/>
      <c r="V113" s="346"/>
      <c r="W113" s="346"/>
      <c r="X113" s="346"/>
      <c r="Y113" s="346"/>
      <c r="Z113" s="346"/>
      <c r="AA113" s="346"/>
      <c r="AB113" s="346">
        <v>310000</v>
      </c>
      <c r="AC113" s="188" t="s">
        <v>312</v>
      </c>
      <c r="AD113" s="17"/>
    </row>
    <row r="114" spans="1:30" s="16" customFormat="1" ht="24" customHeight="1">
      <c r="A114" s="55"/>
      <c r="B114" s="55"/>
      <c r="C114" s="55"/>
      <c r="D114" s="249"/>
      <c r="E114" s="145"/>
      <c r="F114" s="145"/>
      <c r="G114" s="145"/>
      <c r="H114" s="145"/>
      <c r="I114" s="145"/>
      <c r="J114" s="145"/>
      <c r="K114" s="145"/>
      <c r="L114" s="92"/>
      <c r="M114" s="347"/>
      <c r="N114" s="347"/>
      <c r="O114" s="347"/>
      <c r="P114" s="347"/>
      <c r="Q114" s="346"/>
      <c r="R114" s="346"/>
      <c r="S114" s="347"/>
      <c r="T114" s="346"/>
      <c r="U114" s="346"/>
      <c r="V114" s="346"/>
      <c r="W114" s="346"/>
      <c r="X114" s="346"/>
      <c r="Y114" s="346"/>
      <c r="Z114" s="346"/>
      <c r="AA114" s="346"/>
      <c r="AB114" s="346"/>
      <c r="AC114" s="188"/>
      <c r="AD114" s="17"/>
    </row>
    <row r="115" spans="1:30" s="16" customFormat="1" ht="24" customHeight="1">
      <c r="A115" s="55"/>
      <c r="B115" s="55"/>
      <c r="C115" s="55"/>
      <c r="D115" s="249"/>
      <c r="E115" s="145"/>
      <c r="F115" s="145"/>
      <c r="G115" s="145"/>
      <c r="H115" s="145"/>
      <c r="I115" s="145"/>
      <c r="J115" s="145"/>
      <c r="K115" s="145"/>
      <c r="L115" s="92"/>
      <c r="M115" s="282"/>
      <c r="N115" s="282"/>
      <c r="O115" s="282"/>
      <c r="P115" s="282"/>
      <c r="Q115" s="282"/>
      <c r="R115" s="281"/>
      <c r="S115" s="281"/>
      <c r="T115" s="281"/>
      <c r="U115" s="281"/>
      <c r="V115" s="281"/>
      <c r="W115" s="186"/>
      <c r="X115" s="186"/>
      <c r="Y115" s="186"/>
      <c r="Z115" s="186"/>
      <c r="AA115" s="187"/>
      <c r="AB115" s="189"/>
      <c r="AC115" s="68"/>
      <c r="AD115" s="17"/>
    </row>
    <row r="116" spans="1:30" s="16" customFormat="1" ht="24" customHeight="1">
      <c r="A116" s="55"/>
      <c r="B116" s="55"/>
      <c r="C116" s="55"/>
      <c r="D116" s="249"/>
      <c r="E116" s="145"/>
      <c r="F116" s="145"/>
      <c r="G116" s="145"/>
      <c r="H116" s="145"/>
      <c r="I116" s="145"/>
      <c r="J116" s="145"/>
      <c r="K116" s="145"/>
      <c r="L116" s="92"/>
      <c r="M116" s="93" t="s">
        <v>288</v>
      </c>
      <c r="N116" s="153"/>
      <c r="O116" s="283"/>
      <c r="P116" s="35"/>
      <c r="Q116" s="35"/>
      <c r="R116" s="35"/>
      <c r="S116" s="35"/>
      <c r="T116" s="35"/>
      <c r="U116" s="277" t="s">
        <v>196</v>
      </c>
      <c r="V116" s="277"/>
      <c r="W116" s="277"/>
      <c r="X116" s="277"/>
      <c r="Y116" s="277"/>
      <c r="Z116" s="277"/>
      <c r="AA116" s="94"/>
      <c r="AB116" s="94">
        <f>SUM(AB117:AB118)</f>
        <v>700000</v>
      </c>
      <c r="AC116" s="95" t="s">
        <v>26</v>
      </c>
      <c r="AD116" s="17"/>
    </row>
    <row r="117" spans="1:30" s="16" customFormat="1" ht="24" customHeight="1">
      <c r="A117" s="55"/>
      <c r="B117" s="55"/>
      <c r="C117" s="55"/>
      <c r="D117" s="249"/>
      <c r="E117" s="145"/>
      <c r="F117" s="145"/>
      <c r="G117" s="145"/>
      <c r="H117" s="145"/>
      <c r="I117" s="145"/>
      <c r="J117" s="145"/>
      <c r="K117" s="145"/>
      <c r="L117" s="92"/>
      <c r="M117" s="347" t="s">
        <v>309</v>
      </c>
      <c r="N117" s="282"/>
      <c r="O117" s="282"/>
      <c r="P117" s="282"/>
      <c r="Q117" s="329">
        <v>25000</v>
      </c>
      <c r="R117" s="65" t="s">
        <v>60</v>
      </c>
      <c r="S117" s="65" t="s">
        <v>27</v>
      </c>
      <c r="T117" s="329">
        <v>5</v>
      </c>
      <c r="U117" s="346" t="s">
        <v>59</v>
      </c>
      <c r="V117" s="65" t="s">
        <v>27</v>
      </c>
      <c r="W117" s="182">
        <v>4</v>
      </c>
      <c r="X117" s="97" t="s">
        <v>310</v>
      </c>
      <c r="Y117" s="288" t="s">
        <v>56</v>
      </c>
      <c r="Z117" s="329"/>
      <c r="AA117" s="329"/>
      <c r="AB117" s="329">
        <f>Q117*T117*W117</f>
        <v>500000</v>
      </c>
      <c r="AC117" s="68" t="s">
        <v>26</v>
      </c>
      <c r="AD117" s="17"/>
    </row>
    <row r="118" spans="1:30" s="16" customFormat="1" ht="24" customHeight="1">
      <c r="A118" s="55"/>
      <c r="B118" s="55"/>
      <c r="C118" s="55"/>
      <c r="D118" s="249"/>
      <c r="E118" s="145"/>
      <c r="F118" s="145"/>
      <c r="G118" s="145"/>
      <c r="H118" s="145"/>
      <c r="I118" s="145"/>
      <c r="J118" s="145"/>
      <c r="K118" s="145"/>
      <c r="L118" s="92"/>
      <c r="M118" s="347" t="s">
        <v>311</v>
      </c>
      <c r="N118" s="347"/>
      <c r="O118" s="347"/>
      <c r="P118" s="347"/>
      <c r="Q118" s="346"/>
      <c r="R118" s="65"/>
      <c r="S118" s="65"/>
      <c r="T118" s="346"/>
      <c r="U118" s="346"/>
      <c r="V118" s="308"/>
      <c r="W118" s="182"/>
      <c r="X118" s="97"/>
      <c r="Y118" s="288"/>
      <c r="Z118" s="346"/>
      <c r="AA118" s="346"/>
      <c r="AB118" s="346">
        <v>200000</v>
      </c>
      <c r="AC118" s="68" t="s">
        <v>312</v>
      </c>
      <c r="AD118" s="17"/>
    </row>
    <row r="119" spans="1:30" s="16" customFormat="1" ht="24" customHeight="1">
      <c r="A119" s="55"/>
      <c r="B119" s="55"/>
      <c r="C119" s="55"/>
      <c r="D119" s="249"/>
      <c r="E119" s="145"/>
      <c r="F119" s="145"/>
      <c r="G119" s="145"/>
      <c r="H119" s="145"/>
      <c r="I119" s="145"/>
      <c r="J119" s="145"/>
      <c r="K119" s="145"/>
      <c r="L119" s="92"/>
      <c r="M119" s="347"/>
      <c r="N119" s="347"/>
      <c r="O119" s="347"/>
      <c r="P119" s="347"/>
      <c r="Q119" s="346"/>
      <c r="R119" s="65"/>
      <c r="S119" s="65"/>
      <c r="T119" s="346"/>
      <c r="U119" s="346"/>
      <c r="V119" s="308"/>
      <c r="W119" s="182"/>
      <c r="X119" s="97"/>
      <c r="Y119" s="288"/>
      <c r="Z119" s="346"/>
      <c r="AA119" s="346"/>
      <c r="AB119" s="346"/>
      <c r="AC119" s="68"/>
      <c r="AD119" s="17"/>
    </row>
    <row r="120" spans="1:30" s="16" customFormat="1" ht="24" customHeight="1">
      <c r="A120" s="55"/>
      <c r="B120" s="55"/>
      <c r="C120" s="55"/>
      <c r="D120" s="249"/>
      <c r="E120" s="145"/>
      <c r="F120" s="145"/>
      <c r="G120" s="145"/>
      <c r="H120" s="145"/>
      <c r="I120" s="145"/>
      <c r="J120" s="145"/>
      <c r="K120" s="145"/>
      <c r="L120" s="92"/>
      <c r="M120" s="190"/>
      <c r="N120" s="190"/>
      <c r="O120" s="190"/>
      <c r="P120" s="190"/>
      <c r="Q120" s="281"/>
      <c r="R120" s="65"/>
      <c r="S120" s="65"/>
      <c r="T120" s="281"/>
      <c r="U120" s="282"/>
      <c r="V120" s="281"/>
      <c r="W120" s="190"/>
      <c r="X120" s="190"/>
      <c r="Y120" s="190"/>
      <c r="Z120" s="190"/>
      <c r="AA120" s="190"/>
      <c r="AB120" s="191"/>
      <c r="AC120" s="192"/>
      <c r="AD120" s="17"/>
    </row>
    <row r="121" spans="1:30" s="16" customFormat="1" ht="24" customHeight="1">
      <c r="A121" s="55"/>
      <c r="B121" s="55"/>
      <c r="C121" s="55"/>
      <c r="D121" s="249"/>
      <c r="E121" s="145"/>
      <c r="F121" s="145"/>
      <c r="G121" s="145"/>
      <c r="H121" s="145"/>
      <c r="I121" s="145"/>
      <c r="J121" s="145"/>
      <c r="K121" s="145"/>
      <c r="L121" s="92"/>
      <c r="M121" s="93" t="s">
        <v>289</v>
      </c>
      <c r="N121" s="153"/>
      <c r="O121" s="283"/>
      <c r="P121" s="35"/>
      <c r="Q121" s="35"/>
      <c r="R121" s="35"/>
      <c r="S121" s="35"/>
      <c r="T121" s="35"/>
      <c r="U121" s="277" t="s">
        <v>196</v>
      </c>
      <c r="V121" s="277"/>
      <c r="W121" s="277"/>
      <c r="X121" s="277"/>
      <c r="Y121" s="277"/>
      <c r="Z121" s="277"/>
      <c r="AA121" s="94"/>
      <c r="AB121" s="94">
        <f>SUM(AB122:AB125)</f>
        <v>3000000</v>
      </c>
      <c r="AC121" s="95" t="s">
        <v>26</v>
      </c>
      <c r="AD121" s="17"/>
    </row>
    <row r="122" spans="1:30" s="16" customFormat="1" ht="24" customHeight="1">
      <c r="A122" s="55"/>
      <c r="B122" s="55"/>
      <c r="C122" s="55"/>
      <c r="D122" s="249"/>
      <c r="E122" s="145"/>
      <c r="F122" s="145"/>
      <c r="G122" s="145"/>
      <c r="H122" s="145"/>
      <c r="I122" s="145"/>
      <c r="J122" s="145"/>
      <c r="K122" s="145"/>
      <c r="L122" s="92"/>
      <c r="M122" s="190" t="s">
        <v>290</v>
      </c>
      <c r="N122" s="190"/>
      <c r="O122" s="190"/>
      <c r="P122" s="190"/>
      <c r="Q122" s="329">
        <v>100000</v>
      </c>
      <c r="R122" s="65" t="s">
        <v>60</v>
      </c>
      <c r="S122" s="65" t="s">
        <v>27</v>
      </c>
      <c r="T122" s="329">
        <v>5</v>
      </c>
      <c r="U122" s="329" t="s">
        <v>275</v>
      </c>
      <c r="V122" s="308"/>
      <c r="W122" s="182"/>
      <c r="X122" s="97"/>
      <c r="Y122" s="288" t="s">
        <v>56</v>
      </c>
      <c r="Z122" s="329"/>
      <c r="AA122" s="329"/>
      <c r="AB122" s="329">
        <f>Q122*T122</f>
        <v>500000</v>
      </c>
      <c r="AC122" s="68" t="s">
        <v>26</v>
      </c>
      <c r="AD122" s="17"/>
    </row>
    <row r="123" spans="1:30" s="16" customFormat="1" ht="24" customHeight="1">
      <c r="A123" s="55"/>
      <c r="B123" s="55"/>
      <c r="C123" s="55"/>
      <c r="D123" s="249"/>
      <c r="E123" s="145"/>
      <c r="F123" s="145"/>
      <c r="G123" s="145"/>
      <c r="H123" s="145"/>
      <c r="I123" s="145"/>
      <c r="J123" s="145"/>
      <c r="K123" s="145"/>
      <c r="L123" s="92"/>
      <c r="M123" s="190" t="s">
        <v>307</v>
      </c>
      <c r="N123" s="190"/>
      <c r="O123" s="190"/>
      <c r="P123" s="190"/>
      <c r="Q123" s="329">
        <v>500000</v>
      </c>
      <c r="R123" s="65" t="s">
        <v>60</v>
      </c>
      <c r="S123" s="65" t="s">
        <v>27</v>
      </c>
      <c r="T123" s="329">
        <v>2</v>
      </c>
      <c r="U123" s="329" t="s">
        <v>292</v>
      </c>
      <c r="V123" s="308"/>
      <c r="W123" s="182"/>
      <c r="X123" s="97"/>
      <c r="Y123" s="288" t="s">
        <v>56</v>
      </c>
      <c r="Z123" s="329"/>
      <c r="AA123" s="329"/>
      <c r="AB123" s="329">
        <f>Q123*T123</f>
        <v>1000000</v>
      </c>
      <c r="AC123" s="68" t="s">
        <v>26</v>
      </c>
      <c r="AD123" s="17"/>
    </row>
    <row r="124" spans="1:30" s="16" customFormat="1" ht="24" customHeight="1">
      <c r="A124" s="55"/>
      <c r="B124" s="55"/>
      <c r="C124" s="55"/>
      <c r="D124" s="249"/>
      <c r="E124" s="145"/>
      <c r="F124" s="145"/>
      <c r="G124" s="145"/>
      <c r="H124" s="145"/>
      <c r="I124" s="145"/>
      <c r="J124" s="145"/>
      <c r="K124" s="145"/>
      <c r="L124" s="92"/>
      <c r="M124" s="190" t="s">
        <v>291</v>
      </c>
      <c r="N124" s="190"/>
      <c r="O124" s="190"/>
      <c r="P124" s="190"/>
      <c r="Q124" s="190"/>
      <c r="R124" s="190"/>
      <c r="S124" s="190"/>
      <c r="T124" s="190"/>
      <c r="U124" s="190"/>
      <c r="V124" s="190"/>
      <c r="W124" s="190"/>
      <c r="X124" s="190"/>
      <c r="Y124" s="190"/>
      <c r="Z124" s="190"/>
      <c r="AA124" s="190"/>
      <c r="AB124" s="191">
        <v>1000000</v>
      </c>
      <c r="AC124" s="192" t="s">
        <v>73</v>
      </c>
      <c r="AD124" s="17"/>
    </row>
    <row r="125" spans="1:30" s="16" customFormat="1" ht="24" customHeight="1">
      <c r="A125" s="55"/>
      <c r="B125" s="55"/>
      <c r="C125" s="55"/>
      <c r="D125" s="249"/>
      <c r="E125" s="145"/>
      <c r="F125" s="145"/>
      <c r="G125" s="145"/>
      <c r="H125" s="145"/>
      <c r="I125" s="145"/>
      <c r="J125" s="145"/>
      <c r="K125" s="145"/>
      <c r="L125" s="92"/>
      <c r="M125" s="190" t="s">
        <v>325</v>
      </c>
      <c r="N125" s="190"/>
      <c r="O125" s="190"/>
      <c r="P125" s="190"/>
      <c r="Q125" s="352">
        <v>500000</v>
      </c>
      <c r="R125" s="65" t="s">
        <v>60</v>
      </c>
      <c r="S125" s="65" t="s">
        <v>27</v>
      </c>
      <c r="T125" s="352">
        <v>1</v>
      </c>
      <c r="U125" s="352" t="s">
        <v>292</v>
      </c>
      <c r="V125" s="308"/>
      <c r="W125" s="182"/>
      <c r="X125" s="97"/>
      <c r="Y125" s="288" t="s">
        <v>56</v>
      </c>
      <c r="Z125" s="352"/>
      <c r="AA125" s="352"/>
      <c r="AB125" s="352">
        <f>Q125*T125</f>
        <v>500000</v>
      </c>
      <c r="AC125" s="68" t="s">
        <v>26</v>
      </c>
      <c r="AD125" s="17"/>
    </row>
    <row r="126" spans="1:30" s="16" customFormat="1" ht="24" customHeight="1">
      <c r="A126" s="55"/>
      <c r="B126" s="55"/>
      <c r="C126" s="55"/>
      <c r="D126" s="249"/>
      <c r="E126" s="145"/>
      <c r="F126" s="145"/>
      <c r="G126" s="145"/>
      <c r="H126" s="145"/>
      <c r="I126" s="145"/>
      <c r="J126" s="145"/>
      <c r="K126" s="145"/>
      <c r="L126" s="92"/>
      <c r="M126" s="93" t="s">
        <v>293</v>
      </c>
      <c r="N126" s="153"/>
      <c r="O126" s="283"/>
      <c r="P126" s="35"/>
      <c r="Q126" s="35"/>
      <c r="R126" s="35"/>
      <c r="S126" s="35"/>
      <c r="T126" s="35"/>
      <c r="U126" s="277" t="s">
        <v>196</v>
      </c>
      <c r="V126" s="277"/>
      <c r="W126" s="277"/>
      <c r="X126" s="277"/>
      <c r="Y126" s="277"/>
      <c r="Z126" s="277"/>
      <c r="AA126" s="94"/>
      <c r="AB126" s="94">
        <f>SUM(AB127:AB129)</f>
        <v>1260000</v>
      </c>
      <c r="AC126" s="95" t="s">
        <v>26</v>
      </c>
      <c r="AD126" s="17"/>
    </row>
    <row r="127" spans="1:30" s="16" customFormat="1" ht="24" customHeight="1">
      <c r="A127" s="55"/>
      <c r="B127" s="55"/>
      <c r="C127" s="55"/>
      <c r="D127" s="249"/>
      <c r="E127" s="145"/>
      <c r="F127" s="145"/>
      <c r="G127" s="145"/>
      <c r="H127" s="145"/>
      <c r="I127" s="145"/>
      <c r="J127" s="145"/>
      <c r="K127" s="145"/>
      <c r="L127" s="92"/>
      <c r="M127" s="190" t="s">
        <v>313</v>
      </c>
      <c r="N127" s="190"/>
      <c r="O127" s="190"/>
      <c r="P127" s="190"/>
      <c r="Q127" s="329">
        <v>20000</v>
      </c>
      <c r="R127" s="329" t="s">
        <v>60</v>
      </c>
      <c r="S127" s="330" t="s">
        <v>61</v>
      </c>
      <c r="T127" s="329">
        <v>4</v>
      </c>
      <c r="U127" s="329" t="s">
        <v>275</v>
      </c>
      <c r="V127" s="330" t="s">
        <v>61</v>
      </c>
      <c r="W127" s="329">
        <v>2</v>
      </c>
      <c r="X127" s="329" t="s">
        <v>292</v>
      </c>
      <c r="Y127" s="329" t="s">
        <v>56</v>
      </c>
      <c r="Z127" s="329"/>
      <c r="AA127" s="89"/>
      <c r="AB127" s="89">
        <f t="shared" ref="AB127" si="18">Q127*T127*W127</f>
        <v>160000</v>
      </c>
      <c r="AC127" s="68" t="s">
        <v>26</v>
      </c>
      <c r="AD127" s="17"/>
    </row>
    <row r="128" spans="1:30" s="16" customFormat="1" ht="24" customHeight="1">
      <c r="A128" s="55"/>
      <c r="B128" s="55"/>
      <c r="C128" s="55"/>
      <c r="D128" s="249"/>
      <c r="E128" s="145"/>
      <c r="F128" s="145"/>
      <c r="G128" s="145"/>
      <c r="H128" s="145"/>
      <c r="I128" s="145"/>
      <c r="J128" s="145"/>
      <c r="K128" s="145"/>
      <c r="L128" s="92"/>
      <c r="M128" s="190" t="s">
        <v>294</v>
      </c>
      <c r="N128" s="190"/>
      <c r="O128" s="190"/>
      <c r="P128" s="190"/>
      <c r="Q128" s="190"/>
      <c r="R128" s="190"/>
      <c r="S128" s="190"/>
      <c r="T128" s="190"/>
      <c r="U128" s="190"/>
      <c r="V128" s="190"/>
      <c r="W128" s="190"/>
      <c r="X128" s="190"/>
      <c r="Y128" s="190"/>
      <c r="Z128" s="190"/>
      <c r="AA128" s="190"/>
      <c r="AB128" s="191">
        <v>900000</v>
      </c>
      <c r="AC128" s="192" t="s">
        <v>73</v>
      </c>
      <c r="AD128" s="17"/>
    </row>
    <row r="129" spans="1:30" s="16" customFormat="1" ht="24" customHeight="1">
      <c r="A129" s="55"/>
      <c r="B129" s="55"/>
      <c r="C129" s="55"/>
      <c r="D129" s="249"/>
      <c r="E129" s="145"/>
      <c r="F129" s="145"/>
      <c r="G129" s="145"/>
      <c r="H129" s="145"/>
      <c r="I129" s="145"/>
      <c r="J129" s="145"/>
      <c r="K129" s="145"/>
      <c r="L129" s="92"/>
      <c r="M129" s="190" t="s">
        <v>295</v>
      </c>
      <c r="N129" s="190"/>
      <c r="O129" s="190"/>
      <c r="P129" s="190"/>
      <c r="Q129" s="190"/>
      <c r="R129" s="190"/>
      <c r="S129" s="190"/>
      <c r="T129" s="190"/>
      <c r="U129" s="190"/>
      <c r="V129" s="190"/>
      <c r="W129" s="190"/>
      <c r="X129" s="190"/>
      <c r="Y129" s="190"/>
      <c r="Z129" s="190"/>
      <c r="AA129" s="190"/>
      <c r="AB129" s="191">
        <v>200000</v>
      </c>
      <c r="AC129" s="192" t="s">
        <v>73</v>
      </c>
      <c r="AD129" s="17"/>
    </row>
    <row r="130" spans="1:30" s="16" customFormat="1" ht="24" customHeight="1">
      <c r="A130" s="70"/>
      <c r="B130" s="70"/>
      <c r="C130" s="147"/>
      <c r="D130" s="250"/>
      <c r="E130" s="148"/>
      <c r="F130" s="148"/>
      <c r="G130" s="148"/>
      <c r="H130" s="148"/>
      <c r="I130" s="148"/>
      <c r="J130" s="148"/>
      <c r="K130" s="145"/>
      <c r="L130" s="92"/>
      <c r="M130" s="60"/>
      <c r="N130" s="60"/>
      <c r="O130" s="60"/>
      <c r="P130" s="60"/>
      <c r="Q130" s="60"/>
      <c r="R130" s="61"/>
      <c r="S130" s="61"/>
      <c r="T130" s="61"/>
      <c r="U130" s="61"/>
      <c r="V130" s="61"/>
      <c r="W130" s="186"/>
      <c r="X130" s="186"/>
      <c r="Y130" s="186"/>
      <c r="Z130" s="186"/>
      <c r="AA130" s="187"/>
      <c r="AB130" s="61"/>
      <c r="AC130" s="68"/>
      <c r="AD130" s="17"/>
    </row>
    <row r="131" spans="1:30" s="12" customFormat="1" ht="21" customHeight="1">
      <c r="A131" s="149" t="s">
        <v>218</v>
      </c>
      <c r="B131" s="441" t="s">
        <v>21</v>
      </c>
      <c r="C131" s="442"/>
      <c r="D131" s="270">
        <f>SUM(D132)</f>
        <v>4</v>
      </c>
      <c r="E131" s="270">
        <f>SUM(E132)</f>
        <v>7</v>
      </c>
      <c r="F131" s="270">
        <f t="shared" ref="F131:J131" si="19">SUM(F132)</f>
        <v>7.2510000000000003</v>
      </c>
      <c r="G131" s="270">
        <f t="shared" si="19"/>
        <v>0</v>
      </c>
      <c r="H131" s="270">
        <f t="shared" si="19"/>
        <v>0</v>
      </c>
      <c r="I131" s="270">
        <f t="shared" si="19"/>
        <v>0</v>
      </c>
      <c r="J131" s="270">
        <f t="shared" si="19"/>
        <v>0</v>
      </c>
      <c r="K131" s="270">
        <f>E131-D131</f>
        <v>3</v>
      </c>
      <c r="L131" s="271">
        <f>IF(D131=0,0,K131/D131)</f>
        <v>0.75</v>
      </c>
      <c r="M131" s="131" t="s">
        <v>221</v>
      </c>
      <c r="N131" s="272"/>
      <c r="O131" s="272"/>
      <c r="P131" s="272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>
        <f>SUM(AB132)</f>
        <v>7251</v>
      </c>
      <c r="AC131" s="274" t="s">
        <v>26</v>
      </c>
      <c r="AD131" s="1"/>
    </row>
    <row r="132" spans="1:30" s="12" customFormat="1" ht="21" customHeight="1">
      <c r="A132" s="300" t="s">
        <v>220</v>
      </c>
      <c r="B132" s="55" t="s">
        <v>218</v>
      </c>
      <c r="C132" s="55" t="s">
        <v>218</v>
      </c>
      <c r="D132" s="249">
        <v>4</v>
      </c>
      <c r="E132" s="145">
        <v>7</v>
      </c>
      <c r="F132" s="145">
        <f>AB131/1000</f>
        <v>7.2510000000000003</v>
      </c>
      <c r="G132" s="145">
        <v>0</v>
      </c>
      <c r="H132" s="145">
        <v>0</v>
      </c>
      <c r="I132" s="145">
        <v>0</v>
      </c>
      <c r="J132" s="145">
        <v>0</v>
      </c>
      <c r="K132" s="145">
        <f>E132-D132</f>
        <v>3</v>
      </c>
      <c r="L132" s="92">
        <f>IF(D132=0,0,K132/D132)</f>
        <v>0.75</v>
      </c>
      <c r="M132" s="153" t="s">
        <v>222</v>
      </c>
      <c r="N132" s="41"/>
      <c r="O132" s="41"/>
      <c r="P132" s="41"/>
      <c r="Q132" s="41"/>
      <c r="R132" s="42"/>
      <c r="S132" s="42"/>
      <c r="T132" s="42"/>
      <c r="U132" s="42"/>
      <c r="V132" s="42"/>
      <c r="W132" s="273" t="s">
        <v>202</v>
      </c>
      <c r="X132" s="134"/>
      <c r="Y132" s="134"/>
      <c r="Z132" s="134"/>
      <c r="AA132" s="155"/>
      <c r="AB132" s="155">
        <f>AB133</f>
        <v>7251</v>
      </c>
      <c r="AC132" s="156" t="s">
        <v>26</v>
      </c>
      <c r="AD132" s="1"/>
    </row>
    <row r="133" spans="1:30" ht="21" customHeight="1">
      <c r="A133" s="54"/>
      <c r="B133" s="55" t="s">
        <v>219</v>
      </c>
      <c r="C133" s="55" t="s">
        <v>219</v>
      </c>
      <c r="D133" s="249"/>
      <c r="E133" s="145"/>
      <c r="F133" s="145"/>
      <c r="G133" s="145"/>
      <c r="H133" s="145"/>
      <c r="I133" s="145"/>
      <c r="J133" s="145"/>
      <c r="K133" s="145"/>
      <c r="L133" s="92"/>
      <c r="M133" s="330" t="s">
        <v>296</v>
      </c>
      <c r="N133" s="60"/>
      <c r="O133" s="60"/>
      <c r="P133" s="60"/>
      <c r="Q133" s="61"/>
      <c r="R133" s="61"/>
      <c r="S133" s="61"/>
      <c r="T133" s="61"/>
      <c r="U133" s="61"/>
      <c r="V133" s="61"/>
      <c r="W133" s="61"/>
      <c r="X133" s="61"/>
      <c r="Y133" s="61"/>
      <c r="Z133" s="165"/>
      <c r="AA133" s="61"/>
      <c r="AB133" s="61">
        <v>7251</v>
      </c>
      <c r="AC133" s="68" t="s">
        <v>26</v>
      </c>
    </row>
    <row r="134" spans="1:30" s="15" customFormat="1" ht="21" customHeight="1">
      <c r="A134" s="54"/>
      <c r="B134" s="70"/>
      <c r="C134" s="56"/>
      <c r="D134" s="249"/>
      <c r="E134" s="145"/>
      <c r="F134" s="145"/>
      <c r="G134" s="145"/>
      <c r="H134" s="145"/>
      <c r="I134" s="145"/>
      <c r="J134" s="145"/>
      <c r="K134" s="145"/>
      <c r="L134" s="92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1"/>
      <c r="AC134" s="68"/>
      <c r="AD134" s="4"/>
    </row>
    <row r="135" spans="1:30" s="12" customFormat="1" ht="21" customHeight="1">
      <c r="A135" s="44" t="s">
        <v>123</v>
      </c>
      <c r="B135" s="441" t="s">
        <v>21</v>
      </c>
      <c r="C135" s="442"/>
      <c r="D135" s="270">
        <f>D136</f>
        <v>0</v>
      </c>
      <c r="E135" s="270">
        <f>E136</f>
        <v>0</v>
      </c>
      <c r="F135" s="270">
        <f t="shared" ref="F135:J135" si="20">F136</f>
        <v>0</v>
      </c>
      <c r="G135" s="270">
        <f t="shared" si="20"/>
        <v>0</v>
      </c>
      <c r="H135" s="270">
        <f t="shared" si="20"/>
        <v>0</v>
      </c>
      <c r="I135" s="270">
        <f t="shared" si="20"/>
        <v>0</v>
      </c>
      <c r="J135" s="270">
        <f t="shared" si="20"/>
        <v>0</v>
      </c>
      <c r="K135" s="270">
        <f>E135-D135</f>
        <v>0</v>
      </c>
      <c r="L135" s="271">
        <f>IF(D135=0,0,K135/D135)</f>
        <v>0</v>
      </c>
      <c r="M135" s="272" t="s">
        <v>123</v>
      </c>
      <c r="N135" s="272"/>
      <c r="O135" s="272"/>
      <c r="P135" s="272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>
        <f>SUM(AB136)</f>
        <v>0</v>
      </c>
      <c r="AC135" s="274" t="s">
        <v>26</v>
      </c>
      <c r="AD135" s="1"/>
    </row>
    <row r="136" spans="1:30" s="12" customFormat="1" ht="21" customHeight="1">
      <c r="A136" s="54"/>
      <c r="B136" s="55" t="s">
        <v>123</v>
      </c>
      <c r="C136" s="55" t="s">
        <v>123</v>
      </c>
      <c r="D136" s="249">
        <f>AB136/1000</f>
        <v>0</v>
      </c>
      <c r="E136" s="145">
        <f>AB136/1000</f>
        <v>0</v>
      </c>
      <c r="F136" s="145">
        <v>0</v>
      </c>
      <c r="G136" s="145">
        <v>0</v>
      </c>
      <c r="H136" s="145">
        <v>0</v>
      </c>
      <c r="I136" s="145">
        <v>0</v>
      </c>
      <c r="J136" s="145">
        <v>0</v>
      </c>
      <c r="K136" s="145">
        <f>E136-D136</f>
        <v>0</v>
      </c>
      <c r="L136" s="92">
        <f>IF(D136=0,0,K136/D136)</f>
        <v>0</v>
      </c>
      <c r="M136" s="153" t="s">
        <v>124</v>
      </c>
      <c r="N136" s="41"/>
      <c r="O136" s="41"/>
      <c r="P136" s="41"/>
      <c r="Q136" s="41"/>
      <c r="R136" s="42"/>
      <c r="S136" s="42"/>
      <c r="T136" s="42"/>
      <c r="U136" s="42"/>
      <c r="V136" s="42"/>
      <c r="W136" s="273" t="s">
        <v>202</v>
      </c>
      <c r="X136" s="134"/>
      <c r="Y136" s="134"/>
      <c r="Z136" s="134"/>
      <c r="AA136" s="155"/>
      <c r="AB136" s="155">
        <f>AB137</f>
        <v>0</v>
      </c>
      <c r="AC136" s="156" t="s">
        <v>26</v>
      </c>
      <c r="AD136" s="1"/>
    </row>
    <row r="137" spans="1:30" s="12" customFormat="1" ht="21" customHeight="1">
      <c r="A137" s="54"/>
      <c r="B137" s="55"/>
      <c r="C137" s="55"/>
      <c r="D137" s="249"/>
      <c r="E137" s="145"/>
      <c r="F137" s="145"/>
      <c r="G137" s="145"/>
      <c r="H137" s="145"/>
      <c r="I137" s="145"/>
      <c r="J137" s="145"/>
      <c r="K137" s="145"/>
      <c r="L137" s="92"/>
      <c r="M137" s="246" t="s">
        <v>170</v>
      </c>
      <c r="N137" s="60"/>
      <c r="O137" s="60"/>
      <c r="P137" s="60"/>
      <c r="Q137" s="61"/>
      <c r="R137" s="61"/>
      <c r="S137" s="61"/>
      <c r="T137" s="61"/>
      <c r="U137" s="61"/>
      <c r="V137" s="61"/>
      <c r="W137" s="61"/>
      <c r="X137" s="61"/>
      <c r="Y137" s="61"/>
      <c r="Z137" s="220"/>
      <c r="AA137" s="61"/>
      <c r="AB137" s="61">
        <v>0</v>
      </c>
      <c r="AC137" s="68" t="s">
        <v>98</v>
      </c>
      <c r="AD137" s="1"/>
    </row>
    <row r="138" spans="1:30" s="1" customFormat="1" ht="21" customHeight="1" thickBot="1">
      <c r="A138" s="193"/>
      <c r="B138" s="55"/>
      <c r="C138" s="55"/>
      <c r="D138" s="249"/>
      <c r="E138" s="145"/>
      <c r="F138" s="145"/>
      <c r="G138" s="145"/>
      <c r="H138" s="145"/>
      <c r="I138" s="145"/>
      <c r="J138" s="145"/>
      <c r="K138" s="145"/>
      <c r="L138" s="92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196"/>
    </row>
    <row r="139" spans="1:30" s="12" customFormat="1" ht="21" customHeight="1">
      <c r="A139" s="44" t="s">
        <v>22</v>
      </c>
      <c r="B139" s="439" t="s">
        <v>21</v>
      </c>
      <c r="C139" s="440"/>
      <c r="D139" s="305">
        <f>SUM(D140)</f>
        <v>5</v>
      </c>
      <c r="E139" s="305">
        <f>SUM(E140)</f>
        <v>9</v>
      </c>
      <c r="F139" s="305">
        <f t="shared" ref="F139:J139" si="21">SUM(F140)</f>
        <v>0</v>
      </c>
      <c r="G139" s="305">
        <f t="shared" si="21"/>
        <v>0</v>
      </c>
      <c r="H139" s="305">
        <f t="shared" si="21"/>
        <v>9</v>
      </c>
      <c r="I139" s="305">
        <f t="shared" si="21"/>
        <v>0</v>
      </c>
      <c r="J139" s="305">
        <f t="shared" si="21"/>
        <v>0</v>
      </c>
      <c r="K139" s="305">
        <f>E139-D139</f>
        <v>4</v>
      </c>
      <c r="L139" s="306">
        <f>IF(D139=0,0,K139/D139)</f>
        <v>0.8</v>
      </c>
      <c r="M139" s="261" t="s">
        <v>22</v>
      </c>
      <c r="N139" s="262"/>
      <c r="O139" s="262"/>
      <c r="P139" s="262"/>
      <c r="Q139" s="263"/>
      <c r="R139" s="263"/>
      <c r="S139" s="263"/>
      <c r="T139" s="263"/>
      <c r="U139" s="263"/>
      <c r="V139" s="263"/>
      <c r="W139" s="263"/>
      <c r="X139" s="263"/>
      <c r="Y139" s="263"/>
      <c r="Z139" s="263"/>
      <c r="AA139" s="263"/>
      <c r="AB139" s="263">
        <f>AB140</f>
        <v>9000</v>
      </c>
      <c r="AC139" s="264" t="s">
        <v>26</v>
      </c>
      <c r="AD139" s="1"/>
    </row>
    <row r="140" spans="1:30" s="12" customFormat="1" ht="21" customHeight="1">
      <c r="A140" s="54"/>
      <c r="B140" s="55" t="s">
        <v>22</v>
      </c>
      <c r="C140" s="55" t="s">
        <v>22</v>
      </c>
      <c r="D140" s="249">
        <v>5</v>
      </c>
      <c r="E140" s="145">
        <v>9</v>
      </c>
      <c r="F140" s="145">
        <v>0</v>
      </c>
      <c r="G140" s="145">
        <v>0</v>
      </c>
      <c r="H140" s="145">
        <f>AB142/1000</f>
        <v>9</v>
      </c>
      <c r="I140" s="145">
        <v>0</v>
      </c>
      <c r="J140" s="145">
        <v>0</v>
      </c>
      <c r="K140" s="145">
        <f>E140-D140</f>
        <v>4</v>
      </c>
      <c r="L140" s="92">
        <f>IF(D140=0,0,K140/D140)</f>
        <v>0.8</v>
      </c>
      <c r="M140" s="153" t="s">
        <v>55</v>
      </c>
      <c r="N140" s="41"/>
      <c r="O140" s="41"/>
      <c r="P140" s="41"/>
      <c r="Q140" s="41"/>
      <c r="R140" s="42"/>
      <c r="S140" s="42"/>
      <c r="T140" s="42"/>
      <c r="U140" s="42"/>
      <c r="V140" s="42"/>
      <c r="W140" s="273" t="s">
        <v>202</v>
      </c>
      <c r="X140" s="134"/>
      <c r="Y140" s="134"/>
      <c r="Z140" s="134"/>
      <c r="AA140" s="155"/>
      <c r="AB140" s="155">
        <v>9000</v>
      </c>
      <c r="AC140" s="156" t="s">
        <v>26</v>
      </c>
      <c r="AD140" s="1"/>
    </row>
    <row r="141" spans="1:30" s="12" customFormat="1" ht="21" customHeight="1">
      <c r="A141" s="54"/>
      <c r="B141" s="55"/>
      <c r="C141" s="55"/>
      <c r="D141" s="249"/>
      <c r="E141" s="145"/>
      <c r="F141" s="145"/>
      <c r="G141" s="145"/>
      <c r="H141" s="145"/>
      <c r="I141" s="145"/>
      <c r="J141" s="145"/>
      <c r="K141" s="145"/>
      <c r="L141" s="92"/>
      <c r="M141" s="246" t="s">
        <v>127</v>
      </c>
      <c r="N141" s="199"/>
      <c r="O141" s="199"/>
      <c r="P141" s="199"/>
      <c r="Q141" s="199"/>
      <c r="R141" s="198"/>
      <c r="S141" s="198"/>
      <c r="T141" s="198"/>
      <c r="U141" s="198"/>
      <c r="V141" s="198"/>
      <c r="W141" s="198"/>
      <c r="X141" s="198"/>
      <c r="Y141" s="198"/>
      <c r="Z141" s="198"/>
      <c r="AA141" s="89"/>
      <c r="AB141" s="89">
        <v>0</v>
      </c>
      <c r="AC141" s="68" t="s">
        <v>73</v>
      </c>
      <c r="AD141" s="2"/>
    </row>
    <row r="142" spans="1:30" s="12" customFormat="1" ht="21" customHeight="1">
      <c r="A142" s="54"/>
      <c r="B142" s="55"/>
      <c r="C142" s="55"/>
      <c r="D142" s="249"/>
      <c r="E142" s="145"/>
      <c r="F142" s="145"/>
      <c r="G142" s="145"/>
      <c r="H142" s="145"/>
      <c r="I142" s="145"/>
      <c r="J142" s="145"/>
      <c r="K142" s="145"/>
      <c r="L142" s="92"/>
      <c r="M142" s="246" t="s">
        <v>128</v>
      </c>
      <c r="N142" s="199"/>
      <c r="O142" s="199"/>
      <c r="P142" s="199"/>
      <c r="Q142" s="199"/>
      <c r="R142" s="198"/>
      <c r="S142" s="198"/>
      <c r="T142" s="198"/>
      <c r="U142" s="198"/>
      <c r="V142" s="198"/>
      <c r="W142" s="198"/>
      <c r="X142" s="198"/>
      <c r="Y142" s="198"/>
      <c r="Z142" s="198"/>
      <c r="AA142" s="89"/>
      <c r="AB142" s="89">
        <v>9000</v>
      </c>
      <c r="AC142" s="68" t="s">
        <v>73</v>
      </c>
      <c r="AD142" s="2"/>
    </row>
    <row r="143" spans="1:30" s="1" customFormat="1" ht="21" customHeight="1" thickBot="1">
      <c r="A143" s="193"/>
      <c r="B143" s="137"/>
      <c r="C143" s="137"/>
      <c r="D143" s="254"/>
      <c r="E143" s="194"/>
      <c r="F143" s="194"/>
      <c r="G143" s="194"/>
      <c r="H143" s="194"/>
      <c r="I143" s="194"/>
      <c r="J143" s="194"/>
      <c r="K143" s="194"/>
      <c r="L143" s="195"/>
      <c r="M143" s="85"/>
      <c r="N143" s="85"/>
      <c r="O143" s="85"/>
      <c r="P143" s="85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7"/>
    </row>
  </sheetData>
  <mergeCells count="16">
    <mergeCell ref="B139:C139"/>
    <mergeCell ref="B135:C135"/>
    <mergeCell ref="B131:C131"/>
    <mergeCell ref="B79:C79"/>
    <mergeCell ref="B66:C66"/>
    <mergeCell ref="T62:U62"/>
    <mergeCell ref="T39:U39"/>
    <mergeCell ref="M2:AC3"/>
    <mergeCell ref="A1:C1"/>
    <mergeCell ref="B5:C5"/>
    <mergeCell ref="A4:C4"/>
    <mergeCell ref="K2:L2"/>
    <mergeCell ref="A2:C2"/>
    <mergeCell ref="D2:D3"/>
    <mergeCell ref="E2:J2"/>
    <mergeCell ref="Q43:AA43"/>
  </mergeCells>
  <phoneticPr fontId="6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alignWithMargins="0">
    <oddFooter>&amp;C&amp;P/&amp;N&amp;R장애인생활시설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21"/>
  <sheetViews>
    <sheetView topLeftCell="D7" workbookViewId="0">
      <selection activeCell="L21" sqref="L21"/>
    </sheetView>
  </sheetViews>
  <sheetFormatPr defaultRowHeight="13.5"/>
  <cols>
    <col min="1" max="1" width="13" customWidth="1"/>
    <col min="2" max="2" width="13.5546875" customWidth="1"/>
    <col min="3" max="3" width="13.6640625" customWidth="1"/>
    <col min="4" max="4" width="12.109375" customWidth="1"/>
    <col min="5" max="5" width="15.6640625" customWidth="1"/>
    <col min="6" max="6" width="23.5546875" customWidth="1"/>
    <col min="7" max="7" width="11.88671875" customWidth="1"/>
    <col min="8" max="8" width="14.77734375" customWidth="1"/>
    <col min="9" max="9" width="14.33203125" customWidth="1"/>
    <col min="10" max="10" width="13" customWidth="1"/>
    <col min="11" max="11" width="13.88671875" customWidth="1"/>
    <col min="12" max="12" width="17.33203125" customWidth="1"/>
  </cols>
  <sheetData>
    <row r="1" spans="1:12" ht="26.25">
      <c r="A1" s="358" t="s">
        <v>341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60" t="s">
        <v>342</v>
      </c>
    </row>
    <row r="2" spans="1:12" ht="17.25" thickBot="1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</row>
    <row r="3" spans="1:12" ht="16.5">
      <c r="A3" s="459" t="s">
        <v>343</v>
      </c>
      <c r="B3" s="460"/>
      <c r="C3" s="460"/>
      <c r="D3" s="460"/>
      <c r="E3" s="461"/>
      <c r="F3" s="461"/>
      <c r="G3" s="459" t="s">
        <v>344</v>
      </c>
      <c r="H3" s="460"/>
      <c r="I3" s="460"/>
      <c r="J3" s="460"/>
      <c r="K3" s="461"/>
      <c r="L3" s="462"/>
    </row>
    <row r="4" spans="1:12" ht="13.5" customHeight="1">
      <c r="A4" s="463" t="s">
        <v>345</v>
      </c>
      <c r="B4" s="464"/>
      <c r="C4" s="467" t="s">
        <v>346</v>
      </c>
      <c r="D4" s="467" t="s">
        <v>347</v>
      </c>
      <c r="E4" s="469" t="s">
        <v>348</v>
      </c>
      <c r="F4" s="471" t="s">
        <v>349</v>
      </c>
      <c r="G4" s="463" t="s">
        <v>345</v>
      </c>
      <c r="H4" s="464"/>
      <c r="I4" s="467" t="s">
        <v>346</v>
      </c>
      <c r="J4" s="467" t="s">
        <v>347</v>
      </c>
      <c r="K4" s="455" t="s">
        <v>350</v>
      </c>
      <c r="L4" s="455" t="s">
        <v>349</v>
      </c>
    </row>
    <row r="5" spans="1:12" ht="31.5" customHeight="1" thickBot="1">
      <c r="A5" s="465"/>
      <c r="B5" s="466"/>
      <c r="C5" s="468"/>
      <c r="D5" s="468"/>
      <c r="E5" s="470"/>
      <c r="F5" s="472"/>
      <c r="G5" s="465"/>
      <c r="H5" s="466"/>
      <c r="I5" s="468"/>
      <c r="J5" s="468"/>
      <c r="K5" s="456"/>
      <c r="L5" s="456"/>
    </row>
    <row r="6" spans="1:12" ht="17.25" thickTop="1">
      <c r="A6" s="448" t="s">
        <v>351</v>
      </c>
      <c r="B6" s="457"/>
      <c r="C6" s="361">
        <f>SUM(C7:C15)</f>
        <v>65309251</v>
      </c>
      <c r="D6" s="361">
        <f t="shared" ref="D6:E6" si="0">SUM(D7:D15)</f>
        <v>62668581</v>
      </c>
      <c r="E6" s="362">
        <f t="shared" si="0"/>
        <v>-2640670</v>
      </c>
      <c r="F6" s="363"/>
      <c r="G6" s="448" t="s">
        <v>351</v>
      </c>
      <c r="H6" s="457"/>
      <c r="I6" s="361">
        <f t="shared" ref="I6:J6" si="1">SUM(I7:I21)</f>
        <v>65309251</v>
      </c>
      <c r="J6" s="361">
        <f t="shared" si="1"/>
        <v>62578581</v>
      </c>
      <c r="K6" s="362">
        <f>SUM(K7:K21)</f>
        <v>-2730670</v>
      </c>
      <c r="L6" s="364"/>
    </row>
    <row r="7" spans="1:12" ht="16.5">
      <c r="A7" s="365" t="s">
        <v>352</v>
      </c>
      <c r="B7" s="366" t="s">
        <v>353</v>
      </c>
      <c r="C7" s="367">
        <v>7200000</v>
      </c>
      <c r="D7" s="367">
        <v>7200000</v>
      </c>
      <c r="E7" s="368">
        <f>D7-C7</f>
        <v>0</v>
      </c>
      <c r="F7" s="368"/>
      <c r="G7" s="446" t="s">
        <v>354</v>
      </c>
      <c r="H7" s="366" t="s">
        <v>355</v>
      </c>
      <c r="I7" s="367">
        <v>30237840</v>
      </c>
      <c r="J7" s="367">
        <v>30814000</v>
      </c>
      <c r="K7" s="369">
        <f>J7-I7</f>
        <v>576160</v>
      </c>
      <c r="L7" s="370" t="s">
        <v>356</v>
      </c>
    </row>
    <row r="8" spans="1:12" ht="16.5">
      <c r="A8" s="458" t="s">
        <v>357</v>
      </c>
      <c r="B8" s="366" t="s">
        <v>358</v>
      </c>
      <c r="C8" s="367">
        <v>50233000</v>
      </c>
      <c r="D8" s="367">
        <v>47033000</v>
      </c>
      <c r="E8" s="368">
        <f t="shared" ref="E8:E15" si="2">D8-C8</f>
        <v>-3200000</v>
      </c>
      <c r="F8" s="368" t="s">
        <v>359</v>
      </c>
      <c r="G8" s="447"/>
      <c r="H8" s="366" t="s">
        <v>360</v>
      </c>
      <c r="I8" s="367">
        <v>90000</v>
      </c>
      <c r="J8" s="367">
        <v>60000</v>
      </c>
      <c r="K8" s="369">
        <f t="shared" ref="K8:K20" si="3">J8-I8</f>
        <v>-30000</v>
      </c>
      <c r="L8" s="371"/>
    </row>
    <row r="9" spans="1:12" ht="27">
      <c r="A9" s="458"/>
      <c r="B9" s="366" t="s">
        <v>361</v>
      </c>
      <c r="C9" s="367">
        <v>0</v>
      </c>
      <c r="D9" s="367">
        <v>0</v>
      </c>
      <c r="E9" s="368">
        <f t="shared" si="2"/>
        <v>0</v>
      </c>
      <c r="F9" s="368"/>
      <c r="G9" s="448"/>
      <c r="H9" s="366" t="s">
        <v>362</v>
      </c>
      <c r="I9" s="367">
        <v>7654820</v>
      </c>
      <c r="J9" s="367">
        <v>8208500</v>
      </c>
      <c r="K9" s="369">
        <f t="shared" si="3"/>
        <v>553680</v>
      </c>
      <c r="L9" s="371" t="s">
        <v>363</v>
      </c>
    </row>
    <row r="10" spans="1:12" ht="16.5">
      <c r="A10" s="458"/>
      <c r="B10" s="366" t="s">
        <v>364</v>
      </c>
      <c r="C10" s="367">
        <v>0</v>
      </c>
      <c r="D10" s="367">
        <v>0</v>
      </c>
      <c r="E10" s="368">
        <f t="shared" si="2"/>
        <v>0</v>
      </c>
      <c r="F10" s="372"/>
      <c r="G10" s="446" t="s">
        <v>365</v>
      </c>
      <c r="H10" s="366" t="s">
        <v>366</v>
      </c>
      <c r="I10" s="367">
        <v>0</v>
      </c>
      <c r="J10" s="367">
        <v>0</v>
      </c>
      <c r="K10" s="369">
        <f t="shared" si="3"/>
        <v>0</v>
      </c>
      <c r="L10" s="371"/>
    </row>
    <row r="11" spans="1:12" ht="16.5">
      <c r="A11" s="458" t="s">
        <v>367</v>
      </c>
      <c r="B11" s="366" t="s">
        <v>368</v>
      </c>
      <c r="C11" s="367"/>
      <c r="D11" s="367"/>
      <c r="E11" s="368">
        <f t="shared" si="2"/>
        <v>0</v>
      </c>
      <c r="F11" s="368"/>
      <c r="G11" s="447"/>
      <c r="H11" s="366" t="s">
        <v>369</v>
      </c>
      <c r="I11" s="367">
        <v>3500000</v>
      </c>
      <c r="J11" s="367">
        <v>0</v>
      </c>
      <c r="K11" s="369">
        <f t="shared" si="3"/>
        <v>-3500000</v>
      </c>
      <c r="L11" s="371" t="s">
        <v>370</v>
      </c>
    </row>
    <row r="12" spans="1:12" ht="16.5">
      <c r="A12" s="458"/>
      <c r="B12" s="366" t="s">
        <v>371</v>
      </c>
      <c r="C12" s="367">
        <v>0</v>
      </c>
      <c r="D12" s="367">
        <v>0</v>
      </c>
      <c r="E12" s="368">
        <f t="shared" si="2"/>
        <v>0</v>
      </c>
      <c r="F12" s="368"/>
      <c r="G12" s="448"/>
      <c r="H12" s="366" t="s">
        <v>372</v>
      </c>
      <c r="I12" s="367"/>
      <c r="J12" s="367">
        <v>0</v>
      </c>
      <c r="K12" s="369">
        <f t="shared" si="3"/>
        <v>0</v>
      </c>
      <c r="L12" s="371"/>
    </row>
    <row r="13" spans="1:12" ht="16.5">
      <c r="A13" s="365" t="s">
        <v>373</v>
      </c>
      <c r="B13" s="366" t="s">
        <v>374</v>
      </c>
      <c r="C13" s="367">
        <v>1647330</v>
      </c>
      <c r="D13" s="367">
        <v>3853330</v>
      </c>
      <c r="E13" s="368">
        <f t="shared" si="2"/>
        <v>2206000</v>
      </c>
      <c r="F13" s="372" t="s">
        <v>375</v>
      </c>
      <c r="G13" s="446" t="s">
        <v>376</v>
      </c>
      <c r="H13" s="366" t="s">
        <v>377</v>
      </c>
      <c r="I13" s="367">
        <v>14870050</v>
      </c>
      <c r="J13" s="367">
        <v>11509830</v>
      </c>
      <c r="K13" s="369">
        <f t="shared" si="3"/>
        <v>-3360220</v>
      </c>
      <c r="L13" s="373" t="s">
        <v>378</v>
      </c>
    </row>
    <row r="14" spans="1:12" ht="27">
      <c r="A14" s="365" t="s">
        <v>379</v>
      </c>
      <c r="B14" s="366" t="s">
        <v>380</v>
      </c>
      <c r="C14" s="367">
        <v>6214921</v>
      </c>
      <c r="D14" s="367">
        <v>4565251</v>
      </c>
      <c r="E14" s="368">
        <f t="shared" si="2"/>
        <v>-1649670</v>
      </c>
      <c r="F14" s="372" t="s">
        <v>395</v>
      </c>
      <c r="G14" s="447"/>
      <c r="H14" s="366" t="s">
        <v>381</v>
      </c>
      <c r="I14" s="367">
        <v>2418520</v>
      </c>
      <c r="J14" s="367">
        <v>2500000</v>
      </c>
      <c r="K14" s="369">
        <f t="shared" si="3"/>
        <v>81480</v>
      </c>
      <c r="L14" s="373"/>
    </row>
    <row r="15" spans="1:12" ht="16.5">
      <c r="A15" s="365" t="s">
        <v>382</v>
      </c>
      <c r="B15" s="366" t="s">
        <v>383</v>
      </c>
      <c r="C15" s="367">
        <v>14000</v>
      </c>
      <c r="D15" s="367">
        <v>17000</v>
      </c>
      <c r="E15" s="368">
        <f t="shared" si="2"/>
        <v>3000</v>
      </c>
      <c r="F15" s="368"/>
      <c r="G15" s="447"/>
      <c r="H15" s="366" t="s">
        <v>384</v>
      </c>
      <c r="I15" s="367">
        <v>560000</v>
      </c>
      <c r="J15" s="367">
        <v>800000</v>
      </c>
      <c r="K15" s="369">
        <f t="shared" si="3"/>
        <v>240000</v>
      </c>
      <c r="L15" s="373"/>
    </row>
    <row r="16" spans="1:12" ht="16.5">
      <c r="A16" s="449"/>
      <c r="B16" s="450"/>
      <c r="C16" s="450"/>
      <c r="D16" s="450"/>
      <c r="E16" s="450"/>
      <c r="F16" s="450"/>
      <c r="G16" s="447"/>
      <c r="H16" s="366" t="s">
        <v>385</v>
      </c>
      <c r="I16" s="367">
        <v>420000</v>
      </c>
      <c r="J16" s="367">
        <v>460000</v>
      </c>
      <c r="K16" s="369">
        <f t="shared" si="3"/>
        <v>40000</v>
      </c>
      <c r="L16" s="373"/>
    </row>
    <row r="17" spans="1:12" ht="16.5">
      <c r="A17" s="451"/>
      <c r="B17" s="452"/>
      <c r="C17" s="452"/>
      <c r="D17" s="452"/>
      <c r="E17" s="452"/>
      <c r="F17" s="452"/>
      <c r="G17" s="447"/>
      <c r="H17" s="366" t="s">
        <v>386</v>
      </c>
      <c r="I17" s="367">
        <v>61040</v>
      </c>
      <c r="J17" s="367">
        <v>140000</v>
      </c>
      <c r="K17" s="369">
        <f t="shared" si="3"/>
        <v>78960</v>
      </c>
      <c r="L17" s="373"/>
    </row>
    <row r="18" spans="1:12" ht="16.5">
      <c r="A18" s="451"/>
      <c r="B18" s="452"/>
      <c r="C18" s="452"/>
      <c r="D18" s="452"/>
      <c r="E18" s="452"/>
      <c r="F18" s="452"/>
      <c r="G18" s="448"/>
      <c r="H18" s="366" t="s">
        <v>387</v>
      </c>
      <c r="I18" s="367">
        <v>5487492</v>
      </c>
      <c r="J18" s="367">
        <v>8070000</v>
      </c>
      <c r="K18" s="369">
        <f t="shared" si="3"/>
        <v>2582508</v>
      </c>
      <c r="L18" s="373" t="s">
        <v>388</v>
      </c>
    </row>
    <row r="19" spans="1:12" ht="16.5">
      <c r="A19" s="451"/>
      <c r="B19" s="452"/>
      <c r="C19" s="452"/>
      <c r="D19" s="452"/>
      <c r="E19" s="452"/>
      <c r="F19" s="452"/>
      <c r="G19" s="374" t="s">
        <v>389</v>
      </c>
      <c r="H19" s="366" t="s">
        <v>390</v>
      </c>
      <c r="I19" s="367">
        <v>4489</v>
      </c>
      <c r="J19" s="367">
        <v>7251</v>
      </c>
      <c r="K19" s="369">
        <f t="shared" si="3"/>
        <v>2762</v>
      </c>
      <c r="L19" s="373"/>
    </row>
    <row r="20" spans="1:12" ht="16.5">
      <c r="A20" s="451"/>
      <c r="B20" s="452"/>
      <c r="C20" s="452"/>
      <c r="D20" s="452"/>
      <c r="E20" s="452"/>
      <c r="F20" s="452"/>
      <c r="G20" s="365" t="s">
        <v>391</v>
      </c>
      <c r="H20" s="366" t="s">
        <v>392</v>
      </c>
      <c r="I20" s="367">
        <v>0</v>
      </c>
      <c r="J20" s="367">
        <v>0</v>
      </c>
      <c r="K20" s="369">
        <f t="shared" si="3"/>
        <v>0</v>
      </c>
      <c r="L20" s="373"/>
    </row>
    <row r="21" spans="1:12" ht="17.25" thickBot="1">
      <c r="A21" s="453"/>
      <c r="B21" s="454"/>
      <c r="C21" s="454"/>
      <c r="D21" s="454"/>
      <c r="E21" s="454"/>
      <c r="F21" s="454"/>
      <c r="G21" s="375" t="s">
        <v>393</v>
      </c>
      <c r="H21" s="376" t="s">
        <v>394</v>
      </c>
      <c r="I21" s="377">
        <v>5000</v>
      </c>
      <c r="J21" s="377">
        <v>9000</v>
      </c>
      <c r="K21" s="378">
        <f>J21-I21</f>
        <v>4000</v>
      </c>
      <c r="L21" s="379"/>
    </row>
  </sheetData>
  <mergeCells count="20">
    <mergeCell ref="A3:F3"/>
    <mergeCell ref="G3:L3"/>
    <mergeCell ref="A4:B5"/>
    <mergeCell ref="C4:C5"/>
    <mergeCell ref="D4:D5"/>
    <mergeCell ref="E4:E5"/>
    <mergeCell ref="F4:F5"/>
    <mergeCell ref="G4:H5"/>
    <mergeCell ref="I4:I5"/>
    <mergeCell ref="J4:J5"/>
    <mergeCell ref="G13:G18"/>
    <mergeCell ref="A16:F21"/>
    <mergeCell ref="K4:K5"/>
    <mergeCell ref="L4:L5"/>
    <mergeCell ref="A6:B6"/>
    <mergeCell ref="G6:H6"/>
    <mergeCell ref="G7:G9"/>
    <mergeCell ref="A8:A10"/>
    <mergeCell ref="G10:G12"/>
    <mergeCell ref="A11:A1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세입세출총괄표</vt:lpstr>
      <vt:lpstr>세입</vt:lpstr>
      <vt:lpstr>세출</vt:lpstr>
      <vt:lpstr>증감사유</vt:lpstr>
      <vt:lpstr>세출!명절휴가비</vt:lpstr>
      <vt:lpstr>세출!연장근로수당</vt:lpstr>
      <vt:lpstr>세입!Print_Area</vt:lpstr>
      <vt:lpstr>세입!Print_Titles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CGSComputer</cp:lastModifiedBy>
  <cp:revision>65</cp:revision>
  <cp:lastPrinted>2013-04-19T02:00:37Z</cp:lastPrinted>
  <dcterms:created xsi:type="dcterms:W3CDTF">2003-12-18T04:11:57Z</dcterms:created>
  <dcterms:modified xsi:type="dcterms:W3CDTF">2013-04-23T05:29:59Z</dcterms:modified>
</cp:coreProperties>
</file>